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764" windowWidth="16608" windowHeight="4812" tabRatio="959"/>
  </bookViews>
  <sheets>
    <sheet name="2015 Transmission Load Forecast" sheetId="94" r:id="rId1"/>
    <sheet name="2016 Transmission Load Forecast" sheetId="89" r:id="rId2"/>
    <sheet name="2017 Transmission Load Forecast" sheetId="90" r:id="rId3"/>
    <sheet name="2018 Transmission Load Forecast" sheetId="91" r:id="rId4"/>
    <sheet name="2019 Transmission Load Forecast" sheetId="92" r:id="rId5"/>
    <sheet name="2020 Transmission Load Forecast" sheetId="93" r:id="rId6"/>
    <sheet name="Revenue_Variance." sheetId="75" r:id="rId7"/>
    <sheet name="Revenue_Variance" sheetId="56" r:id="rId8"/>
    <sheet name="Transmission_Revenues" sheetId="48" r:id="rId9"/>
    <sheet name="st_nf" sheetId="12" r:id="rId10"/>
    <sheet name="Radial Facilities" sheetId="53" r:id="rId11"/>
    <sheet name="Dynamic_Scheduling" sheetId="60" r:id="rId12"/>
    <sheet name="Lake Worth Network" sheetId="84" r:id="rId13"/>
    <sheet name="Georgia Trans Network" sheetId="87" r:id="rId14"/>
    <sheet name="Lake Worth Network Transmission" sheetId="86" r:id="rId15"/>
    <sheet name="Lake Worth Forecast" sheetId="83" r:id="rId16"/>
    <sheet name="Homestead Network Transmission" sheetId="95" r:id="rId17"/>
    <sheet name="Homestead Forecast" sheetId="96" r:id="rId18"/>
    <sheet name="New Smyrna Network" sheetId="85" r:id="rId19"/>
    <sheet name="Blountstown Network" sheetId="79" r:id="rId20"/>
    <sheet name="Blountstown Forecast" sheetId="78" r:id="rId21"/>
    <sheet name="Winter Park Network" sheetId="82" r:id="rId22"/>
    <sheet name="Winter Park Forecast" sheetId="81" r:id="rId23"/>
    <sheet name="Quincy Transmission" sheetId="97" r:id="rId24"/>
    <sheet name="Quincy Forecast" sheetId="98" r:id="rId25"/>
    <sheet name="LCEC Network" sheetId="49" r:id="rId26"/>
    <sheet name="LCEC Forecast" sheetId="68" r:id="rId27"/>
    <sheet name="FKEC Network" sheetId="70" r:id="rId28"/>
    <sheet name="FKEC Forecast" sheetId="71" r:id="rId29"/>
    <sheet name="Wauchula Network" sheetId="73" r:id="rId30"/>
    <sheet name="Wauchula Forecast" sheetId="72" r:id="rId31"/>
    <sheet name="New Smyrna Beach" sheetId="20" r:id="rId32"/>
    <sheet name="Vero Beach Network" sheetId="61" r:id="rId33"/>
    <sheet name="FMPA Network" sheetId="14" r:id="rId34"/>
    <sheet name="FMPA Network Forecast" sheetId="63" r:id="rId35"/>
    <sheet name="SECI_Network_Forecast" sheetId="47" r:id="rId36"/>
    <sheet name="SECI_Regulation_Imbalance" sheetId="24" r:id="rId37"/>
    <sheet name="SECI Network" sheetId="18" r:id="rId38"/>
    <sheet name="SECI-Credit Settlement" sheetId="69" r:id="rId39"/>
    <sheet name="charges (1 &amp; 2)" sheetId="11" r:id="rId40"/>
    <sheet name="Transmission Formula Rate (7)" sheetId="67" r:id="rId41"/>
    <sheet name="TSAS Demand Revenues (7)" sheetId="4" r:id="rId42"/>
    <sheet name="TSAS Scheduling Revenue (1)" sheetId="64" r:id="rId43"/>
    <sheet name="TSAS Reactive Revenues (2)" sheetId="16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APB94" localSheetId="39">[1]ABPRSA!#REF!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'[2]TXSCHD Download'!#REF!</definedName>
    <definedName name="_Fill" localSheetId="1" hidden="1">'[2]TXSCHD Download'!#REF!</definedName>
    <definedName name="_Fill" localSheetId="2" hidden="1">'[2]TXSCHD Download'!#REF!</definedName>
    <definedName name="_Fill" localSheetId="3" hidden="1">'[2]TXSCHD Download'!#REF!</definedName>
    <definedName name="_Fill" localSheetId="4" hidden="1">'[2]TXSCHD Download'!#REF!</definedName>
    <definedName name="_Fill" localSheetId="5" hidden="1">'[2]TXSCHD Download'!#REF!</definedName>
    <definedName name="_Fill" localSheetId="20" hidden="1">'[2]TXSCHD Download'!#REF!</definedName>
    <definedName name="_Fill" localSheetId="19" hidden="1">'[2]TXSCHD Download'!#REF!</definedName>
    <definedName name="_Fill" localSheetId="13" hidden="1">'[2]TXSCHD Download'!#REF!</definedName>
    <definedName name="_Fill" localSheetId="17" hidden="1">'[2]TXSCHD Download'!#REF!</definedName>
    <definedName name="_Fill" localSheetId="16" hidden="1">'[2]TXSCHD Download'!#REF!</definedName>
    <definedName name="_Fill" localSheetId="15" hidden="1">'[2]TXSCHD Download'!#REF!</definedName>
    <definedName name="_Fill" localSheetId="12" hidden="1">'[2]TXSCHD Download'!#REF!</definedName>
    <definedName name="_Fill" localSheetId="14" hidden="1">'[2]TXSCHD Download'!#REF!</definedName>
    <definedName name="_Fill" localSheetId="18" hidden="1">'[2]TXSCHD Download'!#REF!</definedName>
    <definedName name="_Fill" localSheetId="24" hidden="1">'[2]TXSCHD Download'!#REF!</definedName>
    <definedName name="_Fill" localSheetId="23" hidden="1">'[2]TXSCHD Download'!#REF!</definedName>
    <definedName name="_Fill" localSheetId="22" hidden="1">'[2]TXSCHD Download'!#REF!</definedName>
    <definedName name="_Fill" localSheetId="21" hidden="1">'[2]TXSCHD Download'!#REF!</definedName>
    <definedName name="_Fill" hidden="1">'[2]TXSCHD Download'!#REF!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20" hidden="1">#REF!</definedName>
    <definedName name="_Key1" localSheetId="19" hidden="1">#REF!</definedName>
    <definedName name="_Key1" localSheetId="13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localSheetId="12" hidden="1">#REF!</definedName>
    <definedName name="_Key1" localSheetId="14" hidden="1">#REF!</definedName>
    <definedName name="_Key1" localSheetId="18" hidden="1">#REF!</definedName>
    <definedName name="_Key1" localSheetId="24" hidden="1">#REF!</definedName>
    <definedName name="_Key1" localSheetId="23" hidden="1">#REF!</definedName>
    <definedName name="_Key1" localSheetId="22" hidden="1">#REF!</definedName>
    <definedName name="_Key1" localSheetId="2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20" hidden="1">#REF!</definedName>
    <definedName name="_Key2" localSheetId="19" hidden="1">#REF!</definedName>
    <definedName name="_Key2" localSheetId="13" hidden="1">#REF!</definedName>
    <definedName name="_Key2" localSheetId="17" hidden="1">#REF!</definedName>
    <definedName name="_Key2" localSheetId="16" hidden="1">#REF!</definedName>
    <definedName name="_Key2" localSheetId="15" hidden="1">#REF!</definedName>
    <definedName name="_Key2" localSheetId="12" hidden="1">#REF!</definedName>
    <definedName name="_Key2" localSheetId="14" hidden="1">#REF!</definedName>
    <definedName name="_Key2" localSheetId="18" hidden="1">#REF!</definedName>
    <definedName name="_Key2" localSheetId="24" hidden="1">#REF!</definedName>
    <definedName name="_Key2" localSheetId="23" hidden="1">#REF!</definedName>
    <definedName name="_Key2" localSheetId="22" hidden="1">#REF!</definedName>
    <definedName name="_Key2" localSheetId="21" hidden="1">#REF!</definedName>
    <definedName name="_Key2" hidden="1">#REF!</definedName>
    <definedName name="_LTC9394" localSheetId="39">[1]L.T.Contracts!#REF!</definedName>
    <definedName name="_LTC9394" localSheetId="8">[3]L.T.Contracts!#REF!</definedName>
    <definedName name="_LTC95" localSheetId="8">[3]L.T.Contracts!#REF!</definedName>
    <definedName name="_Order1" hidden="1">255</definedName>
    <definedName name="_Order2" hidden="1">255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20" hidden="1">#REF!</definedName>
    <definedName name="_Parse_Out" localSheetId="19" hidden="1">#REF!</definedName>
    <definedName name="_Parse_Out" localSheetId="13" hidden="1">#REF!</definedName>
    <definedName name="_Parse_Out" localSheetId="17" hidden="1">#REF!</definedName>
    <definedName name="_Parse_Out" localSheetId="16" hidden="1">#REF!</definedName>
    <definedName name="_Parse_Out" localSheetId="15" hidden="1">#REF!</definedName>
    <definedName name="_Parse_Out" localSheetId="12" hidden="1">#REF!</definedName>
    <definedName name="_Parse_Out" localSheetId="14" hidden="1">#REF!</definedName>
    <definedName name="_Parse_Out" localSheetId="18" hidden="1">#REF!</definedName>
    <definedName name="_Parse_Out" localSheetId="24" hidden="1">#REF!</definedName>
    <definedName name="_Parse_Out" localSheetId="23" hidden="1">#REF!</definedName>
    <definedName name="_Parse_Out" localSheetId="22" hidden="1">#REF!</definedName>
    <definedName name="_Parse_Out" localSheetId="21" hidden="1">#REF!</definedName>
    <definedName name="_Parse_Out" hidden="1">#REF!</definedName>
    <definedName name="_PR9394" localSheetId="39">'[1]Partial Requirements'!#REF!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20" hidden="1">#REF!</definedName>
    <definedName name="_Regression_Out" localSheetId="19" hidden="1">#REF!</definedName>
    <definedName name="_Regression_Out" localSheetId="13" hidden="1">#REF!</definedName>
    <definedName name="_Regression_Out" localSheetId="17" hidden="1">#REF!</definedName>
    <definedName name="_Regression_Out" localSheetId="16" hidden="1">#REF!</definedName>
    <definedName name="_Regression_Out" localSheetId="15" hidden="1">#REF!</definedName>
    <definedName name="_Regression_Out" localSheetId="12" hidden="1">#REF!</definedName>
    <definedName name="_Regression_Out" localSheetId="14" hidden="1">#REF!</definedName>
    <definedName name="_Regression_Out" localSheetId="18" hidden="1">#REF!</definedName>
    <definedName name="_Regression_Out" localSheetId="24" hidden="1">#REF!</definedName>
    <definedName name="_Regression_Out" localSheetId="23" hidden="1">#REF!</definedName>
    <definedName name="_Regression_Out" localSheetId="22" hidden="1">#REF!</definedName>
    <definedName name="_Regression_Out" localSheetId="2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20" hidden="1">#REF!</definedName>
    <definedName name="_Regression_X" localSheetId="19" hidden="1">#REF!</definedName>
    <definedName name="_Regression_X" localSheetId="13" hidden="1">#REF!</definedName>
    <definedName name="_Regression_X" localSheetId="17" hidden="1">#REF!</definedName>
    <definedName name="_Regression_X" localSheetId="16" hidden="1">#REF!</definedName>
    <definedName name="_Regression_X" localSheetId="15" hidden="1">#REF!</definedName>
    <definedName name="_Regression_X" localSheetId="12" hidden="1">#REF!</definedName>
    <definedName name="_Regression_X" localSheetId="14" hidden="1">#REF!</definedName>
    <definedName name="_Regression_X" localSheetId="18" hidden="1">#REF!</definedName>
    <definedName name="_Regression_X" localSheetId="24" hidden="1">#REF!</definedName>
    <definedName name="_Regression_X" localSheetId="23" hidden="1">#REF!</definedName>
    <definedName name="_Regression_X" localSheetId="22" hidden="1">#REF!</definedName>
    <definedName name="_Regression_X" localSheetId="2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20" hidden="1">#REF!</definedName>
    <definedName name="_Regression_Y" localSheetId="19" hidden="1">#REF!</definedName>
    <definedName name="_Regression_Y" localSheetId="13" hidden="1">#REF!</definedName>
    <definedName name="_Regression_Y" localSheetId="17" hidden="1">#REF!</definedName>
    <definedName name="_Regression_Y" localSheetId="16" hidden="1">#REF!</definedName>
    <definedName name="_Regression_Y" localSheetId="15" hidden="1">#REF!</definedName>
    <definedName name="_Regression_Y" localSheetId="12" hidden="1">#REF!</definedName>
    <definedName name="_Regression_Y" localSheetId="14" hidden="1">#REF!</definedName>
    <definedName name="_Regression_Y" localSheetId="18" hidden="1">#REF!</definedName>
    <definedName name="_Regression_Y" localSheetId="24" hidden="1">#REF!</definedName>
    <definedName name="_Regression_Y" localSheetId="23" hidden="1">#REF!</definedName>
    <definedName name="_Regression_Y" localSheetId="22" hidden="1">#REF!</definedName>
    <definedName name="_Regression_Y" localSheetId="2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20" hidden="1">#REF!</definedName>
    <definedName name="_Sort" localSheetId="19" hidden="1">#REF!</definedName>
    <definedName name="_Sort" localSheetId="13" hidden="1">#REF!</definedName>
    <definedName name="_Sort" localSheetId="17" hidden="1">#REF!</definedName>
    <definedName name="_Sort" localSheetId="16" hidden="1">#REF!</definedName>
    <definedName name="_Sort" localSheetId="15" hidden="1">#REF!</definedName>
    <definedName name="_Sort" localSheetId="12" hidden="1">#REF!</definedName>
    <definedName name="_Sort" localSheetId="14" hidden="1">#REF!</definedName>
    <definedName name="_Sort" localSheetId="18" hidden="1">#REF!</definedName>
    <definedName name="_Sort" localSheetId="24" hidden="1">#REF!</definedName>
    <definedName name="_Sort" localSheetId="23" hidden="1">#REF!</definedName>
    <definedName name="_Sort" localSheetId="22" hidden="1">#REF!</definedName>
    <definedName name="_Sort" localSheetId="21" hidden="1">#REF!</definedName>
    <definedName name="_Sort" hidden="1">#REF!</definedName>
    <definedName name="ACwvu.DATABASE." localSheetId="0" hidden="1">[4]DATABASE!#REF!</definedName>
    <definedName name="ACwvu.DATABASE." localSheetId="1" hidden="1">[4]DATABASE!#REF!</definedName>
    <definedName name="ACwvu.DATABASE." localSheetId="2" hidden="1">[4]DATABASE!#REF!</definedName>
    <definedName name="ACwvu.DATABASE." localSheetId="3" hidden="1">[4]DATABASE!#REF!</definedName>
    <definedName name="ACwvu.DATABASE." localSheetId="4" hidden="1">[4]DATABASE!#REF!</definedName>
    <definedName name="ACwvu.DATABASE." localSheetId="5" hidden="1">[4]DATABASE!#REF!</definedName>
    <definedName name="ACwvu.DATABASE." localSheetId="20" hidden="1">[4]DATABASE!#REF!</definedName>
    <definedName name="ACwvu.DATABASE." localSheetId="19" hidden="1">[4]DATABASE!#REF!</definedName>
    <definedName name="ACwvu.DATABASE." localSheetId="13" hidden="1">[4]DATABASE!#REF!</definedName>
    <definedName name="ACwvu.DATABASE." localSheetId="17" hidden="1">[4]DATABASE!#REF!</definedName>
    <definedName name="ACwvu.DATABASE." localSheetId="16" hidden="1">[4]DATABASE!#REF!</definedName>
    <definedName name="ACwvu.DATABASE." localSheetId="15" hidden="1">[4]DATABASE!#REF!</definedName>
    <definedName name="ACwvu.DATABASE." localSheetId="12" hidden="1">[4]DATABASE!#REF!</definedName>
    <definedName name="ACwvu.DATABASE." localSheetId="14" hidden="1">[4]DATABASE!#REF!</definedName>
    <definedName name="ACwvu.DATABASE." localSheetId="18" hidden="1">[4]DATABASE!#REF!</definedName>
    <definedName name="ACwvu.DATABASE." localSheetId="24" hidden="1">[4]DATABASE!#REF!</definedName>
    <definedName name="ACwvu.DATABASE." localSheetId="23" hidden="1">[4]DATABASE!#REF!</definedName>
    <definedName name="ACwvu.DATABASE." localSheetId="22" hidden="1">[4]DATABASE!#REF!</definedName>
    <definedName name="ACwvu.DATABASE." localSheetId="21" hidden="1">[4]DATABASE!#REF!</definedName>
    <definedName name="ACwvu.DATABASE." hidden="1">[4]DATABASE!#REF!</definedName>
    <definedName name="ACwvu.OP." localSheetId="0" hidden="1">#REF!</definedName>
    <definedName name="ACwvu.OP." localSheetId="1" hidden="1">#REF!</definedName>
    <definedName name="ACwvu.OP." localSheetId="2" hidden="1">#REF!</definedName>
    <definedName name="ACwvu.OP." localSheetId="3" hidden="1">#REF!</definedName>
    <definedName name="ACwvu.OP." localSheetId="4" hidden="1">#REF!</definedName>
    <definedName name="ACwvu.OP." localSheetId="5" hidden="1">#REF!</definedName>
    <definedName name="ACwvu.OP." localSheetId="20" hidden="1">#REF!</definedName>
    <definedName name="ACwvu.OP." localSheetId="19" hidden="1">#REF!</definedName>
    <definedName name="ACwvu.OP." localSheetId="13" hidden="1">#REF!</definedName>
    <definedName name="ACwvu.OP." localSheetId="17" hidden="1">#REF!</definedName>
    <definedName name="ACwvu.OP." localSheetId="16" hidden="1">#REF!</definedName>
    <definedName name="ACwvu.OP." localSheetId="15" hidden="1">#REF!</definedName>
    <definedName name="ACwvu.OP." localSheetId="12" hidden="1">#REF!</definedName>
    <definedName name="ACwvu.OP." localSheetId="14" hidden="1">#REF!</definedName>
    <definedName name="ACwvu.OP." localSheetId="18" hidden="1">#REF!</definedName>
    <definedName name="ACwvu.OP." localSheetId="24" hidden="1">#REF!</definedName>
    <definedName name="ACwvu.OP." localSheetId="23" hidden="1">#REF!</definedName>
    <definedName name="ACwvu.OP." localSheetId="22" hidden="1">#REF!</definedName>
    <definedName name="ACwvu.OP." localSheetId="21" hidden="1">#REF!</definedName>
    <definedName name="ACwvu.OP." hidden="1">#REF!</definedName>
    <definedName name="AS2DocOpenMode" hidden="1">"AS2DocumentEdit"</definedName>
    <definedName name="BLPH2" localSheetId="0" hidden="1">'[5]Commercial Paper'!#REF!</definedName>
    <definedName name="BLPH2" localSheetId="1" hidden="1">'[5]Commercial Paper'!#REF!</definedName>
    <definedName name="BLPH2" localSheetId="2" hidden="1">'[5]Commercial Paper'!#REF!</definedName>
    <definedName name="BLPH2" localSheetId="3" hidden="1">'[5]Commercial Paper'!#REF!</definedName>
    <definedName name="BLPH2" localSheetId="4" hidden="1">'[5]Commercial Paper'!#REF!</definedName>
    <definedName name="BLPH2" localSheetId="5" hidden="1">'[5]Commercial Paper'!#REF!</definedName>
    <definedName name="BLPH2" localSheetId="20" hidden="1">'[5]Commercial Paper'!#REF!</definedName>
    <definedName name="BLPH2" localSheetId="19" hidden="1">'[5]Commercial Paper'!#REF!</definedName>
    <definedName name="BLPH2" localSheetId="13" hidden="1">'[5]Commercial Paper'!#REF!</definedName>
    <definedName name="BLPH2" localSheetId="17" hidden="1">'[5]Commercial Paper'!#REF!</definedName>
    <definedName name="BLPH2" localSheetId="16" hidden="1">'[5]Commercial Paper'!#REF!</definedName>
    <definedName name="BLPH2" localSheetId="15" hidden="1">'[5]Commercial Paper'!#REF!</definedName>
    <definedName name="BLPH2" localSheetId="12" hidden="1">'[5]Commercial Paper'!#REF!</definedName>
    <definedName name="BLPH2" localSheetId="14" hidden="1">'[5]Commercial Paper'!#REF!</definedName>
    <definedName name="BLPH2" localSheetId="18" hidden="1">'[5]Commercial Paper'!#REF!</definedName>
    <definedName name="BLPH2" localSheetId="24" hidden="1">'[5]Commercial Paper'!#REF!</definedName>
    <definedName name="BLPH2" localSheetId="23" hidden="1">'[5]Commercial Paper'!#REF!</definedName>
    <definedName name="BLPH2" localSheetId="22" hidden="1">'[5]Commercial Paper'!#REF!</definedName>
    <definedName name="BLPH2" localSheetId="21" hidden="1">'[5]Commercial Paper'!#REF!</definedName>
    <definedName name="BLPH2" hidden="1">'[5]Commercial Paper'!#REF!</definedName>
    <definedName name="BLPH3" localSheetId="0" hidden="1">'[5]Commercial Paper'!#REF!</definedName>
    <definedName name="BLPH3" localSheetId="1" hidden="1">'[5]Commercial Paper'!#REF!</definedName>
    <definedName name="BLPH3" localSheetId="2" hidden="1">'[5]Commercial Paper'!#REF!</definedName>
    <definedName name="BLPH3" localSheetId="3" hidden="1">'[5]Commercial Paper'!#REF!</definedName>
    <definedName name="BLPH3" localSheetId="4" hidden="1">'[5]Commercial Paper'!#REF!</definedName>
    <definedName name="BLPH3" localSheetId="5" hidden="1">'[5]Commercial Paper'!#REF!</definedName>
    <definedName name="BLPH3" localSheetId="20" hidden="1">'[5]Commercial Paper'!#REF!</definedName>
    <definedName name="BLPH3" localSheetId="19" hidden="1">'[5]Commercial Paper'!#REF!</definedName>
    <definedName name="BLPH3" localSheetId="13" hidden="1">'[5]Commercial Paper'!#REF!</definedName>
    <definedName name="BLPH3" localSheetId="17" hidden="1">'[5]Commercial Paper'!#REF!</definedName>
    <definedName name="BLPH3" localSheetId="16" hidden="1">'[5]Commercial Paper'!#REF!</definedName>
    <definedName name="BLPH3" localSheetId="15" hidden="1">'[5]Commercial Paper'!#REF!</definedName>
    <definedName name="BLPH3" localSheetId="12" hidden="1">'[5]Commercial Paper'!#REF!</definedName>
    <definedName name="BLPH3" localSheetId="14" hidden="1">'[5]Commercial Paper'!#REF!</definedName>
    <definedName name="BLPH3" localSheetId="18" hidden="1">'[5]Commercial Paper'!#REF!</definedName>
    <definedName name="BLPH3" localSheetId="24" hidden="1">'[5]Commercial Paper'!#REF!</definedName>
    <definedName name="BLPH3" localSheetId="23" hidden="1">'[5]Commercial Paper'!#REF!</definedName>
    <definedName name="BLPH3" localSheetId="22" hidden="1">'[5]Commercial Paper'!#REF!</definedName>
    <definedName name="BLPH3" localSheetId="21" hidden="1">'[5]Commercial Paper'!#REF!</definedName>
    <definedName name="BLPH3" hidden="1">'[5]Commercial Paper'!#REF!</definedName>
    <definedName name="BLPH4" localSheetId="0" hidden="1">'[5]Commercial Paper'!#REF!</definedName>
    <definedName name="BLPH4" localSheetId="1" hidden="1">'[5]Commercial Paper'!#REF!</definedName>
    <definedName name="BLPH4" localSheetId="2" hidden="1">'[5]Commercial Paper'!#REF!</definedName>
    <definedName name="BLPH4" localSheetId="3" hidden="1">'[5]Commercial Paper'!#REF!</definedName>
    <definedName name="BLPH4" localSheetId="4" hidden="1">'[5]Commercial Paper'!#REF!</definedName>
    <definedName name="BLPH4" localSheetId="5" hidden="1">'[5]Commercial Paper'!#REF!</definedName>
    <definedName name="BLPH4" localSheetId="20" hidden="1">'[5]Commercial Paper'!#REF!</definedName>
    <definedName name="BLPH4" localSheetId="19" hidden="1">'[5]Commercial Paper'!#REF!</definedName>
    <definedName name="BLPH4" localSheetId="13" hidden="1">'[5]Commercial Paper'!#REF!</definedName>
    <definedName name="BLPH4" localSheetId="17" hidden="1">'[5]Commercial Paper'!#REF!</definedName>
    <definedName name="BLPH4" localSheetId="16" hidden="1">'[5]Commercial Paper'!#REF!</definedName>
    <definedName name="BLPH4" localSheetId="15" hidden="1">'[5]Commercial Paper'!#REF!</definedName>
    <definedName name="BLPH4" localSheetId="12" hidden="1">'[5]Commercial Paper'!#REF!</definedName>
    <definedName name="BLPH4" localSheetId="14" hidden="1">'[5]Commercial Paper'!#REF!</definedName>
    <definedName name="BLPH4" localSheetId="18" hidden="1">'[5]Commercial Paper'!#REF!</definedName>
    <definedName name="BLPH4" localSheetId="24" hidden="1">'[5]Commercial Paper'!#REF!</definedName>
    <definedName name="BLPH4" localSheetId="23" hidden="1">'[5]Commercial Paper'!#REF!</definedName>
    <definedName name="BLPH4" localSheetId="22" hidden="1">'[5]Commercial Paper'!#REF!</definedName>
    <definedName name="BLPH4" localSheetId="21" hidden="1">'[5]Commercial Paper'!#REF!</definedName>
    <definedName name="BLPH4" hidden="1">'[5]Commercial Paper'!#REF!</definedName>
    <definedName name="BLPH5" localSheetId="0" hidden="1">'[5]Commercial Paper'!#REF!</definedName>
    <definedName name="BLPH5" localSheetId="1" hidden="1">'[5]Commercial Paper'!#REF!</definedName>
    <definedName name="BLPH5" localSheetId="2" hidden="1">'[5]Commercial Paper'!#REF!</definedName>
    <definedName name="BLPH5" localSheetId="3" hidden="1">'[5]Commercial Paper'!#REF!</definedName>
    <definedName name="BLPH5" localSheetId="4" hidden="1">'[5]Commercial Paper'!#REF!</definedName>
    <definedName name="BLPH5" localSheetId="5" hidden="1">'[5]Commercial Paper'!#REF!</definedName>
    <definedName name="BLPH5" localSheetId="20" hidden="1">'[5]Commercial Paper'!#REF!</definedName>
    <definedName name="BLPH5" localSheetId="19" hidden="1">'[5]Commercial Paper'!#REF!</definedName>
    <definedName name="BLPH5" localSheetId="13" hidden="1">'[5]Commercial Paper'!#REF!</definedName>
    <definedName name="BLPH5" localSheetId="17" hidden="1">'[5]Commercial Paper'!#REF!</definedName>
    <definedName name="BLPH5" localSheetId="16" hidden="1">'[5]Commercial Paper'!#REF!</definedName>
    <definedName name="BLPH5" localSheetId="15" hidden="1">'[5]Commercial Paper'!#REF!</definedName>
    <definedName name="BLPH5" localSheetId="12" hidden="1">'[5]Commercial Paper'!#REF!</definedName>
    <definedName name="BLPH5" localSheetId="14" hidden="1">'[5]Commercial Paper'!#REF!</definedName>
    <definedName name="BLPH5" localSheetId="18" hidden="1">'[5]Commercial Paper'!#REF!</definedName>
    <definedName name="BLPH5" localSheetId="24" hidden="1">'[5]Commercial Paper'!#REF!</definedName>
    <definedName name="BLPH5" localSheetId="23" hidden="1">'[5]Commercial Paper'!#REF!</definedName>
    <definedName name="BLPH5" localSheetId="22" hidden="1">'[5]Commercial Paper'!#REF!</definedName>
    <definedName name="BLPH5" localSheetId="21" hidden="1">'[5]Commercial Paper'!#REF!</definedName>
    <definedName name="BLPH5" hidden="1">'[5]Commercial Paper'!#REF!</definedName>
    <definedName name="BLPH6" localSheetId="0" hidden="1">'[5]Commercial Paper'!#REF!</definedName>
    <definedName name="BLPH6" localSheetId="1" hidden="1">'[5]Commercial Paper'!#REF!</definedName>
    <definedName name="BLPH6" localSheetId="2" hidden="1">'[5]Commercial Paper'!#REF!</definedName>
    <definedName name="BLPH6" localSheetId="3" hidden="1">'[5]Commercial Paper'!#REF!</definedName>
    <definedName name="BLPH6" localSheetId="4" hidden="1">'[5]Commercial Paper'!#REF!</definedName>
    <definedName name="BLPH6" localSheetId="5" hidden="1">'[5]Commercial Paper'!#REF!</definedName>
    <definedName name="BLPH6" localSheetId="20" hidden="1">'[5]Commercial Paper'!#REF!</definedName>
    <definedName name="BLPH6" localSheetId="19" hidden="1">'[5]Commercial Paper'!#REF!</definedName>
    <definedName name="BLPH6" localSheetId="13" hidden="1">'[5]Commercial Paper'!#REF!</definedName>
    <definedName name="BLPH6" localSheetId="17" hidden="1">'[5]Commercial Paper'!#REF!</definedName>
    <definedName name="BLPH6" localSheetId="16" hidden="1">'[5]Commercial Paper'!#REF!</definedName>
    <definedName name="BLPH6" localSheetId="15" hidden="1">'[5]Commercial Paper'!#REF!</definedName>
    <definedName name="BLPH6" localSheetId="12" hidden="1">'[5]Commercial Paper'!#REF!</definedName>
    <definedName name="BLPH6" localSheetId="14" hidden="1">'[5]Commercial Paper'!#REF!</definedName>
    <definedName name="BLPH6" localSheetId="18" hidden="1">'[5]Commercial Paper'!#REF!</definedName>
    <definedName name="BLPH6" localSheetId="24" hidden="1">'[5]Commercial Paper'!#REF!</definedName>
    <definedName name="BLPH6" localSheetId="23" hidden="1">'[5]Commercial Paper'!#REF!</definedName>
    <definedName name="BLPH6" localSheetId="22" hidden="1">'[5]Commercial Paper'!#REF!</definedName>
    <definedName name="BLPH6" localSheetId="21" hidden="1">'[5]Commercial Paper'!#REF!</definedName>
    <definedName name="BLPH6" hidden="1">'[5]Commercial Paper'!#REF!</definedName>
    <definedName name="delete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lete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sfds" localSheetId="0" hidden="1">#REF!</definedName>
    <definedName name="dsfds" localSheetId="1" hidden="1">#REF!</definedName>
    <definedName name="dsfds" localSheetId="2" hidden="1">#REF!</definedName>
    <definedName name="dsfds" localSheetId="3" hidden="1">#REF!</definedName>
    <definedName name="dsfds" localSheetId="4" hidden="1">#REF!</definedName>
    <definedName name="dsfds" localSheetId="5" hidden="1">#REF!</definedName>
    <definedName name="dsfds" localSheetId="20" hidden="1">#REF!</definedName>
    <definedName name="dsfds" localSheetId="19" hidden="1">#REF!</definedName>
    <definedName name="dsfds" localSheetId="13" hidden="1">#REF!</definedName>
    <definedName name="dsfds" localSheetId="17" hidden="1">#REF!</definedName>
    <definedName name="dsfds" localSheetId="16" hidden="1">#REF!</definedName>
    <definedName name="dsfds" localSheetId="15" hidden="1">#REF!</definedName>
    <definedName name="dsfds" localSheetId="12" hidden="1">#REF!</definedName>
    <definedName name="dsfds" localSheetId="14" hidden="1">#REF!</definedName>
    <definedName name="dsfds" localSheetId="18" hidden="1">#REF!</definedName>
    <definedName name="dsfds" localSheetId="24" hidden="1">#REF!</definedName>
    <definedName name="dsfds" localSheetId="23" hidden="1">#REF!</definedName>
    <definedName name="dsfds" localSheetId="22" hidden="1">#REF!</definedName>
    <definedName name="dsfds" localSheetId="21" hidden="1">#REF!</definedName>
    <definedName name="dsfds" hidden="1">#REF!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FR9394_" localSheetId="39">'[1]Full Requirements'!#REF!</definedName>
    <definedName name="jpg" localSheetId="0" hidden="1">{"detail305",#N/A,FALSE,"BI-305"}</definedName>
    <definedName name="jpg" localSheetId="1" hidden="1">{"detail305",#N/A,FALSE,"BI-305"}</definedName>
    <definedName name="jpg" localSheetId="2" hidden="1">{"detail305",#N/A,FALSE,"BI-305"}</definedName>
    <definedName name="jpg" localSheetId="3" hidden="1">{"detail305",#N/A,FALSE,"BI-305"}</definedName>
    <definedName name="jpg" localSheetId="4" hidden="1">{"detail305",#N/A,FALSE,"BI-305"}</definedName>
    <definedName name="jpg" localSheetId="5" hidden="1">{"detail305",#N/A,FALSE,"BI-305"}</definedName>
    <definedName name="jpg" hidden="1">{"detail305",#N/A,FALSE,"BI-305"}</definedName>
    <definedName name="MIKE" localSheetId="0" hidden="1">{"detail305",#N/A,FALSE,"BI-305"}</definedName>
    <definedName name="MIKE" localSheetId="1" hidden="1">{"detail305",#N/A,FALSE,"BI-305"}</definedName>
    <definedName name="MIKE" localSheetId="2" hidden="1">{"detail305",#N/A,FALSE,"BI-305"}</definedName>
    <definedName name="MIKE" localSheetId="3" hidden="1">{"detail305",#N/A,FALSE,"BI-305"}</definedName>
    <definedName name="MIKE" localSheetId="4" hidden="1">{"detail305",#N/A,FALSE,"BI-305"}</definedName>
    <definedName name="MIKE" localSheetId="5" hidden="1">{"detail305",#N/A,FALSE,"BI-305"}</definedName>
    <definedName name="MIKE" hidden="1">{"detail305",#N/A,FALSE,"BI-305"}</definedName>
    <definedName name="Pal_Workbook_GUID" hidden="1">"55M98ACSJ98FTSKW6UFXFD98"</definedName>
    <definedName name="PGD" localSheetId="0" hidden="1">{"detail305",#N/A,FALSE,"BI-305"}</definedName>
    <definedName name="PGD" localSheetId="1" hidden="1">{"detail305",#N/A,FALSE,"BI-305"}</definedName>
    <definedName name="PGD" localSheetId="2" hidden="1">{"detail305",#N/A,FALSE,"BI-305"}</definedName>
    <definedName name="PGD" localSheetId="3" hidden="1">{"detail305",#N/A,FALSE,"BI-305"}</definedName>
    <definedName name="PGD" localSheetId="4" hidden="1">{"detail305",#N/A,FALSE,"BI-305"}</definedName>
    <definedName name="PGD" localSheetId="5" hidden="1">{"detail305",#N/A,FALSE,"BI-305"}</definedName>
    <definedName name="PGD" hidden="1">{"detail305",#N/A,FALSE,"BI-305"}</definedName>
    <definedName name="pmm" localSheetId="0" hidden="1">{"summary",#N/A,FALSE,"PCR DIRECTORY"}</definedName>
    <definedName name="pmm" localSheetId="1" hidden="1">{"summary",#N/A,FALSE,"PCR DIRECTORY"}</definedName>
    <definedName name="pmm" localSheetId="2" hidden="1">{"summary",#N/A,FALSE,"PCR DIRECTORY"}</definedName>
    <definedName name="pmm" localSheetId="3" hidden="1">{"summary",#N/A,FALSE,"PCR DIRECTORY"}</definedName>
    <definedName name="pmm" localSheetId="4" hidden="1">{"summary",#N/A,FALSE,"PCR DIRECTORY"}</definedName>
    <definedName name="pmm" localSheetId="5" hidden="1">{"summary",#N/A,FALSE,"PCR DIRECTORY"}</definedName>
    <definedName name="pmm" hidden="1">{"summary",#N/A,FALSE,"PCR DIRECTORY"}</definedName>
    <definedName name="PMT" localSheetId="0" hidden="1">{"detail305",#N/A,FALSE,"BI-305"}</definedName>
    <definedName name="PMT" localSheetId="1" hidden="1">{"detail305",#N/A,FALSE,"BI-305"}</definedName>
    <definedName name="PMT" localSheetId="2" hidden="1">{"detail305",#N/A,FALSE,"BI-305"}</definedName>
    <definedName name="PMT" localSheetId="3" hidden="1">{"detail305",#N/A,FALSE,"BI-305"}</definedName>
    <definedName name="PMT" localSheetId="4" hidden="1">{"detail305",#N/A,FALSE,"BI-305"}</definedName>
    <definedName name="PMT" localSheetId="5" hidden="1">{"detail305",#N/A,FALSE,"BI-305"}</definedName>
    <definedName name="PMT" hidden="1">{"detail305",#N/A,FALSE,"BI-305"}</definedName>
    <definedName name="PMX" localSheetId="0" hidden="1">{"detail305",#N/A,FALSE,"BI-305"}</definedName>
    <definedName name="PMX" localSheetId="1" hidden="1">{"detail305",#N/A,FALSE,"BI-305"}</definedName>
    <definedName name="PMX" localSheetId="2" hidden="1">{"detail305",#N/A,FALSE,"BI-305"}</definedName>
    <definedName name="PMX" localSheetId="3" hidden="1">{"detail305",#N/A,FALSE,"BI-305"}</definedName>
    <definedName name="PMX" localSheetId="4" hidden="1">{"detail305",#N/A,FALSE,"BI-305"}</definedName>
    <definedName name="PMX" localSheetId="5" hidden="1">{"detail305",#N/A,FALSE,"BI-305"}</definedName>
    <definedName name="PMX" hidden="1">{"detail305",#N/A,FALSE,"BI-305"}</definedName>
    <definedName name="_xlnm.Print_Area" localSheetId="19">'Blountstown Network'!$A$4:$N$94</definedName>
    <definedName name="_xlnm.Print_Area" localSheetId="39">'charges (1 &amp; 2)'!$C$9:$K$42</definedName>
    <definedName name="_xlnm.Print_Area" localSheetId="11">Dynamic_Scheduling!$A$4:$N$17</definedName>
    <definedName name="_xlnm.Print_Area" localSheetId="33">'FMPA Network'!$A$4:$N$157</definedName>
    <definedName name="_xlnm.Print_Area" localSheetId="34">'FMPA Network Forecast'!$A$4:$O$40</definedName>
    <definedName name="_xlnm.Print_Area" localSheetId="13">'Georgia Trans Network'!$A$4:$N$150</definedName>
    <definedName name="_xlnm.Print_Area" localSheetId="16">'Homestead Network Transmission'!$A$4:$N$170</definedName>
    <definedName name="_xlnm.Print_Area" localSheetId="12">'Lake Worth Network'!$A$4:$N$109</definedName>
    <definedName name="_xlnm.Print_Area" localSheetId="14">'Lake Worth Network Transmission'!$A$3:$N$169</definedName>
    <definedName name="_xlnm.Print_Area" localSheetId="25">'LCEC Network'!$A$4:$N$110</definedName>
    <definedName name="_xlnm.Print_Area" localSheetId="18">'New Smyrna Network'!$A$5:$N$167</definedName>
    <definedName name="_xlnm.Print_Area" localSheetId="23">'Quincy Transmission'!$A$4:$N$104</definedName>
    <definedName name="_xlnm.Print_Area" localSheetId="10">'Radial Facilities'!$A$3:$N$90</definedName>
    <definedName name="_xlnm.Print_Area" localSheetId="6">Revenue_Variance.!$A$1:$F$226</definedName>
    <definedName name="_xlnm.Print_Area" localSheetId="37">'SECI Network'!$A$4:$N$153</definedName>
    <definedName name="_xlnm.Print_Area" localSheetId="35">SECI_Network_Forecast!$A$4:$Q$30</definedName>
    <definedName name="_xlnm.Print_Area" localSheetId="36">SECI_Regulation_Imbalance!$A$4:$N$93</definedName>
    <definedName name="_xlnm.Print_Area" localSheetId="9">st_nf!$A$4:$P$11</definedName>
    <definedName name="_xlnm.Print_Area" localSheetId="8">Transmission_Revenues!$A$7:$O$331</definedName>
    <definedName name="_xlnm.Print_Area" localSheetId="41">'TSAS Demand Revenues (7)'!$A$4:$N$378</definedName>
    <definedName name="_xlnm.Print_Area" localSheetId="43">'TSAS Reactive Revenues (2)'!$A$8:$N$379</definedName>
    <definedName name="_xlnm.Print_Area" localSheetId="42">'TSAS Scheduling Revenue (1)'!$A$8:$N$389</definedName>
    <definedName name="_xlnm.Print_Area" localSheetId="32">'Vero Beach Network'!$B$8:$N$156</definedName>
    <definedName name="_xlnm.Print_Area" localSheetId="29">'Wauchula Network'!$A$4:$N$94</definedName>
    <definedName name="_xlnm.Print_Area" localSheetId="21">'Winter Park Network'!$A$4:$N$104</definedName>
    <definedName name="_xlnm.Print_Titles" localSheetId="39">'charges (1 &amp; 2)'!$A:$B,'charges (1 &amp; 2)'!$5:$8</definedName>
    <definedName name="_xlnm.Print_Titles" localSheetId="33">'FMPA Network'!$A:$A,'FMPA Network'!$4:$7</definedName>
    <definedName name="_xlnm.Print_Titles" localSheetId="25">'LCEC Network'!$A:$A,'LCEC Network'!$4:$7</definedName>
    <definedName name="_xlnm.Print_Titles" localSheetId="37">'SECI Network'!$A:$A,'SECI Network'!$4:$7</definedName>
    <definedName name="_xlnm.Print_Titles" localSheetId="36">SECI_Regulation_Imbalance!$A:$A,SECI_Regulation_Imbalance!$4:$7</definedName>
    <definedName name="_xlnm.Print_Titles" localSheetId="8">Transmission_Revenues!$1:$6</definedName>
    <definedName name="_xlnm.Print_Titles" localSheetId="41">'TSAS Demand Revenues (7)'!$A:$A,'TSAS Demand Revenues (7)'!$4:$7</definedName>
    <definedName name="_xlnm.Print_Titles" localSheetId="43">'TSAS Reactive Revenues (2)'!$A:$A,'TSAS Reactive Revenues (2)'!$4:$7</definedName>
    <definedName name="_xlnm.Print_Titles" localSheetId="42">'TSAS Scheduling Revenue (1)'!$A:$A,'TSAS Scheduling Revenue (1)'!$4:$7</definedName>
    <definedName name="_xlnm.Print_Titles" localSheetId="32">'Vero Beach Network'!$A:$A,'Vero Beach Network'!$4:$7</definedName>
    <definedName name="q" localSheetId="0" hidden="1">{"MATALL",#N/A,FALSE,"Sheet4";"matclass",#N/A,FALSE,"Sheet4"}</definedName>
    <definedName name="q" localSheetId="1" hidden="1">{"MATALL",#N/A,FALSE,"Sheet4";"matclass",#N/A,FALSE,"Sheet4"}</definedName>
    <definedName name="q" localSheetId="2" hidden="1">{"MATALL",#N/A,FALSE,"Sheet4";"matclass",#N/A,FALSE,"Sheet4"}</definedName>
    <definedName name="q" localSheetId="3" hidden="1">{"MATALL",#N/A,FALSE,"Sheet4";"matclass",#N/A,FALSE,"Sheet4"}</definedName>
    <definedName name="q" localSheetId="4" hidden="1">{"MATALL",#N/A,FALSE,"Sheet4";"matclass",#N/A,FALSE,"Sheet4"}</definedName>
    <definedName name="q" localSheetId="5" hidden="1">{"MATALL",#N/A,FALSE,"Sheet4";"matclass",#N/A,FALSE,"Sheet4"}</definedName>
    <definedName name="q" hidden="1">{"MATALL",#N/A,FALSE,"Sheet4";"matclass",#N/A,FALSE,"Sheet4"}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" localSheetId="0" hidden="1">{"summary",#N/A,FALSE,"PCR DIRECTORY"}</definedName>
    <definedName name="sada" localSheetId="1" hidden="1">{"summary",#N/A,FALSE,"PCR DIRECTORY"}</definedName>
    <definedName name="sada" localSheetId="2" hidden="1">{"summary",#N/A,FALSE,"PCR DIRECTORY"}</definedName>
    <definedName name="sada" localSheetId="3" hidden="1">{"summary",#N/A,FALSE,"PCR DIRECTORY"}</definedName>
    <definedName name="sada" localSheetId="4" hidden="1">{"summary",#N/A,FALSE,"PCR DIRECTORY"}</definedName>
    <definedName name="sada" localSheetId="5" hidden="1">{"summary",#N/A,FALSE,"PCR DIRECTORY"}</definedName>
    <definedName name="sada" hidden="1">{"summary",#N/A,FALSE,"PCR DIRECTORY"}</definedName>
    <definedName name="SUMREV" localSheetId="8">Transmission_Revenues!$A$5:$O$13</definedName>
    <definedName name="Swvu.DATABASE." localSheetId="0" hidden="1">[4]DATABASE!#REF!</definedName>
    <definedName name="Swvu.DATABASE." localSheetId="2" hidden="1">[4]DATABASE!#REF!</definedName>
    <definedName name="Swvu.DATABASE." localSheetId="3" hidden="1">[4]DATABASE!#REF!</definedName>
    <definedName name="Swvu.DATABASE." localSheetId="4" hidden="1">[4]DATABASE!#REF!</definedName>
    <definedName name="Swvu.DATABASE." localSheetId="5" hidden="1">[4]DATABASE!#REF!</definedName>
    <definedName name="Swvu.DATABASE." localSheetId="20" hidden="1">[4]DATABASE!#REF!</definedName>
    <definedName name="Swvu.DATABASE." localSheetId="19" hidden="1">[4]DATABASE!#REF!</definedName>
    <definedName name="Swvu.DATABASE." localSheetId="13" hidden="1">[4]DATABASE!#REF!</definedName>
    <definedName name="Swvu.DATABASE." localSheetId="17" hidden="1">[4]DATABASE!#REF!</definedName>
    <definedName name="Swvu.DATABASE." localSheetId="16" hidden="1">[4]DATABASE!#REF!</definedName>
    <definedName name="Swvu.DATABASE." localSheetId="15" hidden="1">[4]DATABASE!#REF!</definedName>
    <definedName name="Swvu.DATABASE." localSheetId="12" hidden="1">[4]DATABASE!#REF!</definedName>
    <definedName name="Swvu.DATABASE." localSheetId="14" hidden="1">[4]DATABASE!#REF!</definedName>
    <definedName name="Swvu.DATABASE." localSheetId="18" hidden="1">[4]DATABASE!#REF!</definedName>
    <definedName name="Swvu.DATABASE." localSheetId="24" hidden="1">[4]DATABASE!#REF!</definedName>
    <definedName name="Swvu.DATABASE." localSheetId="23" hidden="1">[4]DATABASE!#REF!</definedName>
    <definedName name="Swvu.DATABASE." localSheetId="22" hidden="1">[4]DATABASE!#REF!</definedName>
    <definedName name="Swvu.DATABASE." localSheetId="21" hidden="1">[4]DATABASE!#REF!</definedName>
    <definedName name="Swvu.DATABASE." hidden="1">[4]DATABASE!#REF!</definedName>
    <definedName name="Swvu.OP." localSheetId="0" hidden="1">#REF!</definedName>
    <definedName name="Swvu.OP." localSheetId="1" hidden="1">#REF!</definedName>
    <definedName name="Swvu.OP." localSheetId="2" hidden="1">#REF!</definedName>
    <definedName name="Swvu.OP." localSheetId="3" hidden="1">#REF!</definedName>
    <definedName name="Swvu.OP." localSheetId="4" hidden="1">#REF!</definedName>
    <definedName name="Swvu.OP." localSheetId="5" hidden="1">#REF!</definedName>
    <definedName name="Swvu.OP." localSheetId="20" hidden="1">#REF!</definedName>
    <definedName name="Swvu.OP." localSheetId="19" hidden="1">#REF!</definedName>
    <definedName name="Swvu.OP." localSheetId="13" hidden="1">#REF!</definedName>
    <definedName name="Swvu.OP." localSheetId="17" hidden="1">#REF!</definedName>
    <definedName name="Swvu.OP." localSheetId="16" hidden="1">#REF!</definedName>
    <definedName name="Swvu.OP." localSheetId="15" hidden="1">#REF!</definedName>
    <definedName name="Swvu.OP." localSheetId="12" hidden="1">#REF!</definedName>
    <definedName name="Swvu.OP." localSheetId="14" hidden="1">#REF!</definedName>
    <definedName name="Swvu.OP." localSheetId="18" hidden="1">#REF!</definedName>
    <definedName name="Swvu.OP." localSheetId="24" hidden="1">#REF!</definedName>
    <definedName name="Swvu.OP." localSheetId="23" hidden="1">#REF!</definedName>
    <definedName name="Swvu.OP." localSheetId="22" hidden="1">#REF!</definedName>
    <definedName name="Swvu.OP." localSheetId="21" hidden="1">#REF!</definedName>
    <definedName name="Swvu.OP." hidden="1">#REF!</definedName>
    <definedName name="TAMI" localSheetId="0" hidden="1">{"summary",#N/A,FALSE,"PCR DIRECTORY"}</definedName>
    <definedName name="TAMI" localSheetId="1" hidden="1">{"summary",#N/A,FALSE,"PCR DIRECTORY"}</definedName>
    <definedName name="TAMI" localSheetId="2" hidden="1">{"summary",#N/A,FALSE,"PCR DIRECTORY"}</definedName>
    <definedName name="TAMI" localSheetId="3" hidden="1">{"summary",#N/A,FALSE,"PCR DIRECTORY"}</definedName>
    <definedName name="TAMI" localSheetId="4" hidden="1">{"summary",#N/A,FALSE,"PCR DIRECTORY"}</definedName>
    <definedName name="TAMI" localSheetId="5" hidden="1">{"summary",#N/A,FALSE,"PCR DIRECTORY"}</definedName>
    <definedName name="TAMI" hidden="1">{"summary",#N/A,FALSE,"PCR DIRECTORY"}</definedName>
    <definedName name="TEST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" localSheetId="0" hidden="1">{"MATALL",#N/A,FALSE,"Sheet4";"matclass",#N/A,FALSE,"Sheet4"}</definedName>
    <definedName name="w" localSheetId="1" hidden="1">{"MATALL",#N/A,FALSE,"Sheet4";"matclass",#N/A,FALSE,"Sheet4"}</definedName>
    <definedName name="w" localSheetId="2" hidden="1">{"MATALL",#N/A,FALSE,"Sheet4";"matclass",#N/A,FALSE,"Sheet4"}</definedName>
    <definedName name="w" localSheetId="3" hidden="1">{"MATALL",#N/A,FALSE,"Sheet4";"matclass",#N/A,FALSE,"Sheet4"}</definedName>
    <definedName name="w" localSheetId="4" hidden="1">{"MATALL",#N/A,FALSE,"Sheet4";"matclass",#N/A,FALSE,"Sheet4"}</definedName>
    <definedName name="w" localSheetId="5" hidden="1">{"MATALL",#N/A,FALSE,"Sheet4";"matclass",#N/A,FALSE,"Sheet4"}</definedName>
    <definedName name="w" hidden="1">{"MATALL",#N/A,FALSE,"Sheet4";"matclass",#N/A,FALSE,"Sheet4"}</definedName>
    <definedName name="WORKCAPa" localSheetId="0" hidden="1">{"WCCWCLL",#N/A,FALSE,"Sheet3";"PP",#N/A,FALSE,"Sheet3";"MAT1",#N/A,FALSE,"Sheet3";"MAT2",#N/A,FALSE,"Sheet3"}</definedName>
    <definedName name="WORKCAPa" localSheetId="1" hidden="1">{"WCCWCLL",#N/A,FALSE,"Sheet3";"PP",#N/A,FALSE,"Sheet3";"MAT1",#N/A,FALSE,"Sheet3";"MAT2",#N/A,FALSE,"Sheet3"}</definedName>
    <definedName name="WORKCAPa" localSheetId="2" hidden="1">{"WCCWCLL",#N/A,FALSE,"Sheet3";"PP",#N/A,FALSE,"Sheet3";"MAT1",#N/A,FALSE,"Sheet3";"MAT2",#N/A,FALSE,"Sheet3"}</definedName>
    <definedName name="WORKCAPa" localSheetId="3" hidden="1">{"WCCWCLL",#N/A,FALSE,"Sheet3";"PP",#N/A,FALSE,"Sheet3";"MAT1",#N/A,FALSE,"Sheet3";"MAT2",#N/A,FALSE,"Sheet3"}</definedName>
    <definedName name="WORKCAPa" localSheetId="4" hidden="1">{"WCCWCLL",#N/A,FALSE,"Sheet3";"PP",#N/A,FALSE,"Sheet3";"MAT1",#N/A,FALSE,"Sheet3";"MAT2",#N/A,FALSE,"Sheet3"}</definedName>
    <definedName name="WORKCAPa" localSheetId="5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rn.97maint.xls." localSheetId="0" hidden="1">{#N/A,#N/A,TRUE,"TOTAL DISTRIBUTION";#N/A,#N/A,TRUE,"SOUTH";#N/A,#N/A,TRUE,"NORTHEAST";#N/A,#N/A,TRUE,"WEST"}</definedName>
    <definedName name="wrn.97maint.xls." localSheetId="1" hidden="1">{#N/A,#N/A,TRUE,"TOTAL DISTRIBUTION";#N/A,#N/A,TRUE,"SOUTH";#N/A,#N/A,TRUE,"NORTHEAST";#N/A,#N/A,TRUE,"WEST"}</definedName>
    <definedName name="wrn.97maint.xls." localSheetId="2" hidden="1">{#N/A,#N/A,TRUE,"TOTAL DISTRIBUTION";#N/A,#N/A,TRUE,"SOUTH";#N/A,#N/A,TRUE,"NORTHEAST";#N/A,#N/A,TRUE,"WEST"}</definedName>
    <definedName name="wrn.97maint.xls." localSheetId="3" hidden="1">{#N/A,#N/A,TRUE,"TOTAL DISTRIBUTION";#N/A,#N/A,TRUE,"SOUTH";#N/A,#N/A,TRUE,"NORTHEAST";#N/A,#N/A,TRUE,"WEST"}</definedName>
    <definedName name="wrn.97maint.xls." localSheetId="4" hidden="1">{#N/A,#N/A,TRUE,"TOTAL DISTRIBUTION";#N/A,#N/A,TRUE,"SOUTH";#N/A,#N/A,TRUE,"NORTHEAST";#N/A,#N/A,TRUE,"WEST"}</definedName>
    <definedName name="wrn.97maint.xls." localSheetId="5" hidden="1">{#N/A,#N/A,TRUE,"TOTAL DISTRIBUTION";#N/A,#N/A,TRUE,"SOUTH";#N/A,#N/A,TRUE,"NORTHEAST";#N/A,#N/A,TRUE,"WEST"}</definedName>
    <definedName name="wrn.97maint.xls." hidden="1">{#N/A,#N/A,TRUE,"TOTAL DISTRIBUTION";#N/A,#N/A,TRUE,"SOUTH";#N/A,#N/A,TRUE,"NORTHEAST";#N/A,#N/A,TRUE,"WEST"}</definedName>
    <definedName name="wrn.97OR.XLs." localSheetId="0" hidden="1">{#N/A,#N/A,TRUE,"TOTAL DSBN";#N/A,#N/A,TRUE,"WEST";#N/A,#N/A,TRUE,"SOUTH";#N/A,#N/A,TRUE,"NORTHEAST"}</definedName>
    <definedName name="wrn.97OR.XLs." localSheetId="1" hidden="1">{#N/A,#N/A,TRUE,"TOTAL DSBN";#N/A,#N/A,TRUE,"WEST";#N/A,#N/A,TRUE,"SOUTH";#N/A,#N/A,TRUE,"NORTHEAST"}</definedName>
    <definedName name="wrn.97OR.XLs." localSheetId="2" hidden="1">{#N/A,#N/A,TRUE,"TOTAL DSBN";#N/A,#N/A,TRUE,"WEST";#N/A,#N/A,TRUE,"SOUTH";#N/A,#N/A,TRUE,"NORTHEAST"}</definedName>
    <definedName name="wrn.97OR.XLs." localSheetId="3" hidden="1">{#N/A,#N/A,TRUE,"TOTAL DSBN";#N/A,#N/A,TRUE,"WEST";#N/A,#N/A,TRUE,"SOUTH";#N/A,#N/A,TRUE,"NORTHEAST"}</definedName>
    <definedName name="wrn.97OR.XLs." localSheetId="4" hidden="1">{#N/A,#N/A,TRUE,"TOTAL DSBN";#N/A,#N/A,TRUE,"WEST";#N/A,#N/A,TRUE,"SOUTH";#N/A,#N/A,TRUE,"NORTHEAST"}</definedName>
    <definedName name="wrn.97OR.XLs." localSheetId="5" hidden="1">{#N/A,#N/A,TRUE,"TOTAL DSBN";#N/A,#N/A,TRUE,"WEST";#N/A,#N/A,TRUE,"SOUTH";#N/A,#N/A,TRUE,"NORTHEAST"}</definedName>
    <definedName name="wrn.97OR.XLs." hidden="1">{#N/A,#N/A,TRUE,"TOTAL DSBN";#N/A,#N/A,TRUE,"WEST";#N/A,#N/A,TRUE,"SOUTH";#N/A,#N/A,TRUE,"NORTHEAST"}</definedName>
    <definedName name="wrn.AFUDC." localSheetId="0" hidden="1">{#N/A,#N/A,FALSE,"AFDC"}</definedName>
    <definedName name="wrn.AFUDC." localSheetId="1" hidden="1">{#N/A,#N/A,FALSE,"AFDC"}</definedName>
    <definedName name="wrn.AFUDC." localSheetId="2" hidden="1">{#N/A,#N/A,FALSE,"AFDC"}</definedName>
    <definedName name="wrn.AFUDC." localSheetId="3" hidden="1">{#N/A,#N/A,FALSE,"AFDC"}</definedName>
    <definedName name="wrn.AFUDC." localSheetId="4" hidden="1">{#N/A,#N/A,FALSE,"AFDC"}</definedName>
    <definedName name="wrn.AFUDC." localSheetId="5" hidden="1">{#N/A,#N/A,FALSE,"AFDC"}</definedName>
    <definedName name="wrn.AFUDC." hidden="1">{#N/A,#N/A,FALSE,"AFDC"}</definedName>
    <definedName name="wrn.cwip." localSheetId="0" hidden="1">{"CWIP2",#N/A,FALSE,"CWIP";"CWIP3",#N/A,FALSE,"CWIP"}</definedName>
    <definedName name="wrn.cwip." localSheetId="1" hidden="1">{"CWIP2",#N/A,FALSE,"CWIP";"CWIP3",#N/A,FALSE,"CWIP"}</definedName>
    <definedName name="wrn.cwip." localSheetId="2" hidden="1">{"CWIP2",#N/A,FALSE,"CWIP";"CWIP3",#N/A,FALSE,"CWIP"}</definedName>
    <definedName name="wrn.cwip." localSheetId="3" hidden="1">{"CWIP2",#N/A,FALSE,"CWIP";"CWIP3",#N/A,FALSE,"CWIP"}</definedName>
    <definedName name="wrn.cwip." localSheetId="4" hidden="1">{"CWIP2",#N/A,FALSE,"CWIP";"CWIP3",#N/A,FALSE,"CWIP"}</definedName>
    <definedName name="wrn.cwip." localSheetId="5" hidden="1">{"CWIP2",#N/A,FALSE,"CWIP";"CWIP3",#N/A,FALSE,"CWIP"}</definedName>
    <definedName name="wrn.cwip." hidden="1">{"CWIP2",#N/A,FALSE,"CWIP";"CWIP3",#N/A,FALSE,"CWIP"}</definedName>
    <definedName name="wrn.cwipa" localSheetId="0" hidden="1">{"CWIP2",#N/A,FALSE,"CWIP";"CWIP3",#N/A,FALSE,"CWIP"}</definedName>
    <definedName name="wrn.cwipa" localSheetId="1" hidden="1">{"CWIP2",#N/A,FALSE,"CWIP";"CWIP3",#N/A,FALSE,"CWIP"}</definedName>
    <definedName name="wrn.cwipa" localSheetId="2" hidden="1">{"CWIP2",#N/A,FALSE,"CWIP";"CWIP3",#N/A,FALSE,"CWIP"}</definedName>
    <definedName name="wrn.cwipa" localSheetId="3" hidden="1">{"CWIP2",#N/A,FALSE,"CWIP";"CWIP3",#N/A,FALSE,"CWIP"}</definedName>
    <definedName name="wrn.cwipa" localSheetId="4" hidden="1">{"CWIP2",#N/A,FALSE,"CWIP";"CWIP3",#N/A,FALSE,"CWIP"}</definedName>
    <definedName name="wrn.cwipa" localSheetId="5" hidden="1">{"CWIP2",#N/A,FALSE,"CWIP";"CWIP3",#N/A,FALSE,"CWIP"}</definedName>
    <definedName name="wrn.cwipa" hidden="1">{"CWIP2",#N/A,FALSE,"CWIP";"CWIP3",#N/A,FALSE,"CWIP"}</definedName>
    <definedName name="wrn.Detail._.Support._.and._.Summary." localSheetId="0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1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2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3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4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5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arnings._.Test." localSheetId="0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1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2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3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4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5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FRT." localSheetId="0" hidden="1">{"EFRT Pg 1",#N/A,FALSE,"EFRT (2)";"EFRT Pg 2",#N/A,FALSE,"EFRT (2)"}</definedName>
    <definedName name="wrn.EFRT." localSheetId="1" hidden="1">{"EFRT Pg 1",#N/A,FALSE,"EFRT (2)";"EFRT Pg 2",#N/A,FALSE,"EFRT (2)"}</definedName>
    <definedName name="wrn.EFRT." localSheetId="2" hidden="1">{"EFRT Pg 1",#N/A,FALSE,"EFRT (2)";"EFRT Pg 2",#N/A,FALSE,"EFRT (2)"}</definedName>
    <definedName name="wrn.EFRT." localSheetId="3" hidden="1">{"EFRT Pg 1",#N/A,FALSE,"EFRT (2)";"EFRT Pg 2",#N/A,FALSE,"EFRT (2)"}</definedName>
    <definedName name="wrn.EFRT." localSheetId="4" hidden="1">{"EFRT Pg 1",#N/A,FALSE,"EFRT (2)";"EFRT Pg 2",#N/A,FALSE,"EFRT (2)"}</definedName>
    <definedName name="wrn.EFRT." localSheetId="5" hidden="1">{"EFRT Pg 1",#N/A,FALSE,"EFRT (2)";"EFRT Pg 2",#N/A,FALSE,"EFRT (2)"}</definedName>
    <definedName name="wrn.EFRT." hidden="1">{"EFRT Pg 1",#N/A,FALSE,"EFRT (2)";"EFRT Pg 2",#N/A,FALSE,"EFRT (2)"}</definedName>
    <definedName name="wrn.FPL._.Cnsl._.Inc._.State._.Pg._.3A." localSheetId="0" hidden="1">{"FPL Consol Inc State Pg 3A",#N/A,FALSE,"ISFPLSUB"}</definedName>
    <definedName name="wrn.FPL._.Cnsl._.Inc._.State._.Pg._.3A." localSheetId="1" hidden="1">{"FPL Consol Inc State Pg 3A",#N/A,FALSE,"ISFPLSUB"}</definedName>
    <definedName name="wrn.FPL._.Cnsl._.Inc._.State._.Pg._.3A." localSheetId="2" hidden="1">{"FPL Consol Inc State Pg 3A",#N/A,FALSE,"ISFPLSUB"}</definedName>
    <definedName name="wrn.FPL._.Cnsl._.Inc._.State._.Pg._.3A." localSheetId="3" hidden="1">{"FPL Consol Inc State Pg 3A",#N/A,FALSE,"ISFPLSUB"}</definedName>
    <definedName name="wrn.FPL._.Cnsl._.Inc._.State._.Pg._.3A." localSheetId="4" hidden="1">{"FPL Consol Inc State Pg 3A",#N/A,FALSE,"ISFPLSUB"}</definedName>
    <definedName name="wrn.FPL._.Cnsl._.Inc._.State._.Pg._.3A." localSheetId="5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0" hidden="1">{"FPL Consol Inc State Pg 3M",#N/A,FALSE,"ISFPLSUB"}</definedName>
    <definedName name="wrn.FPL._.Cnsl._.Inc._.State._.Pg._.3M." localSheetId="1" hidden="1">{"FPL Consol Inc State Pg 3M",#N/A,FALSE,"ISFPLSUB"}</definedName>
    <definedName name="wrn.FPL._.Cnsl._.Inc._.State._.Pg._.3M." localSheetId="2" hidden="1">{"FPL Consol Inc State Pg 3M",#N/A,FALSE,"ISFPLSUB"}</definedName>
    <definedName name="wrn.FPL._.Cnsl._.Inc._.State._.Pg._.3M." localSheetId="3" hidden="1">{"FPL Consol Inc State Pg 3M",#N/A,FALSE,"ISFPLSUB"}</definedName>
    <definedName name="wrn.FPL._.Cnsl._.Inc._.State._.Pg._.3M." localSheetId="4" hidden="1">{"FPL Consol Inc State Pg 3M",#N/A,FALSE,"ISFPLSUB"}</definedName>
    <definedName name="wrn.FPL._.Cnsl._.Inc._.State._.Pg._.3M." localSheetId="5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0" hidden="1">{"FPL Consol Inc State Pg 3Y",#N/A,FALSE,"ISFPLSUB"}</definedName>
    <definedName name="wrn.FPL._.Cnsl._.Inc._.State._.Pg._.3Y." localSheetId="1" hidden="1">{"FPL Consol Inc State Pg 3Y",#N/A,FALSE,"ISFPLSUB"}</definedName>
    <definedName name="wrn.FPL._.Cnsl._.Inc._.State._.Pg._.3Y." localSheetId="2" hidden="1">{"FPL Consol Inc State Pg 3Y",#N/A,FALSE,"ISFPLSUB"}</definedName>
    <definedName name="wrn.FPL._.Cnsl._.Inc._.State._.Pg._.3Y." localSheetId="3" hidden="1">{"FPL Consol Inc State Pg 3Y",#N/A,FALSE,"ISFPLSUB"}</definedName>
    <definedName name="wrn.FPL._.Cnsl._.Inc._.State._.Pg._.3Y." localSheetId="4" hidden="1">{"FPL Consol Inc State Pg 3Y",#N/A,FALSE,"ISFPLSUB"}</definedName>
    <definedName name="wrn.FPL._.Cnsl._.Inc._.State._.Pg._.3Y." localSheetId="5" hidden="1">{"FPL Consol Inc State Pg 3Y",#N/A,FALSE,"ISFPLSUB"}</definedName>
    <definedName name="wrn.FPL._.Cnsl._.Inc._.State._.Pg._.3Y." hidden="1">{"FPL Consol Inc State Pg 3Y",#N/A,FALSE,"ISFPLSUB"}</definedName>
    <definedName name="wrn.FPL._.Consolidated." localSheetId="0" hidden="1">{"Fpl Consol Pg 1",#N/A,FALSE,"FPL Consolidated";"FPL Consol Pg 2",#N/A,FALSE,"FPL Consolidated"}</definedName>
    <definedName name="wrn.FPL._.Consolidated." localSheetId="1" hidden="1">{"Fpl Consol Pg 1",#N/A,FALSE,"FPL Consolidated";"FPL Consol Pg 2",#N/A,FALSE,"FPL Consolidated"}</definedName>
    <definedName name="wrn.FPL._.Consolidated." localSheetId="2" hidden="1">{"Fpl Consol Pg 1",#N/A,FALSE,"FPL Consolidated";"FPL Consol Pg 2",#N/A,FALSE,"FPL Consolidated"}</definedName>
    <definedName name="wrn.FPL._.Consolidated." localSheetId="3" hidden="1">{"Fpl Consol Pg 1",#N/A,FALSE,"FPL Consolidated";"FPL Consol Pg 2",#N/A,FALSE,"FPL Consolidated"}</definedName>
    <definedName name="wrn.FPL._.Consolidated." localSheetId="4" hidden="1">{"Fpl Consol Pg 1",#N/A,FALSE,"FPL Consolidated";"FPL Consol Pg 2",#N/A,FALSE,"FPL Consolidated"}</definedName>
    <definedName name="wrn.FPL._.Consolidated." localSheetId="5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full._.print." localSheetId="0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1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2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3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4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5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letter." localSheetId="0" hidden="1">{#N/A,#N/A,FALSE,"Page 1 of 4";#N/A,#N/A,FALSE,"Page 2 of 4";#N/A,#N/A,FALSE,"Page 3 of 4";#N/A,#N/A,FALSE,"Page 4 of 4"}</definedName>
    <definedName name="wrn.letter." localSheetId="1" hidden="1">{#N/A,#N/A,FALSE,"Page 1 of 4";#N/A,#N/A,FALSE,"Page 2 of 4";#N/A,#N/A,FALSE,"Page 3 of 4";#N/A,#N/A,FALSE,"Page 4 of 4"}</definedName>
    <definedName name="wrn.letter." localSheetId="2" hidden="1">{#N/A,#N/A,FALSE,"Page 1 of 4";#N/A,#N/A,FALSE,"Page 2 of 4";#N/A,#N/A,FALSE,"Page 3 of 4";#N/A,#N/A,FALSE,"Page 4 of 4"}</definedName>
    <definedName name="wrn.letter." localSheetId="3" hidden="1">{#N/A,#N/A,FALSE,"Page 1 of 4";#N/A,#N/A,FALSE,"Page 2 of 4";#N/A,#N/A,FALSE,"Page 3 of 4";#N/A,#N/A,FALSE,"Page 4 of 4"}</definedName>
    <definedName name="wrn.letter." localSheetId="4" hidden="1">{#N/A,#N/A,FALSE,"Page 1 of 4";#N/A,#N/A,FALSE,"Page 2 of 4";#N/A,#N/A,FALSE,"Page 3 of 4";#N/A,#N/A,FALSE,"Page 4 of 4"}</definedName>
    <definedName name="wrn.letter." localSheetId="5" hidden="1">{#N/A,#N/A,FALSE,"Page 1 of 4";#N/A,#N/A,FALSE,"Page 2 of 4";#N/A,#N/A,FALSE,"Page 3 of 4";#N/A,#N/A,FALSE,"Page 4 of 4"}</definedName>
    <definedName name="wrn.letter." hidden="1">{#N/A,#N/A,FALSE,"Page 1 of 4";#N/A,#N/A,FALSE,"Page 2 of 4";#N/A,#N/A,FALSE,"Page 3 of 4";#N/A,#N/A,FALSE,"Page 4 of 4"}</definedName>
    <definedName name="wrn.LITIGATION." localSheetId="0" hidden="1">{"LI AFUDC DEBT 10282",#N/A,FALSE,"TXFORCST.XLS";"LIT AFUDC 10280",#N/A,FALSE,"TXFORCST.XLS";"LIT DEPR EXP 10281",#N/A,FALSE,"TXFORCST.XLS"}</definedName>
    <definedName name="wrn.LITIGATION." localSheetId="1" hidden="1">{"LI AFUDC DEBT 10282",#N/A,FALSE,"TXFORCST.XLS";"LIT AFUDC 10280",#N/A,FALSE,"TXFORCST.XLS";"LIT DEPR EXP 10281",#N/A,FALSE,"TXFORCST.XLS"}</definedName>
    <definedName name="wrn.LITIGATION." localSheetId="2" hidden="1">{"LI AFUDC DEBT 10282",#N/A,FALSE,"TXFORCST.XLS";"LIT AFUDC 10280",#N/A,FALSE,"TXFORCST.XLS";"LIT DEPR EXP 10281",#N/A,FALSE,"TXFORCST.XLS"}</definedName>
    <definedName name="wrn.LITIGATION." localSheetId="3" hidden="1">{"LI AFUDC DEBT 10282",#N/A,FALSE,"TXFORCST.XLS";"LIT AFUDC 10280",#N/A,FALSE,"TXFORCST.XLS";"LIT DEPR EXP 10281",#N/A,FALSE,"TXFORCST.XLS"}</definedName>
    <definedName name="wrn.LITIGATION." localSheetId="4" hidden="1">{"LI AFUDC DEBT 10282",#N/A,FALSE,"TXFORCST.XLS";"LIT AFUDC 10280",#N/A,FALSE,"TXFORCST.XLS";"LIT DEPR EXP 10281",#N/A,FALSE,"TXFORCST.XLS"}</definedName>
    <definedName name="wrn.LITIGATION." localSheetId="5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matdtl." localSheetId="0" hidden="1">{"MATALL",#N/A,FALSE,"Sheet4";"matclass",#N/A,FALSE,"Sheet4"}</definedName>
    <definedName name="wrn.matdtl." localSheetId="1" hidden="1">{"MATALL",#N/A,FALSE,"Sheet4";"matclass",#N/A,FALSE,"Sheet4"}</definedName>
    <definedName name="wrn.matdtl." localSheetId="2" hidden="1">{"MATALL",#N/A,FALSE,"Sheet4";"matclass",#N/A,FALSE,"Sheet4"}</definedName>
    <definedName name="wrn.matdtl." localSheetId="3" hidden="1">{"MATALL",#N/A,FALSE,"Sheet4";"matclass",#N/A,FALSE,"Sheet4"}</definedName>
    <definedName name="wrn.matdtl." localSheetId="4" hidden="1">{"MATALL",#N/A,FALSE,"Sheet4";"matclass",#N/A,FALSE,"Sheet4"}</definedName>
    <definedName name="wrn.matdtl." localSheetId="5" hidden="1">{"MATALL",#N/A,FALSE,"Sheet4";"matclass",#N/A,FALSE,"Sheet4"}</definedName>
    <definedName name="wrn.matdtl." hidden="1">{"MATALL",#N/A,FALSE,"Sheet4";"matclass",#N/A,FALSE,"Sheet4"}</definedName>
    <definedName name="wrn.matdtla" localSheetId="0" hidden="1">{"MATALL",#N/A,FALSE,"Sheet4";"matclass",#N/A,FALSE,"Sheet4"}</definedName>
    <definedName name="wrn.matdtla" localSheetId="1" hidden="1">{"MATALL",#N/A,FALSE,"Sheet4";"matclass",#N/A,FALSE,"Sheet4"}</definedName>
    <definedName name="wrn.matdtla" localSheetId="2" hidden="1">{"MATALL",#N/A,FALSE,"Sheet4";"matclass",#N/A,FALSE,"Sheet4"}</definedName>
    <definedName name="wrn.matdtla" localSheetId="3" hidden="1">{"MATALL",#N/A,FALSE,"Sheet4";"matclass",#N/A,FALSE,"Sheet4"}</definedName>
    <definedName name="wrn.matdtla" localSheetId="4" hidden="1">{"MATALL",#N/A,FALSE,"Sheet4";"matclass",#N/A,FALSE,"Sheet4"}</definedName>
    <definedName name="wrn.matdtla" localSheetId="5" hidden="1">{"MATALL",#N/A,FALSE,"Sheet4";"matclass",#N/A,FALSE,"Sheet4"}</definedName>
    <definedName name="wrn.matdtla" hidden="1">{"MATALL",#N/A,FALSE,"Sheet4";"matclass",#N/A,FALSE,"Sheet4"}</definedName>
    <definedName name="wrn.OBO._.12._.MO._.ENDED." localSheetId="0" hidden="1">{"OBO 12 Month Ended",#N/A,FALSE,"OBO 12 Months"}</definedName>
    <definedName name="wrn.OBO._.12._.MO._.ENDED." localSheetId="1" hidden="1">{"OBO 12 Month Ended",#N/A,FALSE,"OBO 12 Months"}</definedName>
    <definedName name="wrn.OBO._.12._.MO._.ENDED." localSheetId="2" hidden="1">{"OBO 12 Month Ended",#N/A,FALSE,"OBO 12 Months"}</definedName>
    <definedName name="wrn.OBO._.12._.MO._.ENDED." localSheetId="3" hidden="1">{"OBO 12 Month Ended",#N/A,FALSE,"OBO 12 Months"}</definedName>
    <definedName name="wrn.OBO._.12._.MO._.ENDED." localSheetId="4" hidden="1">{"OBO 12 Month Ended",#N/A,FALSE,"OBO 12 Months"}</definedName>
    <definedName name="wrn.OBO._.12._.MO._.ENDED." localSheetId="5" hidden="1">{"OBO 12 Month Ended",#N/A,FALSE,"OBO 12 Months"}</definedName>
    <definedName name="wrn.OBO._.12._.MO._.ENDED." hidden="1">{"OBO 12 Month Ended",#N/A,FALSE,"OBO 12 Months"}</definedName>
    <definedName name="wrn.OBO._.MONTHLY." localSheetId="0" hidden="1">{"obo monthly",#N/A,FALSE,"OBO Monthly"}</definedName>
    <definedName name="wrn.OBO._.MONTHLY." localSheetId="1" hidden="1">{"obo monthly",#N/A,FALSE,"OBO Monthly"}</definedName>
    <definedName name="wrn.OBO._.MONTHLY." localSheetId="2" hidden="1">{"obo monthly",#N/A,FALSE,"OBO Monthly"}</definedName>
    <definedName name="wrn.OBO._.MONTHLY." localSheetId="3" hidden="1">{"obo monthly",#N/A,FALSE,"OBO Monthly"}</definedName>
    <definedName name="wrn.OBO._.MONTHLY." localSheetId="4" hidden="1">{"obo monthly",#N/A,FALSE,"OBO Monthly"}</definedName>
    <definedName name="wrn.OBO._.MONTHLY." localSheetId="5" hidden="1">{"obo monthly",#N/A,FALSE,"OBO Monthly"}</definedName>
    <definedName name="wrn.OBO._.MONTHLY." hidden="1">{"obo monthly",#N/A,FALSE,"OBO Monthly"}</definedName>
    <definedName name="wrn.OBO._.Summary." localSheetId="0" hidden="1">{"OBO Deferred Tax Sum",#N/A,FALSE,"OBO DEF TAX"}</definedName>
    <definedName name="wrn.OBO._.Summary." localSheetId="1" hidden="1">{"OBO Deferred Tax Sum",#N/A,FALSE,"OBO DEF TAX"}</definedName>
    <definedName name="wrn.OBO._.Summary." localSheetId="2" hidden="1">{"OBO Deferred Tax Sum",#N/A,FALSE,"OBO DEF TAX"}</definedName>
    <definedName name="wrn.OBO._.Summary." localSheetId="3" hidden="1">{"OBO Deferred Tax Sum",#N/A,FALSE,"OBO DEF TAX"}</definedName>
    <definedName name="wrn.OBO._.Summary." localSheetId="4" hidden="1">{"OBO Deferred Tax Sum",#N/A,FALSE,"OBO DEF TAX"}</definedName>
    <definedName name="wrn.OBO._.Summary." localSheetId="5" hidden="1">{"OBO Deferred Tax Sum",#N/A,FALSE,"OBO DEF TAX"}</definedName>
    <definedName name="wrn.OBO._.Summary." hidden="1">{"OBO Deferred Tax Sum",#N/A,FALSE,"OBO DEF TAX"}</definedName>
    <definedName name="wrn.Out._.of._.Period." localSheetId="0" hidden="1">{"Out of Period",#N/A,FALSE,"Out of Period"}</definedName>
    <definedName name="wrn.Out._.of._.Period." localSheetId="1" hidden="1">{"Out of Period",#N/A,FALSE,"Out of Period"}</definedName>
    <definedName name="wrn.Out._.of._.Period." localSheetId="2" hidden="1">{"Out of Period",#N/A,FALSE,"Out of Period"}</definedName>
    <definedName name="wrn.Out._.of._.Period." localSheetId="3" hidden="1">{"Out of Period",#N/A,FALSE,"Out of Period"}</definedName>
    <definedName name="wrn.Out._.of._.Period." localSheetId="4" hidden="1">{"Out of Period",#N/A,FALSE,"Out of Period"}</definedName>
    <definedName name="wrn.Out._.of._.Period." localSheetId="5" hidden="1">{"Out of Period",#N/A,FALSE,"Out of Period"}</definedName>
    <definedName name="wrn.Out._.of._.Period." hidden="1">{"Out of Period",#N/A,FALSE,"Out of Period"}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localSheetId="1" hidden="1">{"PPDEFERREDBAL",#N/A,FALSE,"PRIOR PERIOD ADJMT";#N/A,#N/A,FALSE,"PRIOR PERIOD ADJMT";"PPJOURNALENTRY",#N/A,FALSE,"PRIOR PERIOD ADJMT"}</definedName>
    <definedName name="wrn.PPJOURNAL._.ENTRY." localSheetId="2" hidden="1">{"PPDEFERREDBAL",#N/A,FALSE,"PRIOR PERIOD ADJMT";#N/A,#N/A,FALSE,"PRIOR PERIOD ADJMT";"PPJOURNALENTRY",#N/A,FALSE,"PRIOR PERIOD ADJMT"}</definedName>
    <definedName name="wrn.PPJOURNAL._.ENTRY." localSheetId="3" hidden="1">{"PPDEFERREDBAL",#N/A,FALSE,"PRIOR PERIOD ADJMT";#N/A,#N/A,FALSE,"PRIOR PERIOD ADJMT";"PPJOURNALENTRY",#N/A,FALSE,"PRIOR PERIOD ADJMT"}</definedName>
    <definedName name="wrn.PPJOURNAL._.ENTRY." localSheetId="4" hidden="1">{"PPDEFERREDBAL",#N/A,FALSE,"PRIOR PERIOD ADJMT";#N/A,#N/A,FALSE,"PRIOR PERIOD ADJMT";"PPJOURNALENTRY",#N/A,FALSE,"PRIOR PERIOD ADJMT"}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OR._.PERIOD._.ADJMT." localSheetId="0" hidden="1">{#N/A,#N/A,FALSE,"PRIOR PERIOD ADJMT"}</definedName>
    <definedName name="wrn.PRIOR._.PERIOD._.ADJMT." localSheetId="1" hidden="1">{#N/A,#N/A,FALSE,"PRIOR PERIOD ADJMT"}</definedName>
    <definedName name="wrn.PRIOR._.PERIOD._.ADJMT." localSheetId="2" hidden="1">{#N/A,#N/A,FALSE,"PRIOR PERIOD ADJMT"}</definedName>
    <definedName name="wrn.PRIOR._.PERIOD._.ADJMT." localSheetId="3" hidden="1">{#N/A,#N/A,FALSE,"PRIOR PERIOD ADJMT"}</definedName>
    <definedName name="wrn.PRIOR._.PERIOD._.ADJMT." localSheetId="4" hidden="1">{#N/A,#N/A,FALSE,"PRIOR PERIOD ADJMT"}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duction." localSheetId="0" hidden="1">{"Production",#N/A,FALSE,"Electric O&amp;M Functionalization"}</definedName>
    <definedName name="wrn.Production." localSheetId="1" hidden="1">{"Production",#N/A,FALSE,"Electric O&amp;M Functionalization"}</definedName>
    <definedName name="wrn.Production." localSheetId="2" hidden="1">{"Production",#N/A,FALSE,"Electric O&amp;M Functionalization"}</definedName>
    <definedName name="wrn.Production." localSheetId="3" hidden="1">{"Production",#N/A,FALSE,"Electric O&amp;M Functionalization"}</definedName>
    <definedName name="wrn.Production." localSheetId="4" hidden="1">{"Production",#N/A,FALSE,"Electric O&amp;M Functionalization"}</definedName>
    <definedName name="wrn.Production." localSheetId="5" hidden="1">{"Production",#N/A,FALSE,"Electric O&amp;M Functionalization"}</definedName>
    <definedName name="wrn.Production." hidden="1">{"Production",#N/A,FALSE,"Electric O&amp;M Functionalization"}</definedName>
    <definedName name="wrn.Reconcil._.Bk._.Depr._.to._.47G." localSheetId="0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1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2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3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4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5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localSheetId="0" hidden="1">{"Consolidated",#N/A,FALSE,"SITRP";"FPL Pure",#N/A,FALSE,"SITRP";"FPL Subsidiaries Consol",#N/A,FALSE,"SITRP"}</definedName>
    <definedName name="wrn.Statement._.of._.Income._.Taxes." localSheetId="1" hidden="1">{"Consolidated",#N/A,FALSE,"SITRP";"FPL Pure",#N/A,FALSE,"SITRP";"FPL Subsidiaries Consol",#N/A,FALSE,"SITRP"}</definedName>
    <definedName name="wrn.Statement._.of._.Income._.Taxes." localSheetId="2" hidden="1">{"Consolidated",#N/A,FALSE,"SITRP";"FPL Pure",#N/A,FALSE,"SITRP";"FPL Subsidiaries Consol",#N/A,FALSE,"SITRP"}</definedName>
    <definedName name="wrn.Statement._.of._.Income._.Taxes." localSheetId="3" hidden="1">{"Consolidated",#N/A,FALSE,"SITRP";"FPL Pure",#N/A,FALSE,"SITRP";"FPL Subsidiaries Consol",#N/A,FALSE,"SITRP"}</definedName>
    <definedName name="wrn.Statement._.of._.Income._.Taxes." localSheetId="4" hidden="1">{"Consolidated",#N/A,FALSE,"SITRP";"FPL Pure",#N/A,FALSE,"SITRP";"FPL Subsidiaries Consol",#N/A,FALSE,"SITRP"}</definedName>
    <definedName name="wrn.Statement._.of._.Income._.Taxes." localSheetId="5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Transmission." localSheetId="0" hidden="1">{"Transmission",#N/A,FALSE,"Electric O&amp;M Functionalization"}</definedName>
    <definedName name="wrn.Transmission." localSheetId="1" hidden="1">{"Transmission",#N/A,FALSE,"Electric O&amp;M Functionalization"}</definedName>
    <definedName name="wrn.Transmission." localSheetId="2" hidden="1">{"Transmission",#N/A,FALSE,"Electric O&amp;M Functionalization"}</definedName>
    <definedName name="wrn.Transmission." localSheetId="3" hidden="1">{"Transmission",#N/A,FALSE,"Electric O&amp;M Functionalization"}</definedName>
    <definedName name="wrn.Transmission." localSheetId="4" hidden="1">{"Transmission",#N/A,FALSE,"Electric O&amp;M Functionalization"}</definedName>
    <definedName name="wrn.Transmission." localSheetId="5" hidden="1">{"Transmission",#N/A,FALSE,"Electric O&amp;M Functionalization"}</definedName>
    <definedName name="wrn.Transmission." hidden="1">{"Transmission",#N/A,FALSE,"Electric O&amp;M Functionalization"}</definedName>
    <definedName name="wrn.UTIL." localSheetId="0" hidden="1">{"Twelve Mo Ended Pg 2",#N/A,TRUE,"Utility";"YTD Adj _ Pg 1",#N/A,TRUE,"Utility"}</definedName>
    <definedName name="wrn.UTIL." localSheetId="1" hidden="1">{"Twelve Mo Ended Pg 2",#N/A,TRUE,"Utility";"YTD Adj _ Pg 1",#N/A,TRUE,"Utility"}</definedName>
    <definedName name="wrn.UTIL." localSheetId="2" hidden="1">{"Twelve Mo Ended Pg 2",#N/A,TRUE,"Utility";"YTD Adj _ Pg 1",#N/A,TRUE,"Utility"}</definedName>
    <definedName name="wrn.UTIL." localSheetId="3" hidden="1">{"Twelve Mo Ended Pg 2",#N/A,TRUE,"Utility";"YTD Adj _ Pg 1",#N/A,TRUE,"Utility"}</definedName>
    <definedName name="wrn.UTIL." localSheetId="4" hidden="1">{"Twelve Mo Ended Pg 2",#N/A,TRUE,"Utility";"YTD Adj _ Pg 1",#N/A,TRUE,"Utility"}</definedName>
    <definedName name="wrn.UTIL." localSheetId="5" hidden="1">{"Twelve Mo Ended Pg 2",#N/A,TRUE,"Utility";"YTD Adj _ Pg 1",#N/A,TRUE,"Utility"}</definedName>
    <definedName name="wrn.UTIL." hidden="1">{"Twelve Mo Ended Pg 2",#N/A,TRUE,"Utility";"YTD Adj _ Pg 1",#N/A,TRUE,"Utility"}</definedName>
    <definedName name="wrn.WORKCAP." localSheetId="0" hidden="1">{"WCCWCLL",#N/A,FALSE,"Sheet3";"PP",#N/A,FALSE,"Sheet3";"MAT1",#N/A,FALSE,"Sheet3";"MAT2",#N/A,FALSE,"Sheet3"}</definedName>
    <definedName name="wrn.WORKCAP." localSheetId="1" hidden="1">{"WCCWCLL",#N/A,FALSE,"Sheet3";"PP",#N/A,FALSE,"Sheet3";"MAT1",#N/A,FALSE,"Sheet3";"MAT2",#N/A,FALSE,"Sheet3"}</definedName>
    <definedName name="wrn.WORKCAP." localSheetId="2" hidden="1">{"WCCWCLL",#N/A,FALSE,"Sheet3";"PP",#N/A,FALSE,"Sheet3";"MAT1",#N/A,FALSE,"Sheet3";"MAT2",#N/A,FALSE,"Sheet3"}</definedName>
    <definedName name="wrn.WORKCAP." localSheetId="3" hidden="1">{"WCCWCLL",#N/A,FALSE,"Sheet3";"PP",#N/A,FALSE,"Sheet3";"MAT1",#N/A,FALSE,"Sheet3";"MAT2",#N/A,FALSE,"Sheet3"}</definedName>
    <definedName name="wrn.WORKCAP." localSheetId="4" hidden="1">{"WCCWCLL",#N/A,FALSE,"Sheet3";"PP",#N/A,FALSE,"Sheet3";"MAT1",#N/A,FALSE,"Sheet3";"MAT2",#N/A,FALSE,"Sheet3"}</definedName>
    <definedName name="wrn.WORKCAP." localSheetId="5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1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3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4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1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3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4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pg" localSheetId="0" hidden="1">{"detail305",#N/A,FALSE,"BI-305"}</definedName>
    <definedName name="xpg" localSheetId="1" hidden="1">{"detail305",#N/A,FALSE,"BI-305"}</definedName>
    <definedName name="xpg" localSheetId="2" hidden="1">{"detail305",#N/A,FALSE,"BI-305"}</definedName>
    <definedName name="xpg" localSheetId="3" hidden="1">{"detail305",#N/A,FALSE,"BI-305"}</definedName>
    <definedName name="xpg" localSheetId="4" hidden="1">{"detail305",#N/A,FALSE,"BI-305"}</definedName>
    <definedName name="xpg" localSheetId="5" hidden="1">{"detail305",#N/A,FALSE,"BI-305"}</definedName>
    <definedName name="xpg" hidden="1">{"detail305",#N/A,FALSE,"BI-305"}</definedName>
    <definedName name="xxx.detail" localSheetId="0" hidden="1">{"detail305",#N/A,FALSE,"BI-305"}</definedName>
    <definedName name="xxx.detail" localSheetId="1" hidden="1">{"detail305",#N/A,FALSE,"BI-305"}</definedName>
    <definedName name="xxx.detail" localSheetId="2" hidden="1">{"detail305",#N/A,FALSE,"BI-305"}</definedName>
    <definedName name="xxx.detail" localSheetId="3" hidden="1">{"detail305",#N/A,FALSE,"BI-305"}</definedName>
    <definedName name="xxx.detail" localSheetId="4" hidden="1">{"detail305",#N/A,FALSE,"BI-305"}</definedName>
    <definedName name="xxx.detail" localSheetId="5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localSheetId="1" hidden="1">{"summary",#N/A,FALSE,"PCR DIRECTORY"}</definedName>
    <definedName name="xxx.directory" localSheetId="2" hidden="1">{"summary",#N/A,FALSE,"PCR DIRECTORY"}</definedName>
    <definedName name="xxx.directory" localSheetId="3" hidden="1">{"summary",#N/A,FALSE,"PCR DIRECTORY"}</definedName>
    <definedName name="xxx.directory" localSheetId="4" hidden="1">{"summary",#N/A,FALSE,"PCR DIRECTORY"}</definedName>
    <definedName name="xxx.directory" localSheetId="5" hidden="1">{"summary",#N/A,FALSE,"PCR DIRECTORY"}</definedName>
    <definedName name="xxx.directory" hidden="1">{"summary",#N/A,FALSE,"PCR DIRECTORY"}</definedName>
    <definedName name="xxxxx" localSheetId="0" hidden="1">{#N/A,#N/A,TRUE,"TOTAL DISTRIBUTION";#N/A,#N/A,TRUE,"SOUTH";#N/A,#N/A,TRUE,"NORTHEAST";#N/A,#N/A,TRUE,"WEST"}</definedName>
    <definedName name="xxxxx" localSheetId="1" hidden="1">{#N/A,#N/A,TRUE,"TOTAL DISTRIBUTION";#N/A,#N/A,TRUE,"SOUTH";#N/A,#N/A,TRUE,"NORTHEAST";#N/A,#N/A,TRUE,"WEST"}</definedName>
    <definedName name="xxxxx" localSheetId="2" hidden="1">{#N/A,#N/A,TRUE,"TOTAL DISTRIBUTION";#N/A,#N/A,TRUE,"SOUTH";#N/A,#N/A,TRUE,"NORTHEAST";#N/A,#N/A,TRUE,"WEST"}</definedName>
    <definedName name="xxxxx" localSheetId="3" hidden="1">{#N/A,#N/A,TRUE,"TOTAL DISTRIBUTION";#N/A,#N/A,TRUE,"SOUTH";#N/A,#N/A,TRUE,"NORTHEAST";#N/A,#N/A,TRUE,"WEST"}</definedName>
    <definedName name="xxxxx" localSheetId="4" hidden="1">{#N/A,#N/A,TRUE,"TOTAL DISTRIBUTION";#N/A,#N/A,TRUE,"SOUTH";#N/A,#N/A,TRUE,"NORTHEAST";#N/A,#N/A,TRUE,"WEST"}</definedName>
    <definedName name="xxxxx" localSheetId="5" hidden="1">{#N/A,#N/A,TRUE,"TOTAL DISTRIBUTION";#N/A,#N/A,TRUE,"SOUTH";#N/A,#N/A,TRUE,"NORTHEAST";#N/A,#N/A,TRUE,"WEST"}</definedName>
    <definedName name="xxxxx" hidden="1">{#N/A,#N/A,TRUE,"TOTAL DISTRIBUTION";#N/A,#N/A,TRUE,"SOUTH";#N/A,#N/A,TRUE,"NORTHEAST";#N/A,#N/A,TRUE,"WEST"}</definedName>
    <definedName name="xxxxxx" localSheetId="0" hidden="1">{#N/A,#N/A,TRUE,"TOTAL DSBN";#N/A,#N/A,TRUE,"WEST";#N/A,#N/A,TRUE,"SOUTH";#N/A,#N/A,TRUE,"NORTHEAST"}</definedName>
    <definedName name="xxxxxx" localSheetId="1" hidden="1">{#N/A,#N/A,TRUE,"TOTAL DSBN";#N/A,#N/A,TRUE,"WEST";#N/A,#N/A,TRUE,"SOUTH";#N/A,#N/A,TRUE,"NORTHEAST"}</definedName>
    <definedName name="xxxxxx" localSheetId="2" hidden="1">{#N/A,#N/A,TRUE,"TOTAL DSBN";#N/A,#N/A,TRUE,"WEST";#N/A,#N/A,TRUE,"SOUTH";#N/A,#N/A,TRUE,"NORTHEAST"}</definedName>
    <definedName name="xxxxxx" localSheetId="3" hidden="1">{#N/A,#N/A,TRUE,"TOTAL DSBN";#N/A,#N/A,TRUE,"WEST";#N/A,#N/A,TRUE,"SOUTH";#N/A,#N/A,TRUE,"NORTHEAST"}</definedName>
    <definedName name="xxxxxx" localSheetId="4" hidden="1">{#N/A,#N/A,TRUE,"TOTAL DSBN";#N/A,#N/A,TRUE,"WEST";#N/A,#N/A,TRUE,"SOUTH";#N/A,#N/A,TRUE,"NORTHEAST"}</definedName>
    <definedName name="xxxxxx" localSheetId="5" hidden="1">{#N/A,#N/A,TRUE,"TOTAL DSBN";#N/A,#N/A,TRUE,"WEST";#N/A,#N/A,TRUE,"SOUTH";#N/A,#N/A,TRUE,"NORTHEAST"}</definedName>
    <definedName name="xxxxxx" hidden="1">{#N/A,#N/A,TRUE,"TOTAL DSBN";#N/A,#N/A,TRUE,"WEST";#N/A,#N/A,TRUE,"SOUTH";#N/A,#N/A,TRUE,"NORTHEAST"}</definedName>
    <definedName name="zzz" localSheetId="0" hidden="1">{"detail305",#N/A,FALSE,"BI-305"}</definedName>
    <definedName name="zzz" localSheetId="1" hidden="1">{"detail305",#N/A,FALSE,"BI-305"}</definedName>
    <definedName name="zzz" localSheetId="2" hidden="1">{"detail305",#N/A,FALSE,"BI-305"}</definedName>
    <definedName name="zzz" localSheetId="3" hidden="1">{"detail305",#N/A,FALSE,"BI-305"}</definedName>
    <definedName name="zzz" localSheetId="4" hidden="1">{"detail305",#N/A,FALSE,"BI-305"}</definedName>
    <definedName name="zzz" localSheetId="5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D175" i="75" l="1"/>
  <c r="P15" i="71" l="1"/>
  <c r="O15" i="71"/>
  <c r="N15" i="71"/>
  <c r="M15" i="71"/>
  <c r="L15" i="71"/>
  <c r="K15" i="71"/>
  <c r="J15" i="71"/>
  <c r="I15" i="71"/>
  <c r="H15" i="71"/>
  <c r="G15" i="71"/>
  <c r="F17" i="71"/>
  <c r="F16" i="71"/>
  <c r="F15" i="71"/>
  <c r="G77" i="97"/>
  <c r="H77" i="97"/>
  <c r="I77" i="97"/>
  <c r="J77" i="97"/>
  <c r="K77" i="97"/>
  <c r="L77" i="97"/>
  <c r="M77" i="97"/>
  <c r="G77" i="82"/>
  <c r="H77" i="82"/>
  <c r="I77" i="82"/>
  <c r="J77" i="82"/>
  <c r="K77" i="82"/>
  <c r="L77" i="82"/>
  <c r="M77" i="82"/>
  <c r="E114" i="75"/>
  <c r="M101" i="85" l="1"/>
  <c r="L101" i="85"/>
  <c r="K101" i="85"/>
  <c r="J101" i="85"/>
  <c r="I101" i="85"/>
  <c r="H101" i="85"/>
  <c r="G101" i="85"/>
  <c r="F101" i="85"/>
  <c r="E101" i="85"/>
  <c r="D101" i="85"/>
  <c r="C101" i="85"/>
  <c r="B101" i="85"/>
  <c r="K78" i="85"/>
  <c r="L78" i="85"/>
  <c r="I78" i="85"/>
  <c r="H78" i="85"/>
  <c r="G78" i="85"/>
  <c r="F78" i="85"/>
  <c r="E78" i="85"/>
  <c r="D78" i="85"/>
  <c r="D11" i="81"/>
  <c r="O22" i="93"/>
  <c r="B115" i="97"/>
  <c r="C115" i="97" s="1"/>
  <c r="D115" i="97" s="1"/>
  <c r="E115" i="97" s="1"/>
  <c r="F115" i="97" s="1"/>
  <c r="G115" i="97" s="1"/>
  <c r="H115" i="97" s="1"/>
  <c r="I115" i="97" s="1"/>
  <c r="J115" i="97" s="1"/>
  <c r="K115" i="97" s="1"/>
  <c r="L115" i="97" s="1"/>
  <c r="M115" i="97" s="1"/>
  <c r="C108" i="97"/>
  <c r="D108" i="97"/>
  <c r="E108" i="97"/>
  <c r="F108" i="97"/>
  <c r="G108" i="97"/>
  <c r="H108" i="97"/>
  <c r="I108" i="97"/>
  <c r="J108" i="97"/>
  <c r="K108" i="97"/>
  <c r="L108" i="97"/>
  <c r="M108" i="97"/>
  <c r="B108" i="97"/>
  <c r="L16" i="98"/>
  <c r="I105" i="97" s="1"/>
  <c r="I23" i="93" s="1"/>
  <c r="E16" i="98"/>
  <c r="B105" i="97" s="1"/>
  <c r="L15" i="98"/>
  <c r="E15" i="98"/>
  <c r="L14" i="98"/>
  <c r="E14" i="98"/>
  <c r="L13" i="98"/>
  <c r="E13" i="98"/>
  <c r="B58" i="97" s="1"/>
  <c r="L12" i="98"/>
  <c r="E12" i="98"/>
  <c r="B41" i="97" s="1"/>
  <c r="G12" i="98"/>
  <c r="H12" i="98"/>
  <c r="I12" i="98"/>
  <c r="F41" i="97" s="1"/>
  <c r="F48" i="97" s="1"/>
  <c r="F50" i="97" s="1"/>
  <c r="J12" i="98"/>
  <c r="G41" i="97" s="1"/>
  <c r="K12" i="98"/>
  <c r="M12" i="98"/>
  <c r="J41" i="97" s="1"/>
  <c r="J48" i="97" s="1"/>
  <c r="J50" i="97" s="1"/>
  <c r="N12" i="98"/>
  <c r="K41" i="97" s="1"/>
  <c r="O12" i="98"/>
  <c r="L41" i="97" s="1"/>
  <c r="P12" i="98"/>
  <c r="I74" i="97"/>
  <c r="I23" i="91" s="1"/>
  <c r="F12" i="98"/>
  <c r="C41" i="97" s="1"/>
  <c r="I90" i="97"/>
  <c r="I23" i="92" s="1"/>
  <c r="B90" i="97"/>
  <c r="I58" i="97"/>
  <c r="M41" i="97"/>
  <c r="I41" i="97"/>
  <c r="I43" i="97" s="1"/>
  <c r="H41" i="97"/>
  <c r="E41" i="97"/>
  <c r="E48" i="97" s="1"/>
  <c r="D41" i="97"/>
  <c r="D23" i="89" s="1"/>
  <c r="M24" i="97"/>
  <c r="L24" i="97"/>
  <c r="K24" i="97"/>
  <c r="J24" i="97"/>
  <c r="I24" i="97"/>
  <c r="H24" i="97"/>
  <c r="G24" i="97"/>
  <c r="F24" i="97"/>
  <c r="E24" i="97"/>
  <c r="D24" i="97"/>
  <c r="C24" i="97"/>
  <c r="B24" i="97"/>
  <c r="M14" i="97"/>
  <c r="L14" i="97"/>
  <c r="L15" i="97" s="1"/>
  <c r="K14" i="97"/>
  <c r="K15" i="97" s="1"/>
  <c r="J14" i="97"/>
  <c r="J15" i="97" s="1"/>
  <c r="J16" i="97" s="1"/>
  <c r="I14" i="97"/>
  <c r="H14" i="97"/>
  <c r="H15" i="97" s="1"/>
  <c r="H16" i="97" s="1"/>
  <c r="G14" i="97"/>
  <c r="G15" i="97" s="1"/>
  <c r="F14" i="97"/>
  <c r="F15" i="97" s="1"/>
  <c r="F16" i="97" s="1"/>
  <c r="E14" i="97"/>
  <c r="D14" i="97"/>
  <c r="D15" i="97" s="1"/>
  <c r="D16" i="97" s="1"/>
  <c r="C14" i="97"/>
  <c r="B14" i="97"/>
  <c r="B15" i="97" s="1"/>
  <c r="B16" i="97" s="1"/>
  <c r="D12" i="98"/>
  <c r="D13" i="98"/>
  <c r="J13" i="98" s="1"/>
  <c r="G58" i="97" s="1"/>
  <c r="B100" i="97"/>
  <c r="C100" i="97" s="1"/>
  <c r="D100" i="97" s="1"/>
  <c r="E100" i="97" s="1"/>
  <c r="F100" i="97" s="1"/>
  <c r="G100" i="97" s="1"/>
  <c r="H100" i="97" s="1"/>
  <c r="I100" i="97" s="1"/>
  <c r="J100" i="97" s="1"/>
  <c r="K100" i="97" s="1"/>
  <c r="L100" i="97" s="1"/>
  <c r="M100" i="97" s="1"/>
  <c r="M93" i="97"/>
  <c r="L93" i="97"/>
  <c r="K93" i="97"/>
  <c r="J93" i="97"/>
  <c r="I93" i="97"/>
  <c r="H93" i="97"/>
  <c r="G93" i="97"/>
  <c r="F93" i="97"/>
  <c r="E93" i="97"/>
  <c r="D93" i="97"/>
  <c r="C93" i="97"/>
  <c r="B93" i="97"/>
  <c r="B84" i="97"/>
  <c r="C84" i="97" s="1"/>
  <c r="D84" i="97" s="1"/>
  <c r="E84" i="97" s="1"/>
  <c r="F84" i="97" s="1"/>
  <c r="F77" i="97"/>
  <c r="E77" i="97"/>
  <c r="D77" i="97"/>
  <c r="C77" i="97"/>
  <c r="B77" i="97"/>
  <c r="B68" i="97"/>
  <c r="C68" i="97" s="1"/>
  <c r="D68" i="97" s="1"/>
  <c r="E68" i="97" s="1"/>
  <c r="F68" i="97" s="1"/>
  <c r="G68" i="97" s="1"/>
  <c r="M61" i="97"/>
  <c r="L61" i="97"/>
  <c r="K61" i="97"/>
  <c r="J61" i="97"/>
  <c r="I61" i="97"/>
  <c r="H61" i="97"/>
  <c r="G61" i="97"/>
  <c r="F61" i="97"/>
  <c r="E61" i="97"/>
  <c r="D61" i="97"/>
  <c r="C61" i="97"/>
  <c r="B61" i="97"/>
  <c r="I60" i="97"/>
  <c r="I59" i="97" s="1"/>
  <c r="B51" i="97"/>
  <c r="C51" i="97" s="1"/>
  <c r="D51" i="97" s="1"/>
  <c r="E51" i="97" s="1"/>
  <c r="F51" i="97" s="1"/>
  <c r="G51" i="97" s="1"/>
  <c r="H51" i="97" s="1"/>
  <c r="I51" i="97" s="1"/>
  <c r="J51" i="97" s="1"/>
  <c r="K51" i="97" s="1"/>
  <c r="L51" i="97" s="1"/>
  <c r="M51" i="97" s="1"/>
  <c r="M44" i="97"/>
  <c r="L44" i="97"/>
  <c r="K44" i="97"/>
  <c r="J44" i="97"/>
  <c r="I44" i="97"/>
  <c r="H44" i="97"/>
  <c r="G44" i="97"/>
  <c r="F44" i="97"/>
  <c r="E44" i="97"/>
  <c r="D44" i="97"/>
  <c r="C44" i="97"/>
  <c r="B44" i="97"/>
  <c r="B34" i="97"/>
  <c r="C34" i="97" s="1"/>
  <c r="D34" i="97" s="1"/>
  <c r="E34" i="97" s="1"/>
  <c r="F34" i="97" s="1"/>
  <c r="G34" i="97" s="1"/>
  <c r="H34" i="97" s="1"/>
  <c r="I34" i="97" s="1"/>
  <c r="J34" i="97" s="1"/>
  <c r="K34" i="97" s="1"/>
  <c r="L34" i="97" s="1"/>
  <c r="M34" i="97" s="1"/>
  <c r="M27" i="97"/>
  <c r="L27" i="97"/>
  <c r="K27" i="97"/>
  <c r="J27" i="97"/>
  <c r="I27" i="97"/>
  <c r="H27" i="97"/>
  <c r="G27" i="97"/>
  <c r="F27" i="97"/>
  <c r="E27" i="97"/>
  <c r="D27" i="97"/>
  <c r="C27" i="97"/>
  <c r="B27" i="97"/>
  <c r="A22" i="97"/>
  <c r="A39" i="97" s="1"/>
  <c r="A56" i="97" s="1"/>
  <c r="A72" i="97" s="1"/>
  <c r="A88" i="97" s="1"/>
  <c r="A103" i="97" s="1"/>
  <c r="M17" i="97"/>
  <c r="L17" i="97"/>
  <c r="K17" i="97"/>
  <c r="J17" i="97"/>
  <c r="I17" i="97"/>
  <c r="H17" i="97"/>
  <c r="G17" i="97"/>
  <c r="F17" i="97"/>
  <c r="E17" i="97"/>
  <c r="D17" i="97"/>
  <c r="C17" i="97"/>
  <c r="B17" i="97"/>
  <c r="C15" i="97"/>
  <c r="C7" i="97"/>
  <c r="D7" i="97" s="1"/>
  <c r="E7" i="97" s="1"/>
  <c r="F7" i="97" s="1"/>
  <c r="G7" i="97" s="1"/>
  <c r="H7" i="97" s="1"/>
  <c r="I7" i="97" s="1"/>
  <c r="J7" i="97" s="1"/>
  <c r="K7" i="97" s="1"/>
  <c r="L7" i="97" s="1"/>
  <c r="M7" i="97" s="1"/>
  <c r="B5" i="97"/>
  <c r="B4" i="97"/>
  <c r="B163" i="95"/>
  <c r="C163" i="95" s="1"/>
  <c r="D163" i="95" s="1"/>
  <c r="E163" i="95" s="1"/>
  <c r="I123" i="95"/>
  <c r="L16" i="96"/>
  <c r="I146" i="95" s="1"/>
  <c r="I160" i="95" s="1"/>
  <c r="E16" i="96"/>
  <c r="B146" i="95" s="1"/>
  <c r="L15" i="96"/>
  <c r="E15" i="96"/>
  <c r="L14" i="96"/>
  <c r="E14" i="96"/>
  <c r="L13" i="96"/>
  <c r="E13" i="96"/>
  <c r="B77" i="95" s="1"/>
  <c r="B79" i="95" s="1"/>
  <c r="L12" i="96"/>
  <c r="I54" i="95" s="1"/>
  <c r="E12" i="96"/>
  <c r="F12" i="96"/>
  <c r="C54" i="95" s="1"/>
  <c r="G12" i="96"/>
  <c r="D54" i="95" s="1"/>
  <c r="H12" i="96"/>
  <c r="E54" i="95" s="1"/>
  <c r="I12" i="96"/>
  <c r="J12" i="96"/>
  <c r="G54" i="95" s="1"/>
  <c r="K12" i="96"/>
  <c r="H54" i="95" s="1"/>
  <c r="M12" i="96"/>
  <c r="J54" i="95" s="1"/>
  <c r="N12" i="96"/>
  <c r="K54" i="95" s="1"/>
  <c r="O12" i="96"/>
  <c r="L54" i="95" s="1"/>
  <c r="L68" i="95" s="1"/>
  <c r="P12" i="96"/>
  <c r="I77" i="95"/>
  <c r="F15" i="96"/>
  <c r="C123" i="95" s="1"/>
  <c r="C130" i="95" s="1"/>
  <c r="G15" i="96"/>
  <c r="D123" i="95" s="1"/>
  <c r="D21" i="92" s="1"/>
  <c r="H15" i="96"/>
  <c r="E123" i="95" s="1"/>
  <c r="E21" i="92" s="1"/>
  <c r="I15" i="96"/>
  <c r="F123" i="95" s="1"/>
  <c r="J15" i="96"/>
  <c r="G123" i="95" s="1"/>
  <c r="G130" i="95" s="1"/>
  <c r="K15" i="96"/>
  <c r="H123" i="95" s="1"/>
  <c r="H21" i="92" s="1"/>
  <c r="M15" i="96"/>
  <c r="J123" i="95" s="1"/>
  <c r="J21" i="92" s="1"/>
  <c r="N15" i="96"/>
  <c r="K123" i="95" s="1"/>
  <c r="O15" i="96"/>
  <c r="L123" i="95" s="1"/>
  <c r="L21" i="92" s="1"/>
  <c r="P15" i="96"/>
  <c r="M123" i="95" s="1"/>
  <c r="F16" i="96"/>
  <c r="C146" i="95" s="1"/>
  <c r="C21" i="93" s="1"/>
  <c r="G16" i="96"/>
  <c r="D146" i="95" s="1"/>
  <c r="D160" i="95" s="1"/>
  <c r="H16" i="96"/>
  <c r="E146" i="95" s="1"/>
  <c r="I16" i="96"/>
  <c r="F146" i="95" s="1"/>
  <c r="F21" i="93" s="1"/>
  <c r="J16" i="96"/>
  <c r="G146" i="95" s="1"/>
  <c r="G21" i="93" s="1"/>
  <c r="K16" i="96"/>
  <c r="H146" i="95" s="1"/>
  <c r="M16" i="96"/>
  <c r="J146" i="95" s="1"/>
  <c r="J21" i="93" s="1"/>
  <c r="N16" i="96"/>
  <c r="K146" i="95" s="1"/>
  <c r="O16" i="96"/>
  <c r="L146" i="95" s="1"/>
  <c r="P16" i="96"/>
  <c r="M146" i="95" s="1"/>
  <c r="M160" i="95" s="1"/>
  <c r="I100" i="95"/>
  <c r="I21" i="91" s="1"/>
  <c r="B100" i="95"/>
  <c r="B114" i="95" s="1"/>
  <c r="M54" i="95"/>
  <c r="F54" i="95"/>
  <c r="F61" i="95" s="1"/>
  <c r="M31" i="95"/>
  <c r="M38" i="95" s="1"/>
  <c r="L31" i="95"/>
  <c r="L32" i="95" s="1"/>
  <c r="K31" i="95"/>
  <c r="J31" i="95"/>
  <c r="J32" i="95" s="1"/>
  <c r="J33" i="95" s="1"/>
  <c r="I31" i="95"/>
  <c r="I32" i="95" s="1"/>
  <c r="H31" i="95"/>
  <c r="H32" i="95" s="1"/>
  <c r="G31" i="95"/>
  <c r="F31" i="95"/>
  <c r="F45" i="95" s="1"/>
  <c r="E31" i="95"/>
  <c r="E32" i="95" s="1"/>
  <c r="D31" i="95"/>
  <c r="D32" i="95" s="1"/>
  <c r="C31" i="95"/>
  <c r="B31" i="95"/>
  <c r="B45" i="95" s="1"/>
  <c r="M14" i="95"/>
  <c r="M21" i="95" s="1"/>
  <c r="L14" i="95"/>
  <c r="L15" i="95" s="1"/>
  <c r="K14" i="95"/>
  <c r="K21" i="95" s="1"/>
  <c r="J14" i="95"/>
  <c r="J15" i="95" s="1"/>
  <c r="J16" i="95" s="1"/>
  <c r="I14" i="95"/>
  <c r="H14" i="95"/>
  <c r="H21" i="95" s="1"/>
  <c r="H22" i="95" s="1"/>
  <c r="G14" i="95"/>
  <c r="G15" i="95" s="1"/>
  <c r="G16" i="95" s="1"/>
  <c r="F14" i="95"/>
  <c r="F15" i="95" s="1"/>
  <c r="F16" i="95" s="1"/>
  <c r="E14" i="95"/>
  <c r="E21" i="95" s="1"/>
  <c r="D14" i="95"/>
  <c r="D15" i="95" s="1"/>
  <c r="C14" i="95"/>
  <c r="B14" i="95"/>
  <c r="B15" i="95" s="1"/>
  <c r="B16" i="95" s="1"/>
  <c r="D13" i="96"/>
  <c r="I13" i="96" s="1"/>
  <c r="F77" i="95" s="1"/>
  <c r="K160" i="95"/>
  <c r="C153" i="95"/>
  <c r="B140" i="95"/>
  <c r="C140" i="95" s="1"/>
  <c r="D140" i="95" s="1"/>
  <c r="E140" i="95" s="1"/>
  <c r="F140" i="95" s="1"/>
  <c r="G140" i="95" s="1"/>
  <c r="H140" i="95" s="1"/>
  <c r="I140" i="95" s="1"/>
  <c r="J140" i="95" s="1"/>
  <c r="K140" i="95" s="1"/>
  <c r="L140" i="95" s="1"/>
  <c r="M140" i="95" s="1"/>
  <c r="H130" i="95"/>
  <c r="B117" i="95"/>
  <c r="C117" i="95" s="1"/>
  <c r="D117" i="95" s="1"/>
  <c r="E117" i="95" s="1"/>
  <c r="F117" i="95" s="1"/>
  <c r="G117" i="95" s="1"/>
  <c r="H117" i="95" s="1"/>
  <c r="I117" i="95" s="1"/>
  <c r="J117" i="95" s="1"/>
  <c r="K117" i="95" s="1"/>
  <c r="L117" i="95" s="1"/>
  <c r="M117" i="95" s="1"/>
  <c r="M103" i="95"/>
  <c r="M126" i="95" s="1"/>
  <c r="M149" i="95" s="1"/>
  <c r="L103" i="95"/>
  <c r="L126" i="95" s="1"/>
  <c r="L149" i="95" s="1"/>
  <c r="K103" i="95"/>
  <c r="K126" i="95" s="1"/>
  <c r="K149" i="95" s="1"/>
  <c r="J103" i="95"/>
  <c r="J126" i="95" s="1"/>
  <c r="J149" i="95" s="1"/>
  <c r="I103" i="95"/>
  <c r="I126" i="95" s="1"/>
  <c r="I149" i="95" s="1"/>
  <c r="H103" i="95"/>
  <c r="H126" i="95" s="1"/>
  <c r="H149" i="95" s="1"/>
  <c r="G103" i="95"/>
  <c r="G126" i="95" s="1"/>
  <c r="G149" i="95" s="1"/>
  <c r="F103" i="95"/>
  <c r="F126" i="95" s="1"/>
  <c r="F149" i="95" s="1"/>
  <c r="E103" i="95"/>
  <c r="E126" i="95" s="1"/>
  <c r="E149" i="95" s="1"/>
  <c r="D103" i="95"/>
  <c r="D126" i="95" s="1"/>
  <c r="D149" i="95" s="1"/>
  <c r="C103" i="95"/>
  <c r="C126" i="95" s="1"/>
  <c r="C149" i="95" s="1"/>
  <c r="B103" i="95"/>
  <c r="B126" i="95" s="1"/>
  <c r="B149" i="95" s="1"/>
  <c r="B94" i="95"/>
  <c r="C94" i="95" s="1"/>
  <c r="D94" i="95" s="1"/>
  <c r="E94" i="95" s="1"/>
  <c r="F94" i="95" s="1"/>
  <c r="G94" i="95" s="1"/>
  <c r="H94" i="95" s="1"/>
  <c r="I94" i="95" s="1"/>
  <c r="J94" i="95" s="1"/>
  <c r="K94" i="95" s="1"/>
  <c r="L94" i="95" s="1"/>
  <c r="M94" i="95" s="1"/>
  <c r="M80" i="95"/>
  <c r="L80" i="95"/>
  <c r="K80" i="95"/>
  <c r="J80" i="95"/>
  <c r="I80" i="95"/>
  <c r="H80" i="95"/>
  <c r="G80" i="95"/>
  <c r="F80" i="95"/>
  <c r="E80" i="95"/>
  <c r="D80" i="95"/>
  <c r="C80" i="95"/>
  <c r="B80" i="95"/>
  <c r="B71" i="95"/>
  <c r="C71" i="95" s="1"/>
  <c r="D71" i="95" s="1"/>
  <c r="E71" i="95" s="1"/>
  <c r="F71" i="95" s="1"/>
  <c r="G71" i="95" s="1"/>
  <c r="H71" i="95" s="1"/>
  <c r="I71" i="95" s="1"/>
  <c r="J71" i="95" s="1"/>
  <c r="K71" i="95" s="1"/>
  <c r="L71" i="95" s="1"/>
  <c r="M71" i="95" s="1"/>
  <c r="M57" i="95"/>
  <c r="L57" i="95"/>
  <c r="K57" i="95"/>
  <c r="J57" i="95"/>
  <c r="I57" i="95"/>
  <c r="H57" i="95"/>
  <c r="G57" i="95"/>
  <c r="F57" i="95"/>
  <c r="E57" i="95"/>
  <c r="D57" i="95"/>
  <c r="C57" i="95"/>
  <c r="B57" i="95"/>
  <c r="B48" i="95"/>
  <c r="C48" i="95" s="1"/>
  <c r="D48" i="95" s="1"/>
  <c r="E48" i="95" s="1"/>
  <c r="F48" i="95" s="1"/>
  <c r="G48" i="95" s="1"/>
  <c r="H48" i="95" s="1"/>
  <c r="I48" i="95" s="1"/>
  <c r="J48" i="95" s="1"/>
  <c r="K48" i="95" s="1"/>
  <c r="L48" i="95" s="1"/>
  <c r="M48" i="95" s="1"/>
  <c r="M34" i="95"/>
  <c r="L34" i="95"/>
  <c r="K34" i="95"/>
  <c r="J34" i="95"/>
  <c r="I34" i="95"/>
  <c r="H34" i="95"/>
  <c r="G34" i="95"/>
  <c r="F34" i="95"/>
  <c r="E34" i="95"/>
  <c r="D34" i="95"/>
  <c r="C34" i="95"/>
  <c r="B34" i="95"/>
  <c r="A29" i="95"/>
  <c r="A52" i="95" s="1"/>
  <c r="A75" i="95" s="1"/>
  <c r="A98" i="95" s="1"/>
  <c r="A121" i="95" s="1"/>
  <c r="M17" i="95"/>
  <c r="L17" i="95"/>
  <c r="K17" i="95"/>
  <c r="J17" i="95"/>
  <c r="I17" i="95"/>
  <c r="H17" i="95"/>
  <c r="G17" i="95"/>
  <c r="F17" i="95"/>
  <c r="E17" i="95"/>
  <c r="D17" i="95"/>
  <c r="C17" i="95"/>
  <c r="B17" i="95"/>
  <c r="C7" i="95"/>
  <c r="D7" i="95" s="1"/>
  <c r="E7" i="95" s="1"/>
  <c r="F7" i="95" s="1"/>
  <c r="G7" i="95" s="1"/>
  <c r="H7" i="95" s="1"/>
  <c r="I7" i="95" s="1"/>
  <c r="J7" i="95" s="1"/>
  <c r="K7" i="95" s="1"/>
  <c r="L7" i="95" s="1"/>
  <c r="M7" i="95" s="1"/>
  <c r="B5" i="95"/>
  <c r="B4" i="95"/>
  <c r="B28" i="97" l="1"/>
  <c r="F28" i="97"/>
  <c r="J28" i="97"/>
  <c r="F21" i="95"/>
  <c r="F22" i="95" s="1"/>
  <c r="B21" i="93"/>
  <c r="B160" i="95"/>
  <c r="M15" i="95"/>
  <c r="I97" i="97"/>
  <c r="F18" i="97"/>
  <c r="F68" i="95"/>
  <c r="F70" i="95" s="1"/>
  <c r="F69" i="95" s="1"/>
  <c r="J18" i="97"/>
  <c r="H137" i="95"/>
  <c r="C160" i="95"/>
  <c r="C162" i="95" s="1"/>
  <c r="C161" i="95" s="1"/>
  <c r="H45" i="95"/>
  <c r="H46" i="95" s="1"/>
  <c r="H47" i="95" s="1"/>
  <c r="H49" i="95" s="1"/>
  <c r="E28" i="97"/>
  <c r="M28" i="97"/>
  <c r="G28" i="97"/>
  <c r="B109" i="97"/>
  <c r="C365" i="48" s="1"/>
  <c r="K23" i="89"/>
  <c r="K48" i="97"/>
  <c r="K50" i="97" s="1"/>
  <c r="K49" i="97" s="1"/>
  <c r="G137" i="95"/>
  <c r="Q15" i="96"/>
  <c r="D18" i="97"/>
  <c r="H18" i="97"/>
  <c r="D28" i="97"/>
  <c r="L28" i="97"/>
  <c r="I112" i="97"/>
  <c r="I114" i="97" s="1"/>
  <c r="I113" i="97" s="1"/>
  <c r="G18" i="95"/>
  <c r="C21" i="95"/>
  <c r="C22" i="95" s="1"/>
  <c r="C15" i="95"/>
  <c r="C16" i="95" s="1"/>
  <c r="C18" i="95" s="1"/>
  <c r="D58" i="95"/>
  <c r="E162" i="48" s="1"/>
  <c r="D21" i="89"/>
  <c r="D56" i="95"/>
  <c r="D55" i="95" s="1"/>
  <c r="H58" i="95"/>
  <c r="I162" i="48" s="1"/>
  <c r="H21" i="89"/>
  <c r="H56" i="95"/>
  <c r="H55" i="95" s="1"/>
  <c r="M56" i="95"/>
  <c r="M55" i="95" s="1"/>
  <c r="M21" i="89"/>
  <c r="M58" i="95"/>
  <c r="N162" i="48" s="1"/>
  <c r="G132" i="95"/>
  <c r="G131" i="95" s="1"/>
  <c r="G65" i="97"/>
  <c r="G67" i="97" s="1"/>
  <c r="G23" i="90"/>
  <c r="H28" i="97"/>
  <c r="H26" i="97"/>
  <c r="G43" i="97"/>
  <c r="G42" i="97" s="1"/>
  <c r="G23" i="89"/>
  <c r="L43" i="97"/>
  <c r="L42" i="97" s="1"/>
  <c r="L23" i="89"/>
  <c r="L48" i="97"/>
  <c r="L50" i="97" s="1"/>
  <c r="L49" i="97" s="1"/>
  <c r="B118" i="95"/>
  <c r="C267" i="48" s="1"/>
  <c r="B116" i="95"/>
  <c r="B115" i="95" s="1"/>
  <c r="H141" i="95"/>
  <c r="I317" i="48" s="1"/>
  <c r="M162" i="95"/>
  <c r="M161" i="95" s="1"/>
  <c r="H150" i="95"/>
  <c r="I362" i="48" s="1"/>
  <c r="H21" i="93"/>
  <c r="D150" i="95"/>
  <c r="E362" i="48" s="1"/>
  <c r="D21" i="93"/>
  <c r="K127" i="95"/>
  <c r="L315" i="48" s="1"/>
  <c r="K21" i="92"/>
  <c r="K125" i="95"/>
  <c r="K124" i="95" s="1"/>
  <c r="K137" i="95"/>
  <c r="K139" i="95" s="1"/>
  <c r="K138" i="95" s="1"/>
  <c r="K130" i="95"/>
  <c r="K132" i="95" s="1"/>
  <c r="K131" i="95" s="1"/>
  <c r="F21" i="92"/>
  <c r="F130" i="95"/>
  <c r="F137" i="95"/>
  <c r="F141" i="95" s="1"/>
  <c r="G317" i="48" s="1"/>
  <c r="E21" i="93"/>
  <c r="E150" i="95"/>
  <c r="F362" i="48" s="1"/>
  <c r="E160" i="95"/>
  <c r="F21" i="90"/>
  <c r="F79" i="95"/>
  <c r="F78" i="95" s="1"/>
  <c r="L150" i="95"/>
  <c r="M362" i="48" s="1"/>
  <c r="L21" i="93"/>
  <c r="L160" i="95"/>
  <c r="F18" i="95"/>
  <c r="L72" i="95"/>
  <c r="M164" i="48" s="1"/>
  <c r="G153" i="95"/>
  <c r="I21" i="95"/>
  <c r="I15" i="95"/>
  <c r="I16" i="95" s="1"/>
  <c r="I18" i="95" s="1"/>
  <c r="F58" i="95"/>
  <c r="G162" i="48" s="1"/>
  <c r="F21" i="89"/>
  <c r="F56" i="95"/>
  <c r="F55" i="95" s="1"/>
  <c r="K56" i="95"/>
  <c r="K55" i="95" s="1"/>
  <c r="K21" i="89"/>
  <c r="K58" i="95"/>
  <c r="L162" i="48" s="1"/>
  <c r="G127" i="95"/>
  <c r="H315" i="48" s="1"/>
  <c r="G21" i="92"/>
  <c r="G125" i="95"/>
  <c r="G124" i="95" s="1"/>
  <c r="C21" i="92"/>
  <c r="C137" i="95"/>
  <c r="C139" i="95" s="1"/>
  <c r="C138" i="95" s="1"/>
  <c r="M13" i="96"/>
  <c r="J77" i="95" s="1"/>
  <c r="I137" i="95"/>
  <c r="I141" i="95" s="1"/>
  <c r="J317" i="48" s="1"/>
  <c r="I21" i="92"/>
  <c r="I127" i="95"/>
  <c r="J315" i="48" s="1"/>
  <c r="I150" i="95"/>
  <c r="J362" i="48" s="1"/>
  <c r="I21" i="93"/>
  <c r="C125" i="95"/>
  <c r="C124" i="95" s="1"/>
  <c r="G160" i="95"/>
  <c r="G162" i="95" s="1"/>
  <c r="G161" i="95" s="1"/>
  <c r="D14" i="96"/>
  <c r="G13" i="96"/>
  <c r="D77" i="95" s="1"/>
  <c r="D79" i="95" s="1"/>
  <c r="D78" i="95" s="1"/>
  <c r="K13" i="96"/>
  <c r="H77" i="95" s="1"/>
  <c r="H79" i="95" s="1"/>
  <c r="H78" i="95" s="1"/>
  <c r="O13" i="96"/>
  <c r="L77" i="95" s="1"/>
  <c r="L79" i="95" s="1"/>
  <c r="L78" i="95" s="1"/>
  <c r="H13" i="96"/>
  <c r="E77" i="95" s="1"/>
  <c r="E21" i="90" s="1"/>
  <c r="P13" i="96"/>
  <c r="M77" i="95" s="1"/>
  <c r="M79" i="95" s="1"/>
  <c r="F13" i="96"/>
  <c r="J13" i="96"/>
  <c r="G77" i="95" s="1"/>
  <c r="G91" i="95" s="1"/>
  <c r="N13" i="96"/>
  <c r="K77" i="95" s="1"/>
  <c r="K21" i="90" s="1"/>
  <c r="E56" i="95"/>
  <c r="E55" i="95" s="1"/>
  <c r="E21" i="89"/>
  <c r="J68" i="95"/>
  <c r="J72" i="95" s="1"/>
  <c r="K164" i="48" s="1"/>
  <c r="J21" i="89"/>
  <c r="B21" i="91"/>
  <c r="B102" i="95"/>
  <c r="B101" i="95" s="1"/>
  <c r="K21" i="93"/>
  <c r="K153" i="95"/>
  <c r="K155" i="95" s="1"/>
  <c r="B81" i="95"/>
  <c r="C213" i="48" s="1"/>
  <c r="B21" i="90"/>
  <c r="M137" i="95"/>
  <c r="M139" i="95" s="1"/>
  <c r="M138" i="95" s="1"/>
  <c r="M21" i="92"/>
  <c r="M21" i="93"/>
  <c r="M150" i="95"/>
  <c r="N362" i="48" s="1"/>
  <c r="B18" i="95"/>
  <c r="J18" i="95"/>
  <c r="C58" i="95"/>
  <c r="D162" i="48" s="1"/>
  <c r="C21" i="89"/>
  <c r="G58" i="95"/>
  <c r="H162" i="48" s="1"/>
  <c r="G21" i="89"/>
  <c r="L58" i="95"/>
  <c r="M162" i="48" s="1"/>
  <c r="L21" i="89"/>
  <c r="I56" i="95"/>
  <c r="I55" i="95" s="1"/>
  <c r="I21" i="89"/>
  <c r="D48" i="97"/>
  <c r="D52" i="97" s="1"/>
  <c r="E166" i="48" s="1"/>
  <c r="D14" i="98"/>
  <c r="H13" i="98"/>
  <c r="E58" i="97" s="1"/>
  <c r="E62" i="97" s="1"/>
  <c r="F216" i="48" s="1"/>
  <c r="M13" i="98"/>
  <c r="J58" i="97" s="1"/>
  <c r="J62" i="97" s="1"/>
  <c r="K216" i="48" s="1"/>
  <c r="F13" i="98"/>
  <c r="C58" i="97" s="1"/>
  <c r="C62" i="97" s="1"/>
  <c r="D216" i="48" s="1"/>
  <c r="I13" i="98"/>
  <c r="F58" i="97" s="1"/>
  <c r="F60" i="97" s="1"/>
  <c r="N13" i="98"/>
  <c r="K58" i="97" s="1"/>
  <c r="K62" i="97" s="1"/>
  <c r="L216" i="48" s="1"/>
  <c r="G13" i="98"/>
  <c r="D58" i="97" s="1"/>
  <c r="D23" i="90" s="1"/>
  <c r="K13" i="98"/>
  <c r="H58" i="97" s="1"/>
  <c r="P13" i="98"/>
  <c r="M58" i="97" s="1"/>
  <c r="M62" i="97" s="1"/>
  <c r="N216" i="48" s="1"/>
  <c r="C28" i="97"/>
  <c r="K28" i="97"/>
  <c r="E43" i="97"/>
  <c r="E42" i="97" s="1"/>
  <c r="E23" i="89"/>
  <c r="O13" i="98"/>
  <c r="L58" i="97" s="1"/>
  <c r="L62" i="97" s="1"/>
  <c r="M216" i="48" s="1"/>
  <c r="I81" i="95"/>
  <c r="J213" i="48" s="1"/>
  <c r="I21" i="90"/>
  <c r="H48" i="97"/>
  <c r="H50" i="97" s="1"/>
  <c r="H49" i="97" s="1"/>
  <c r="H23" i="89"/>
  <c r="M48" i="97"/>
  <c r="M52" i="97" s="1"/>
  <c r="N166" i="48" s="1"/>
  <c r="M23" i="89"/>
  <c r="B92" i="97"/>
  <c r="B91" i="97" s="1"/>
  <c r="B23" i="92"/>
  <c r="I62" i="97"/>
  <c r="J216" i="48" s="1"/>
  <c r="I23" i="90"/>
  <c r="B60" i="97"/>
  <c r="B59" i="97" s="1"/>
  <c r="B23" i="90"/>
  <c r="J23" i="89"/>
  <c r="I48" i="97"/>
  <c r="I50" i="97" s="1"/>
  <c r="I49" i="97" s="1"/>
  <c r="I23" i="89"/>
  <c r="B48" i="97"/>
  <c r="B50" i="97" s="1"/>
  <c r="B49" i="97" s="1"/>
  <c r="B23" i="89"/>
  <c r="F23" i="89"/>
  <c r="C48" i="97"/>
  <c r="C50" i="97" s="1"/>
  <c r="C49" i="97" s="1"/>
  <c r="C23" i="89"/>
  <c r="B23" i="93"/>
  <c r="I107" i="97"/>
  <c r="I106" i="97" s="1"/>
  <c r="B107" i="97"/>
  <c r="B106" i="97" s="1"/>
  <c r="I109" i="97"/>
  <c r="J365" i="48" s="1"/>
  <c r="B112" i="97"/>
  <c r="L16" i="97"/>
  <c r="L18" i="97" s="1"/>
  <c r="I94" i="97"/>
  <c r="J318" i="48" s="1"/>
  <c r="B45" i="97"/>
  <c r="C165" i="48" s="1"/>
  <c r="D43" i="97"/>
  <c r="D42" i="97" s="1"/>
  <c r="F45" i="97"/>
  <c r="G165" i="48" s="1"/>
  <c r="H43" i="97"/>
  <c r="H42" i="97" s="1"/>
  <c r="D45" i="97"/>
  <c r="E165" i="48" s="1"/>
  <c r="H45" i="97"/>
  <c r="I165" i="48" s="1"/>
  <c r="L45" i="97"/>
  <c r="M165" i="48" s="1"/>
  <c r="J45" i="97"/>
  <c r="K165" i="48" s="1"/>
  <c r="G62" i="97"/>
  <c r="H216" i="48" s="1"/>
  <c r="B74" i="97"/>
  <c r="Q12" i="98"/>
  <c r="B18" i="97"/>
  <c r="G84" i="97"/>
  <c r="H84" i="97" s="1"/>
  <c r="I84" i="97" s="1"/>
  <c r="J84" i="97" s="1"/>
  <c r="K52" i="97"/>
  <c r="L166" i="48" s="1"/>
  <c r="H68" i="97"/>
  <c r="I68" i="97" s="1"/>
  <c r="J68" i="97" s="1"/>
  <c r="K68" i="97" s="1"/>
  <c r="L68" i="97" s="1"/>
  <c r="M68" i="97" s="1"/>
  <c r="C16" i="97"/>
  <c r="C18" i="97" s="1"/>
  <c r="G16" i="97"/>
  <c r="G18" i="97" s="1"/>
  <c r="K16" i="97"/>
  <c r="K18" i="97" s="1"/>
  <c r="D26" i="97"/>
  <c r="D25" i="97" s="1"/>
  <c r="L26" i="97"/>
  <c r="L25" i="97" s="1"/>
  <c r="B31" i="97"/>
  <c r="J31" i="97"/>
  <c r="J52" i="97"/>
  <c r="K166" i="48" s="1"/>
  <c r="I99" i="97"/>
  <c r="I98" i="97" s="1"/>
  <c r="I101" i="97"/>
  <c r="J319" i="48" s="1"/>
  <c r="N14" i="97"/>
  <c r="E15" i="97"/>
  <c r="I15" i="97"/>
  <c r="I16" i="97" s="1"/>
  <c r="I18" i="97" s="1"/>
  <c r="M15" i="97"/>
  <c r="M16" i="97" s="1"/>
  <c r="M18" i="97" s="1"/>
  <c r="E26" i="97"/>
  <c r="E25" i="97" s="1"/>
  <c r="E31" i="97"/>
  <c r="I26" i="97"/>
  <c r="I25" i="97" s="1"/>
  <c r="I31" i="97"/>
  <c r="M26" i="97"/>
  <c r="M25" i="97" s="1"/>
  <c r="M31" i="97"/>
  <c r="H25" i="97"/>
  <c r="F26" i="97"/>
  <c r="F25" i="97" s="1"/>
  <c r="I28" i="97"/>
  <c r="D31" i="97"/>
  <c r="L31" i="97"/>
  <c r="E45" i="97"/>
  <c r="F165" i="48" s="1"/>
  <c r="I42" i="97"/>
  <c r="I45" i="97"/>
  <c r="J165" i="48" s="1"/>
  <c r="M45" i="97"/>
  <c r="N165" i="48" s="1"/>
  <c r="C43" i="97"/>
  <c r="C42" i="97" s="1"/>
  <c r="M43" i="97"/>
  <c r="M42" i="97" s="1"/>
  <c r="F49" i="97"/>
  <c r="N24" i="97"/>
  <c r="F31" i="97"/>
  <c r="E52" i="97"/>
  <c r="F166" i="48" s="1"/>
  <c r="I78" i="97"/>
  <c r="J268" i="48" s="1"/>
  <c r="I76" i="97"/>
  <c r="I75" i="97" s="1"/>
  <c r="I81" i="97"/>
  <c r="C31" i="97"/>
  <c r="C26" i="97"/>
  <c r="C25" i="97" s="1"/>
  <c r="G31" i="97"/>
  <c r="G26" i="97"/>
  <c r="G25" i="97" s="1"/>
  <c r="K31" i="97"/>
  <c r="K26" i="97"/>
  <c r="K25" i="97" s="1"/>
  <c r="B26" i="97"/>
  <c r="B25" i="97" s="1"/>
  <c r="J26" i="97"/>
  <c r="J25" i="97" s="1"/>
  <c r="H31" i="97"/>
  <c r="C45" i="97"/>
  <c r="D165" i="48" s="1"/>
  <c r="G45" i="97"/>
  <c r="H165" i="48" s="1"/>
  <c r="K45" i="97"/>
  <c r="L165" i="48" s="1"/>
  <c r="K43" i="97"/>
  <c r="K42" i="97" s="1"/>
  <c r="G48" i="97"/>
  <c r="J49" i="97"/>
  <c r="E50" i="97"/>
  <c r="E49" i="97" s="1"/>
  <c r="F52" i="97"/>
  <c r="G166" i="48" s="1"/>
  <c r="B43" i="97"/>
  <c r="F43" i="97"/>
  <c r="F42" i="97" s="1"/>
  <c r="J43" i="97"/>
  <c r="J42" i="97" s="1"/>
  <c r="B62" i="97"/>
  <c r="C216" i="48" s="1"/>
  <c r="F62" i="97"/>
  <c r="G216" i="48" s="1"/>
  <c r="B65" i="97"/>
  <c r="N41" i="97"/>
  <c r="N23" i="89" s="1"/>
  <c r="B94" i="97"/>
  <c r="C318" i="48" s="1"/>
  <c r="B97" i="97"/>
  <c r="G60" i="97"/>
  <c r="G59" i="97" s="1"/>
  <c r="I65" i="97"/>
  <c r="I92" i="97"/>
  <c r="I91" i="97" s="1"/>
  <c r="F132" i="95"/>
  <c r="F131" i="95" s="1"/>
  <c r="C155" i="95"/>
  <c r="C154" i="95" s="1"/>
  <c r="D164" i="95"/>
  <c r="E364" i="48" s="1"/>
  <c r="D162" i="95"/>
  <c r="D161" i="95" s="1"/>
  <c r="I102" i="95"/>
  <c r="I101" i="95" s="1"/>
  <c r="L127" i="95"/>
  <c r="M315" i="48" s="1"/>
  <c r="L125" i="95"/>
  <c r="L124" i="95" s="1"/>
  <c r="H127" i="95"/>
  <c r="I315" i="48" s="1"/>
  <c r="H125" i="95"/>
  <c r="H124" i="95" s="1"/>
  <c r="D127" i="95"/>
  <c r="E315" i="48" s="1"/>
  <c r="D125" i="95"/>
  <c r="D124" i="95" s="1"/>
  <c r="L56" i="95"/>
  <c r="L55" i="95" s="1"/>
  <c r="I58" i="95"/>
  <c r="J162" i="48" s="1"/>
  <c r="E58" i="95"/>
  <c r="F162" i="48" s="1"/>
  <c r="H139" i="95"/>
  <c r="H138" i="95" s="1"/>
  <c r="D148" i="95"/>
  <c r="D147" i="95" s="1"/>
  <c r="L21" i="95"/>
  <c r="L22" i="95" s="1"/>
  <c r="B32" i="95"/>
  <c r="B33" i="95" s="1"/>
  <c r="B35" i="95" s="1"/>
  <c r="L45" i="95"/>
  <c r="L46" i="95" s="1"/>
  <c r="L47" i="95" s="1"/>
  <c r="L49" i="95" s="1"/>
  <c r="L130" i="95"/>
  <c r="L137" i="95"/>
  <c r="D153" i="95"/>
  <c r="L153" i="95"/>
  <c r="K162" i="95"/>
  <c r="K161" i="95" s="1"/>
  <c r="F91" i="95"/>
  <c r="F81" i="95"/>
  <c r="G213" i="48" s="1"/>
  <c r="B107" i="95"/>
  <c r="B104" i="95"/>
  <c r="C265" i="48" s="1"/>
  <c r="C127" i="95"/>
  <c r="D315" i="48" s="1"/>
  <c r="K148" i="95"/>
  <c r="K147" i="95" s="1"/>
  <c r="K150" i="95"/>
  <c r="L362" i="48" s="1"/>
  <c r="G148" i="95"/>
  <c r="G147" i="95" s="1"/>
  <c r="G150" i="95"/>
  <c r="H362" i="48" s="1"/>
  <c r="C148" i="95"/>
  <c r="C147" i="95" s="1"/>
  <c r="C150" i="95"/>
  <c r="D362" i="48" s="1"/>
  <c r="G56" i="95"/>
  <c r="G55" i="95" s="1"/>
  <c r="C56" i="95"/>
  <c r="C55" i="95" s="1"/>
  <c r="L70" i="95"/>
  <c r="L69" i="95" s="1"/>
  <c r="E79" i="95"/>
  <c r="E78" i="95" s="1"/>
  <c r="I79" i="95"/>
  <c r="I78" i="95" s="1"/>
  <c r="I125" i="95"/>
  <c r="I124" i="95" s="1"/>
  <c r="H148" i="95"/>
  <c r="H147" i="95" s="1"/>
  <c r="I162" i="95"/>
  <c r="I161" i="95" s="1"/>
  <c r="M127" i="95"/>
  <c r="N315" i="48" s="1"/>
  <c r="H132" i="95"/>
  <c r="H131" i="95" s="1"/>
  <c r="C141" i="95"/>
  <c r="D317" i="48" s="1"/>
  <c r="G155" i="95"/>
  <c r="G154" i="95" s="1"/>
  <c r="B164" i="95"/>
  <c r="C364" i="48" s="1"/>
  <c r="B162" i="95"/>
  <c r="B161" i="95" s="1"/>
  <c r="L162" i="95"/>
  <c r="J127" i="95"/>
  <c r="K315" i="48" s="1"/>
  <c r="J125" i="95"/>
  <c r="J124" i="95" s="1"/>
  <c r="F127" i="95"/>
  <c r="G315" i="48" s="1"/>
  <c r="F125" i="95"/>
  <c r="F124" i="95" s="1"/>
  <c r="B150" i="95"/>
  <c r="C362" i="48" s="1"/>
  <c r="B148" i="95"/>
  <c r="B147" i="95" s="1"/>
  <c r="J153" i="95"/>
  <c r="J150" i="95"/>
  <c r="K362" i="48" s="1"/>
  <c r="J148" i="95"/>
  <c r="J147" i="95" s="1"/>
  <c r="F153" i="95"/>
  <c r="F150" i="95"/>
  <c r="G362" i="48" s="1"/>
  <c r="F148" i="95"/>
  <c r="F147" i="95" s="1"/>
  <c r="J56" i="95"/>
  <c r="J55" i="95" s="1"/>
  <c r="C132" i="95"/>
  <c r="C131" i="95" s="1"/>
  <c r="L148" i="95"/>
  <c r="L147" i="95" s="1"/>
  <c r="D21" i="95"/>
  <c r="D22" i="95" s="1"/>
  <c r="L38" i="95"/>
  <c r="L39" i="95" s="1"/>
  <c r="E68" i="95"/>
  <c r="D130" i="95"/>
  <c r="J130" i="95"/>
  <c r="D137" i="95"/>
  <c r="J137" i="95"/>
  <c r="B153" i="95"/>
  <c r="H153" i="95"/>
  <c r="C164" i="95"/>
  <c r="D364" i="48" s="1"/>
  <c r="H160" i="95"/>
  <c r="E137" i="95"/>
  <c r="M153" i="95"/>
  <c r="M148" i="95"/>
  <c r="M147" i="95" s="1"/>
  <c r="I153" i="95"/>
  <c r="I148" i="95"/>
  <c r="I147" i="95" s="1"/>
  <c r="E153" i="95"/>
  <c r="E148" i="95"/>
  <c r="E147" i="95" s="1"/>
  <c r="J58" i="95"/>
  <c r="K162" i="48" s="1"/>
  <c r="F63" i="95"/>
  <c r="F62" i="95" s="1"/>
  <c r="B78" i="95"/>
  <c r="G79" i="95"/>
  <c r="G78" i="95" s="1"/>
  <c r="E125" i="95"/>
  <c r="E124" i="95" s="1"/>
  <c r="M125" i="95"/>
  <c r="M124" i="95" s="1"/>
  <c r="I104" i="95"/>
  <c r="J265" i="48" s="1"/>
  <c r="E127" i="95"/>
  <c r="F315" i="48" s="1"/>
  <c r="F163" i="95"/>
  <c r="N146" i="95"/>
  <c r="N21" i="93" s="1"/>
  <c r="F160" i="95"/>
  <c r="J160" i="95"/>
  <c r="E130" i="95"/>
  <c r="I130" i="95"/>
  <c r="M130" i="95"/>
  <c r="B84" i="95"/>
  <c r="B91" i="95"/>
  <c r="F84" i="95"/>
  <c r="C77" i="95"/>
  <c r="C21" i="90" s="1"/>
  <c r="Q16" i="96"/>
  <c r="J61" i="95"/>
  <c r="B123" i="95"/>
  <c r="B21" i="92" s="1"/>
  <c r="J45" i="95"/>
  <c r="J46" i="95" s="1"/>
  <c r="F32" i="95"/>
  <c r="F33" i="95" s="1"/>
  <c r="F35" i="95" s="1"/>
  <c r="J35" i="95"/>
  <c r="F23" i="95"/>
  <c r="E15" i="95"/>
  <c r="E16" i="95" s="1"/>
  <c r="E18" i="95" s="1"/>
  <c r="K15" i="95"/>
  <c r="K16" i="95" s="1"/>
  <c r="K18" i="95" s="1"/>
  <c r="G21" i="95"/>
  <c r="G22" i="95" s="1"/>
  <c r="G23" i="95" s="1"/>
  <c r="H15" i="95"/>
  <c r="H16" i="95" s="1"/>
  <c r="H18" i="95" s="1"/>
  <c r="D45" i="95"/>
  <c r="M39" i="95"/>
  <c r="M40" i="95" s="1"/>
  <c r="K22" i="95"/>
  <c r="K23" i="95" s="1"/>
  <c r="C32" i="95"/>
  <c r="C33" i="95" s="1"/>
  <c r="C35" i="95" s="1"/>
  <c r="C45" i="95"/>
  <c r="G32" i="95"/>
  <c r="G33" i="95" s="1"/>
  <c r="G35" i="95" s="1"/>
  <c r="G45" i="95"/>
  <c r="K45" i="95"/>
  <c r="K32" i="95"/>
  <c r="K33" i="95" s="1"/>
  <c r="K35" i="95" s="1"/>
  <c r="E38" i="95"/>
  <c r="N14" i="95"/>
  <c r="D16" i="95"/>
  <c r="D18" i="95" s="1"/>
  <c r="L16" i="95"/>
  <c r="L18" i="95" s="1"/>
  <c r="B21" i="95"/>
  <c r="J21" i="95"/>
  <c r="E22" i="95"/>
  <c r="E23" i="95" s="1"/>
  <c r="M22" i="95"/>
  <c r="M23" i="95" s="1"/>
  <c r="H23" i="95"/>
  <c r="I33" i="95"/>
  <c r="I35" i="95" s="1"/>
  <c r="G38" i="95"/>
  <c r="M45" i="95"/>
  <c r="M32" i="95"/>
  <c r="M33" i="95" s="1"/>
  <c r="M35" i="95" s="1"/>
  <c r="I38" i="95"/>
  <c r="E45" i="95"/>
  <c r="I22" i="95"/>
  <c r="I23" i="95" s="1"/>
  <c r="B46" i="95"/>
  <c r="B47" i="95" s="1"/>
  <c r="F46" i="95"/>
  <c r="F47" i="95" s="1"/>
  <c r="F49" i="95" s="1"/>
  <c r="E33" i="95"/>
  <c r="E35" i="95" s="1"/>
  <c r="C38" i="95"/>
  <c r="K38" i="95"/>
  <c r="I45" i="95"/>
  <c r="D61" i="95"/>
  <c r="D68" i="95"/>
  <c r="M16" i="95"/>
  <c r="M18" i="95" s="1"/>
  <c r="N31" i="95"/>
  <c r="D33" i="95"/>
  <c r="D35" i="95" s="1"/>
  <c r="H33" i="95"/>
  <c r="H35" i="95" s="1"/>
  <c r="L33" i="95"/>
  <c r="L35" i="95" s="1"/>
  <c r="B38" i="95"/>
  <c r="F38" i="95"/>
  <c r="J38" i="95"/>
  <c r="C68" i="95"/>
  <c r="C61" i="95"/>
  <c r="G68" i="95"/>
  <c r="G61" i="95"/>
  <c r="K68" i="95"/>
  <c r="K61" i="95"/>
  <c r="E61" i="95"/>
  <c r="L61" i="95"/>
  <c r="G84" i="95"/>
  <c r="H68" i="95"/>
  <c r="H61" i="95"/>
  <c r="H84" i="95"/>
  <c r="L91" i="95"/>
  <c r="D38" i="95"/>
  <c r="H38" i="95"/>
  <c r="M68" i="95"/>
  <c r="M61" i="95"/>
  <c r="I61" i="95"/>
  <c r="I68" i="95"/>
  <c r="H91" i="95"/>
  <c r="I114" i="95"/>
  <c r="I107" i="95"/>
  <c r="I91" i="95"/>
  <c r="I84" i="95"/>
  <c r="D62" i="97" l="1"/>
  <c r="E216" i="48" s="1"/>
  <c r="D50" i="97"/>
  <c r="D49" i="97" s="1"/>
  <c r="B130" i="95"/>
  <c r="N130" i="95" s="1"/>
  <c r="L84" i="95"/>
  <c r="L23" i="95"/>
  <c r="M141" i="95"/>
  <c r="N317" i="48" s="1"/>
  <c r="F72" i="95"/>
  <c r="G164" i="48" s="1"/>
  <c r="K141" i="95"/>
  <c r="L317" i="48" s="1"/>
  <c r="C52" i="97"/>
  <c r="D166" i="48" s="1"/>
  <c r="L65" i="97"/>
  <c r="L67" i="97" s="1"/>
  <c r="L66" i="97" s="1"/>
  <c r="C91" i="95"/>
  <c r="C93" i="95" s="1"/>
  <c r="C92" i="95" s="1"/>
  <c r="J70" i="95"/>
  <c r="J69" i="95" s="1"/>
  <c r="K60" i="97"/>
  <c r="K59" i="97" s="1"/>
  <c r="N58" i="97"/>
  <c r="N23" i="90" s="1"/>
  <c r="H52" i="97"/>
  <c r="I166" i="48" s="1"/>
  <c r="I116" i="97"/>
  <c r="J366" i="48" s="1"/>
  <c r="M78" i="95"/>
  <c r="E65" i="97"/>
  <c r="E67" i="97" s="1"/>
  <c r="E66" i="97" s="1"/>
  <c r="D91" i="95"/>
  <c r="D93" i="95" s="1"/>
  <c r="C23" i="95"/>
  <c r="M84" i="95"/>
  <c r="M86" i="95" s="1"/>
  <c r="B137" i="95"/>
  <c r="N137" i="95" s="1"/>
  <c r="D84" i="95"/>
  <c r="D86" i="95" s="1"/>
  <c r="D85" i="95" s="1"/>
  <c r="M91" i="95"/>
  <c r="G139" i="95"/>
  <c r="G138" i="95" s="1"/>
  <c r="J65" i="97"/>
  <c r="J67" i="97" s="1"/>
  <c r="J66" i="97" s="1"/>
  <c r="M50" i="97"/>
  <c r="M49" i="97" s="1"/>
  <c r="D23" i="95"/>
  <c r="O362" i="48"/>
  <c r="G141" i="95"/>
  <c r="H317" i="48" s="1"/>
  <c r="M65" i="97"/>
  <c r="F59" i="97"/>
  <c r="G66" i="97"/>
  <c r="O21" i="93"/>
  <c r="N48" i="97"/>
  <c r="N28" i="97"/>
  <c r="L52" i="97"/>
  <c r="M166" i="48" s="1"/>
  <c r="N123" i="95"/>
  <c r="N21" i="92" s="1"/>
  <c r="D65" i="97"/>
  <c r="D69" i="97" s="1"/>
  <c r="E217" i="48" s="1"/>
  <c r="H65" i="97"/>
  <c r="H67" i="97" s="1"/>
  <c r="H66" i="97" s="1"/>
  <c r="H23" i="90"/>
  <c r="H14" i="96"/>
  <c r="E100" i="95" s="1"/>
  <c r="M14" i="96"/>
  <c r="J100" i="95" s="1"/>
  <c r="I14" i="96"/>
  <c r="F100" i="95" s="1"/>
  <c r="N14" i="96"/>
  <c r="K100" i="95" s="1"/>
  <c r="G14" i="96"/>
  <c r="D100" i="95" s="1"/>
  <c r="K14" i="96"/>
  <c r="H100" i="95" s="1"/>
  <c r="P14" i="96"/>
  <c r="M100" i="95" s="1"/>
  <c r="F14" i="96"/>
  <c r="J14" i="96"/>
  <c r="G100" i="95" s="1"/>
  <c r="O14" i="96"/>
  <c r="L100" i="95" s="1"/>
  <c r="N148" i="95"/>
  <c r="K91" i="95"/>
  <c r="K95" i="95" s="1"/>
  <c r="L215" i="48" s="1"/>
  <c r="E91" i="95"/>
  <c r="E95" i="95" s="1"/>
  <c r="F215" i="48" s="1"/>
  <c r="I139" i="95"/>
  <c r="I138" i="95" s="1"/>
  <c r="K84" i="95"/>
  <c r="K86" i="95" s="1"/>
  <c r="K85" i="95" s="1"/>
  <c r="L40" i="95"/>
  <c r="K79" i="95"/>
  <c r="K78" i="95" s="1"/>
  <c r="L161" i="95"/>
  <c r="K154" i="95"/>
  <c r="H60" i="97"/>
  <c r="H59" i="97" s="1"/>
  <c r="B52" i="97"/>
  <c r="C166" i="48" s="1"/>
  <c r="I52" i="97"/>
  <c r="J166" i="48" s="1"/>
  <c r="G69" i="97"/>
  <c r="H217" i="48" s="1"/>
  <c r="B81" i="97"/>
  <c r="B23" i="91"/>
  <c r="D60" i="97"/>
  <c r="D59" i="97" s="1"/>
  <c r="M60" i="97"/>
  <c r="M59" i="97" s="1"/>
  <c r="M23" i="90"/>
  <c r="F65" i="97"/>
  <c r="F23" i="90"/>
  <c r="D15" i="98"/>
  <c r="G14" i="98"/>
  <c r="D74" i="97" s="1"/>
  <c r="K14" i="98"/>
  <c r="H74" i="97" s="1"/>
  <c r="O14" i="98"/>
  <c r="L74" i="97" s="1"/>
  <c r="H14" i="98"/>
  <c r="E74" i="97" s="1"/>
  <c r="P14" i="98"/>
  <c r="M74" i="97" s="1"/>
  <c r="F14" i="98"/>
  <c r="J14" i="98"/>
  <c r="G74" i="97" s="1"/>
  <c r="N14" i="98"/>
  <c r="K74" i="97" s="1"/>
  <c r="I14" i="98"/>
  <c r="F74" i="97" s="1"/>
  <c r="M14" i="98"/>
  <c r="J74" i="97" s="1"/>
  <c r="M81" i="95"/>
  <c r="N213" i="48" s="1"/>
  <c r="M21" i="90"/>
  <c r="D81" i="95"/>
  <c r="E213" i="48" s="1"/>
  <c r="D21" i="90"/>
  <c r="Q13" i="96"/>
  <c r="K81" i="95"/>
  <c r="L213" i="48" s="1"/>
  <c r="E81" i="95"/>
  <c r="F213" i="48" s="1"/>
  <c r="C60" i="97"/>
  <c r="D67" i="97"/>
  <c r="D66" i="97" s="1"/>
  <c r="O165" i="48"/>
  <c r="O23" i="89"/>
  <c r="J23" i="90"/>
  <c r="J60" i="97"/>
  <c r="J59" i="97" s="1"/>
  <c r="G81" i="95"/>
  <c r="H213" i="48" s="1"/>
  <c r="G21" i="90"/>
  <c r="L81" i="95"/>
  <c r="M213" i="48" s="1"/>
  <c r="L21" i="90"/>
  <c r="J81" i="95"/>
  <c r="K213" i="48" s="1"/>
  <c r="J21" i="90"/>
  <c r="J79" i="95"/>
  <c r="J78" i="95" s="1"/>
  <c r="J91" i="95"/>
  <c r="J84" i="95"/>
  <c r="E162" i="95"/>
  <c r="E161" i="95" s="1"/>
  <c r="E164" i="95"/>
  <c r="F364" i="48" s="1"/>
  <c r="C65" i="97"/>
  <c r="C23" i="90"/>
  <c r="E84" i="95"/>
  <c r="E86" i="95" s="1"/>
  <c r="E85" i="95" s="1"/>
  <c r="F139" i="95"/>
  <c r="F138" i="95" s="1"/>
  <c r="O21" i="92"/>
  <c r="H62" i="97"/>
  <c r="I216" i="48" s="1"/>
  <c r="Q13" i="98"/>
  <c r="L60" i="97"/>
  <c r="L59" i="97" s="1"/>
  <c r="L23" i="90"/>
  <c r="K65" i="97"/>
  <c r="K23" i="90"/>
  <c r="E60" i="97"/>
  <c r="E59" i="97" s="1"/>
  <c r="E23" i="90"/>
  <c r="H81" i="95"/>
  <c r="I213" i="48" s="1"/>
  <c r="H21" i="90"/>
  <c r="B116" i="97"/>
  <c r="C366" i="48" s="1"/>
  <c r="B114" i="97"/>
  <c r="B113" i="97" s="1"/>
  <c r="N45" i="97"/>
  <c r="B76" i="97"/>
  <c r="B75" i="97" s="1"/>
  <c r="B78" i="97"/>
  <c r="N15" i="97"/>
  <c r="I67" i="97"/>
  <c r="I66" i="97" s="1"/>
  <c r="I69" i="97"/>
  <c r="J217" i="48" s="1"/>
  <c r="C59" i="97"/>
  <c r="N43" i="97"/>
  <c r="B42" i="97"/>
  <c r="N42" i="97" s="1"/>
  <c r="N25" i="97"/>
  <c r="G33" i="97"/>
  <c r="G32" i="97" s="1"/>
  <c r="G35" i="97"/>
  <c r="B35" i="97"/>
  <c r="N31" i="97"/>
  <c r="B33" i="97"/>
  <c r="B32" i="97" s="1"/>
  <c r="K84" i="97"/>
  <c r="L84" i="97" s="1"/>
  <c r="M84" i="97" s="1"/>
  <c r="E69" i="97"/>
  <c r="F217" i="48" s="1"/>
  <c r="J69" i="97"/>
  <c r="K217" i="48" s="1"/>
  <c r="N26" i="97"/>
  <c r="F35" i="97"/>
  <c r="F33" i="97"/>
  <c r="F32" i="97" s="1"/>
  <c r="M33" i="97"/>
  <c r="M32" i="97" s="1"/>
  <c r="M35" i="97"/>
  <c r="E33" i="97"/>
  <c r="E32" i="97" s="1"/>
  <c r="E35" i="97"/>
  <c r="E16" i="97"/>
  <c r="E18" i="97" s="1"/>
  <c r="N18" i="97" s="1"/>
  <c r="B101" i="97"/>
  <c r="C319" i="48" s="1"/>
  <c r="B99" i="97"/>
  <c r="B98" i="97" s="1"/>
  <c r="B69" i="97"/>
  <c r="C217" i="48" s="1"/>
  <c r="B67" i="97"/>
  <c r="K33" i="97"/>
  <c r="K32" i="97" s="1"/>
  <c r="K35" i="97"/>
  <c r="C33" i="97"/>
  <c r="C32" i="97" s="1"/>
  <c r="C35" i="97"/>
  <c r="L35" i="97"/>
  <c r="L33" i="97"/>
  <c r="L32" i="97" s="1"/>
  <c r="M67" i="97"/>
  <c r="M66" i="97" s="1"/>
  <c r="M69" i="97"/>
  <c r="N217" i="48" s="1"/>
  <c r="G52" i="97"/>
  <c r="G50" i="97"/>
  <c r="G49" i="97" s="1"/>
  <c r="H35" i="97"/>
  <c r="H33" i="97"/>
  <c r="H32" i="97" s="1"/>
  <c r="I85" i="97"/>
  <c r="J269" i="48" s="1"/>
  <c r="I83" i="97"/>
  <c r="I82" i="97" s="1"/>
  <c r="D35" i="97"/>
  <c r="D33" i="97"/>
  <c r="D32" i="97" s="1"/>
  <c r="I33" i="97"/>
  <c r="I32" i="97" s="1"/>
  <c r="I35" i="97"/>
  <c r="J35" i="97"/>
  <c r="J33" i="97"/>
  <c r="J32" i="97" s="1"/>
  <c r="N147" i="95"/>
  <c r="I93" i="95"/>
  <c r="I92" i="95" s="1"/>
  <c r="I95" i="95"/>
  <c r="J215" i="48" s="1"/>
  <c r="M70" i="95"/>
  <c r="M69" i="95" s="1"/>
  <c r="M72" i="95"/>
  <c r="N164" i="48" s="1"/>
  <c r="L86" i="95"/>
  <c r="L85" i="95" s="1"/>
  <c r="E63" i="95"/>
  <c r="E62" i="95" s="1"/>
  <c r="G72" i="95"/>
  <c r="H164" i="48" s="1"/>
  <c r="G70" i="95"/>
  <c r="G69" i="95" s="1"/>
  <c r="I132" i="95"/>
  <c r="I131" i="95" s="1"/>
  <c r="E155" i="95"/>
  <c r="E154" i="95" s="1"/>
  <c r="E139" i="95"/>
  <c r="E138" i="95" s="1"/>
  <c r="E141" i="95"/>
  <c r="F317" i="48" s="1"/>
  <c r="B155" i="95"/>
  <c r="B154" i="95" s="1"/>
  <c r="D132" i="95"/>
  <c r="D131" i="95" s="1"/>
  <c r="J155" i="95"/>
  <c r="J154" i="95" s="1"/>
  <c r="D155" i="95"/>
  <c r="D154" i="95" s="1"/>
  <c r="N153" i="95"/>
  <c r="I116" i="95"/>
  <c r="I115" i="95" s="1"/>
  <c r="I118" i="95"/>
  <c r="J267" i="48" s="1"/>
  <c r="I72" i="95"/>
  <c r="J164" i="48" s="1"/>
  <c r="I70" i="95"/>
  <c r="I69" i="95" s="1"/>
  <c r="L95" i="95"/>
  <c r="M215" i="48" s="1"/>
  <c r="L93" i="95"/>
  <c r="L92" i="95" s="1"/>
  <c r="H63" i="95"/>
  <c r="H62" i="95" s="1"/>
  <c r="G95" i="95"/>
  <c r="H215" i="48" s="1"/>
  <c r="G93" i="95"/>
  <c r="G92" i="95" s="1"/>
  <c r="K63" i="95"/>
  <c r="K62" i="95" s="1"/>
  <c r="C63" i="95"/>
  <c r="C62" i="95" s="1"/>
  <c r="D72" i="95"/>
  <c r="E164" i="48" s="1"/>
  <c r="D70" i="95"/>
  <c r="D69" i="95" s="1"/>
  <c r="B127" i="95"/>
  <c r="B125" i="95"/>
  <c r="B124" i="95" s="1"/>
  <c r="N124" i="95" s="1"/>
  <c r="C84" i="95"/>
  <c r="C81" i="95"/>
  <c r="C79" i="95"/>
  <c r="B95" i="95"/>
  <c r="C215" i="48" s="1"/>
  <c r="B93" i="95"/>
  <c r="B92" i="95" s="1"/>
  <c r="E132" i="95"/>
  <c r="E131" i="95" s="1"/>
  <c r="J141" i="95"/>
  <c r="K317" i="48" s="1"/>
  <c r="J139" i="95"/>
  <c r="J138" i="95" s="1"/>
  <c r="E72" i="95"/>
  <c r="F164" i="48" s="1"/>
  <c r="E70" i="95"/>
  <c r="E69" i="95" s="1"/>
  <c r="F155" i="95"/>
  <c r="F154" i="95" s="1"/>
  <c r="B109" i="95"/>
  <c r="B108" i="95" s="1"/>
  <c r="L141" i="95"/>
  <c r="M317" i="48" s="1"/>
  <c r="L139" i="95"/>
  <c r="L138" i="95" s="1"/>
  <c r="L132" i="95"/>
  <c r="L131" i="95" s="1"/>
  <c r="H95" i="95"/>
  <c r="I215" i="48" s="1"/>
  <c r="H93" i="95"/>
  <c r="H92" i="95" s="1"/>
  <c r="I109" i="95"/>
  <c r="I108" i="95" s="1"/>
  <c r="I63" i="95"/>
  <c r="I62" i="95" s="1"/>
  <c r="H86" i="95"/>
  <c r="H85" i="95" s="1"/>
  <c r="H72" i="95"/>
  <c r="I164" i="48" s="1"/>
  <c r="H70" i="95"/>
  <c r="H69" i="95" s="1"/>
  <c r="K72" i="95"/>
  <c r="L164" i="48" s="1"/>
  <c r="K70" i="95"/>
  <c r="K69" i="95" s="1"/>
  <c r="C72" i="95"/>
  <c r="D164" i="48" s="1"/>
  <c r="C70" i="95"/>
  <c r="C69" i="95" s="1"/>
  <c r="D63" i="95"/>
  <c r="D62" i="95" s="1"/>
  <c r="B86" i="95"/>
  <c r="B85" i="95" s="1"/>
  <c r="J162" i="95"/>
  <c r="J161" i="95" s="1"/>
  <c r="M155" i="95"/>
  <c r="M154" i="95" s="1"/>
  <c r="D141" i="95"/>
  <c r="E317" i="48" s="1"/>
  <c r="D139" i="95"/>
  <c r="D138" i="95" s="1"/>
  <c r="I86" i="95"/>
  <c r="I85" i="95" s="1"/>
  <c r="M63" i="95"/>
  <c r="M62" i="95" s="1"/>
  <c r="G86" i="95"/>
  <c r="G85" i="95" s="1"/>
  <c r="L63" i="95"/>
  <c r="L62" i="95" s="1"/>
  <c r="G63" i="95"/>
  <c r="G62" i="95" s="1"/>
  <c r="J47" i="95"/>
  <c r="J49" i="95" s="1"/>
  <c r="J63" i="95"/>
  <c r="J62" i="95" s="1"/>
  <c r="F86" i="95"/>
  <c r="F85" i="95" s="1"/>
  <c r="M132" i="95"/>
  <c r="M131" i="95" s="1"/>
  <c r="F164" i="95"/>
  <c r="G364" i="48" s="1"/>
  <c r="F162" i="95"/>
  <c r="F161" i="95" s="1"/>
  <c r="I155" i="95"/>
  <c r="I154" i="95" s="1"/>
  <c r="H162" i="95"/>
  <c r="H161" i="95" s="1"/>
  <c r="H155" i="95"/>
  <c r="H154" i="95" s="1"/>
  <c r="J132" i="95"/>
  <c r="J131" i="95" s="1"/>
  <c r="F95" i="95"/>
  <c r="G215" i="48" s="1"/>
  <c r="F93" i="95"/>
  <c r="F92" i="95" s="1"/>
  <c r="L155" i="95"/>
  <c r="L154" i="95" s="1"/>
  <c r="G163" i="95"/>
  <c r="G164" i="95" s="1"/>
  <c r="H364" i="48" s="1"/>
  <c r="N160" i="95"/>
  <c r="N15" i="95"/>
  <c r="N77" i="95"/>
  <c r="N21" i="90" s="1"/>
  <c r="N32" i="95"/>
  <c r="N35" i="95"/>
  <c r="D46" i="95"/>
  <c r="D47" i="95" s="1"/>
  <c r="D49" i="95" s="1"/>
  <c r="N18" i="95"/>
  <c r="I46" i="95"/>
  <c r="I47" i="95" s="1"/>
  <c r="I49" i="95" s="1"/>
  <c r="B49" i="95"/>
  <c r="E46" i="95"/>
  <c r="E47" i="95" s="1"/>
  <c r="E49" i="95" s="1"/>
  <c r="B22" i="95"/>
  <c r="B23" i="95" s="1"/>
  <c r="N21" i="95"/>
  <c r="H39" i="95"/>
  <c r="H40" i="95" s="1"/>
  <c r="F39" i="95"/>
  <c r="F40" i="95" s="1"/>
  <c r="K39" i="95"/>
  <c r="K40" i="95" s="1"/>
  <c r="N33" i="95"/>
  <c r="I39" i="95"/>
  <c r="I40" i="95" s="1"/>
  <c r="C46" i="95"/>
  <c r="N16" i="95"/>
  <c r="D39" i="95"/>
  <c r="D40" i="95" s="1"/>
  <c r="N38" i="95"/>
  <c r="B39" i="95"/>
  <c r="C39" i="95"/>
  <c r="C40" i="95" s="1"/>
  <c r="G39" i="95"/>
  <c r="G40" i="95" s="1"/>
  <c r="K46" i="95"/>
  <c r="K47" i="95" s="1"/>
  <c r="K49" i="95" s="1"/>
  <c r="J39" i="95"/>
  <c r="J40" i="95" s="1"/>
  <c r="N150" i="95"/>
  <c r="M46" i="95"/>
  <c r="M47" i="95" s="1"/>
  <c r="M49" i="95" s="1"/>
  <c r="J22" i="95"/>
  <c r="J23" i="95" s="1"/>
  <c r="E39" i="95"/>
  <c r="E40" i="95" s="1"/>
  <c r="G46" i="95"/>
  <c r="G47" i="95" s="1"/>
  <c r="G49" i="95" s="1"/>
  <c r="N45" i="95"/>
  <c r="O216" i="48" l="1"/>
  <c r="L69" i="97"/>
  <c r="M217" i="48" s="1"/>
  <c r="D95" i="95"/>
  <c r="E215" i="48" s="1"/>
  <c r="E93" i="95"/>
  <c r="E92" i="95" s="1"/>
  <c r="B132" i="95"/>
  <c r="B131" i="95" s="1"/>
  <c r="N131" i="95" s="1"/>
  <c r="B139" i="95"/>
  <c r="B138" i="95" s="1"/>
  <c r="N138" i="95" s="1"/>
  <c r="B141" i="95"/>
  <c r="C317" i="48" s="1"/>
  <c r="O317" i="48" s="1"/>
  <c r="C95" i="95"/>
  <c r="D215" i="48" s="1"/>
  <c r="N79" i="95"/>
  <c r="K93" i="95"/>
  <c r="K92" i="95" s="1"/>
  <c r="O23" i="90"/>
  <c r="N84" i="95"/>
  <c r="M95" i="95"/>
  <c r="N215" i="48" s="1"/>
  <c r="D92" i="95"/>
  <c r="M93" i="95"/>
  <c r="M92" i="95" s="1"/>
  <c r="O21" i="90"/>
  <c r="H69" i="97"/>
  <c r="I217" i="48" s="1"/>
  <c r="N49" i="97"/>
  <c r="M85" i="95"/>
  <c r="N62" i="97"/>
  <c r="C78" i="95"/>
  <c r="N78" i="95" s="1"/>
  <c r="N60" i="97"/>
  <c r="K67" i="97"/>
  <c r="K66" i="97" s="1"/>
  <c r="K69" i="97"/>
  <c r="L217" i="48" s="1"/>
  <c r="H23" i="91"/>
  <c r="H76" i="97"/>
  <c r="H75" i="97" s="1"/>
  <c r="H81" i="97"/>
  <c r="H78" i="97"/>
  <c r="I268" i="48" s="1"/>
  <c r="L21" i="91"/>
  <c r="L102" i="95"/>
  <c r="L101" i="95" s="1"/>
  <c r="L107" i="95"/>
  <c r="L114" i="95"/>
  <c r="L104" i="95"/>
  <c r="M265" i="48" s="1"/>
  <c r="N155" i="95"/>
  <c r="C268" i="48"/>
  <c r="C67" i="97"/>
  <c r="C66" i="97" s="1"/>
  <c r="C69" i="97"/>
  <c r="D217" i="48" s="1"/>
  <c r="F78" i="97"/>
  <c r="G268" i="48" s="1"/>
  <c r="F23" i="91"/>
  <c r="F81" i="97"/>
  <c r="F76" i="97"/>
  <c r="F75" i="97" s="1"/>
  <c r="M23" i="91"/>
  <c r="M78" i="97"/>
  <c r="N268" i="48" s="1"/>
  <c r="M76" i="97"/>
  <c r="M75" i="97" s="1"/>
  <c r="M81" i="97"/>
  <c r="M83" i="97" s="1"/>
  <c r="M82" i="97" s="1"/>
  <c r="D76" i="97"/>
  <c r="D75" i="97" s="1"/>
  <c r="D23" i="91"/>
  <c r="D81" i="97"/>
  <c r="D78" i="97"/>
  <c r="E268" i="48" s="1"/>
  <c r="B83" i="97"/>
  <c r="B82" i="97" s="1"/>
  <c r="B85" i="97"/>
  <c r="C269" i="48" s="1"/>
  <c r="G21" i="91"/>
  <c r="G104" i="95"/>
  <c r="H265" i="48" s="1"/>
  <c r="G102" i="95"/>
  <c r="G101" i="95" s="1"/>
  <c r="G114" i="95"/>
  <c r="G107" i="95"/>
  <c r="D21" i="91"/>
  <c r="D114" i="95"/>
  <c r="D102" i="95"/>
  <c r="D101" i="95" s="1"/>
  <c r="D107" i="95"/>
  <c r="D104" i="95"/>
  <c r="E265" i="48" s="1"/>
  <c r="E21" i="91"/>
  <c r="E104" i="95"/>
  <c r="F265" i="48" s="1"/>
  <c r="E114" i="95"/>
  <c r="E102" i="95"/>
  <c r="E101" i="95" s="1"/>
  <c r="E107" i="95"/>
  <c r="J81" i="97"/>
  <c r="J23" i="91"/>
  <c r="J78" i="97"/>
  <c r="K268" i="48" s="1"/>
  <c r="J76" i="97"/>
  <c r="J75" i="97" s="1"/>
  <c r="F67" i="97"/>
  <c r="F66" i="97" s="1"/>
  <c r="F69" i="97"/>
  <c r="G217" i="48" s="1"/>
  <c r="J104" i="95"/>
  <c r="K265" i="48" s="1"/>
  <c r="J21" i="91"/>
  <c r="J102" i="95"/>
  <c r="J101" i="95" s="1"/>
  <c r="J107" i="95"/>
  <c r="J114" i="95"/>
  <c r="N59" i="97"/>
  <c r="K23" i="91"/>
  <c r="K81" i="97"/>
  <c r="K76" i="97"/>
  <c r="K75" i="97" s="1"/>
  <c r="K78" i="97"/>
  <c r="L268" i="48" s="1"/>
  <c r="E81" i="97"/>
  <c r="E23" i="91"/>
  <c r="E78" i="97"/>
  <c r="F268" i="48" s="1"/>
  <c r="E76" i="97"/>
  <c r="E75" i="97" s="1"/>
  <c r="I15" i="98"/>
  <c r="F90" i="97" s="1"/>
  <c r="N15" i="98"/>
  <c r="K90" i="97" s="1"/>
  <c r="J15" i="98"/>
  <c r="G90" i="97" s="1"/>
  <c r="O15" i="98"/>
  <c r="L90" i="97" s="1"/>
  <c r="H15" i="98"/>
  <c r="E90" i="97" s="1"/>
  <c r="M15" i="98"/>
  <c r="J90" i="97" s="1"/>
  <c r="K15" i="98"/>
  <c r="H90" i="97" s="1"/>
  <c r="F15" i="98"/>
  <c r="P15" i="98"/>
  <c r="M90" i="97" s="1"/>
  <c r="D16" i="98"/>
  <c r="G15" i="98"/>
  <c r="D90" i="97" s="1"/>
  <c r="C100" i="95"/>
  <c r="Q14" i="96"/>
  <c r="K21" i="91"/>
  <c r="K102" i="95"/>
  <c r="K101" i="95" s="1"/>
  <c r="K104" i="95"/>
  <c r="L265" i="48" s="1"/>
  <c r="K114" i="95"/>
  <c r="K107" i="95"/>
  <c r="J95" i="95"/>
  <c r="K215" i="48" s="1"/>
  <c r="J93" i="95"/>
  <c r="J92" i="95" s="1"/>
  <c r="C74" i="97"/>
  <c r="Q14" i="98"/>
  <c r="H102" i="95"/>
  <c r="H101" i="95" s="1"/>
  <c r="H21" i="91"/>
  <c r="H114" i="95"/>
  <c r="H107" i="95"/>
  <c r="H104" i="95"/>
  <c r="I265" i="48" s="1"/>
  <c r="D213" i="48"/>
  <c r="O213" i="48" s="1"/>
  <c r="C315" i="48"/>
  <c r="O315" i="48" s="1"/>
  <c r="N91" i="95"/>
  <c r="N154" i="95"/>
  <c r="N52" i="97"/>
  <c r="H166" i="48"/>
  <c r="O166" i="48" s="1"/>
  <c r="B86" i="75" s="1"/>
  <c r="D86" i="75" s="1"/>
  <c r="E86" i="75" s="1"/>
  <c r="N65" i="97"/>
  <c r="J86" i="95"/>
  <c r="J85" i="95" s="1"/>
  <c r="G23" i="91"/>
  <c r="G78" i="97"/>
  <c r="H268" i="48" s="1"/>
  <c r="G76" i="97"/>
  <c r="G75" i="97" s="1"/>
  <c r="G81" i="97"/>
  <c r="L23" i="91"/>
  <c r="L78" i="97"/>
  <c r="M268" i="48" s="1"/>
  <c r="L76" i="97"/>
  <c r="L75" i="97" s="1"/>
  <c r="L81" i="97"/>
  <c r="M21" i="91"/>
  <c r="M102" i="95"/>
  <c r="M101" i="95" s="1"/>
  <c r="M104" i="95"/>
  <c r="N265" i="48" s="1"/>
  <c r="M114" i="95"/>
  <c r="M107" i="95"/>
  <c r="F21" i="91"/>
  <c r="F102" i="95"/>
  <c r="F101" i="95" s="1"/>
  <c r="F114" i="95"/>
  <c r="F104" i="95"/>
  <c r="G265" i="48" s="1"/>
  <c r="F107" i="95"/>
  <c r="N16" i="97"/>
  <c r="N50" i="97"/>
  <c r="N32" i="97"/>
  <c r="N35" i="97"/>
  <c r="N33" i="97"/>
  <c r="B66" i="97"/>
  <c r="N161" i="95"/>
  <c r="N81" i="95"/>
  <c r="C86" i="95"/>
  <c r="H163" i="95"/>
  <c r="H164" i="95" s="1"/>
  <c r="I364" i="48" s="1"/>
  <c r="N162" i="95"/>
  <c r="N46" i="95"/>
  <c r="C47" i="95"/>
  <c r="C49" i="95" s="1"/>
  <c r="N49" i="95" s="1"/>
  <c r="N39" i="95"/>
  <c r="N127" i="95"/>
  <c r="N125" i="95"/>
  <c r="B40" i="95"/>
  <c r="N22" i="95"/>
  <c r="N23" i="95"/>
  <c r="N86" i="95" l="1"/>
  <c r="N67" i="97"/>
  <c r="N69" i="97"/>
  <c r="N92" i="95"/>
  <c r="O215" i="48"/>
  <c r="M85" i="97"/>
  <c r="N269" i="48" s="1"/>
  <c r="C85" i="95"/>
  <c r="N85" i="95" s="1"/>
  <c r="O217" i="48"/>
  <c r="B118" i="75" s="1"/>
  <c r="D118" i="75" s="1"/>
  <c r="E118" i="75" s="1"/>
  <c r="N66" i="97"/>
  <c r="C76" i="97"/>
  <c r="N76" i="97" s="1"/>
  <c r="C23" i="91"/>
  <c r="O23" i="91" s="1"/>
  <c r="C81" i="97"/>
  <c r="C78" i="97"/>
  <c r="C75" i="97"/>
  <c r="N75" i="97" s="1"/>
  <c r="N74" i="97"/>
  <c r="N23" i="91" s="1"/>
  <c r="K118" i="95"/>
  <c r="L267" i="48" s="1"/>
  <c r="K116" i="95"/>
  <c r="K115" i="95" s="1"/>
  <c r="H16" i="98"/>
  <c r="E105" i="97" s="1"/>
  <c r="M16" i="98"/>
  <c r="J105" i="97" s="1"/>
  <c r="I16" i="98"/>
  <c r="F105" i="97" s="1"/>
  <c r="N16" i="98"/>
  <c r="K105" i="97" s="1"/>
  <c r="G16" i="98"/>
  <c r="D105" i="97" s="1"/>
  <c r="K16" i="98"/>
  <c r="H105" i="97" s="1"/>
  <c r="P16" i="98"/>
  <c r="M105" i="97" s="1"/>
  <c r="F16" i="98"/>
  <c r="C105" i="97" s="1"/>
  <c r="O16" i="98"/>
  <c r="L105" i="97" s="1"/>
  <c r="J16" i="98"/>
  <c r="G105" i="97" s="1"/>
  <c r="J118" i="95"/>
  <c r="K267" i="48" s="1"/>
  <c r="J116" i="95"/>
  <c r="J115" i="95" s="1"/>
  <c r="G118" i="95"/>
  <c r="H267" i="48" s="1"/>
  <c r="G116" i="95"/>
  <c r="G115" i="95" s="1"/>
  <c r="F118" i="95"/>
  <c r="G267" i="48" s="1"/>
  <c r="F116" i="95"/>
  <c r="F115" i="95" s="1"/>
  <c r="M109" i="95"/>
  <c r="M108" i="95" s="1"/>
  <c r="C21" i="91"/>
  <c r="O21" i="91" s="1"/>
  <c r="C102" i="95"/>
  <c r="C114" i="95"/>
  <c r="N100" i="95"/>
  <c r="N21" i="91" s="1"/>
  <c r="C104" i="95"/>
  <c r="C107" i="95"/>
  <c r="M118" i="95"/>
  <c r="N267" i="48" s="1"/>
  <c r="M116" i="95"/>
  <c r="M115" i="95" s="1"/>
  <c r="L85" i="97"/>
  <c r="M269" i="48" s="1"/>
  <c r="L83" i="97"/>
  <c r="L82" i="97" s="1"/>
  <c r="G83" i="97"/>
  <c r="G82" i="97" s="1"/>
  <c r="G85" i="97"/>
  <c r="H269" i="48" s="1"/>
  <c r="H109" i="95"/>
  <c r="H108" i="95" s="1"/>
  <c r="F109" i="95"/>
  <c r="F108" i="95" s="1"/>
  <c r="H118" i="95"/>
  <c r="I267" i="48" s="1"/>
  <c r="H116" i="95"/>
  <c r="H115" i="95" s="1"/>
  <c r="K109" i="95"/>
  <c r="K108" i="95" s="1"/>
  <c r="D97" i="97"/>
  <c r="D23" i="92"/>
  <c r="D94" i="97"/>
  <c r="E318" i="48" s="1"/>
  <c r="D92" i="97"/>
  <c r="D91" i="97" s="1"/>
  <c r="H97" i="97"/>
  <c r="H23" i="92"/>
  <c r="H92" i="97"/>
  <c r="H91" i="97" s="1"/>
  <c r="H94" i="97"/>
  <c r="I318" i="48" s="1"/>
  <c r="G92" i="97"/>
  <c r="G91" i="97" s="1"/>
  <c r="G23" i="92"/>
  <c r="G97" i="97"/>
  <c r="G94" i="97"/>
  <c r="H318" i="48" s="1"/>
  <c r="J83" i="97"/>
  <c r="J82" i="97" s="1"/>
  <c r="J85" i="97"/>
  <c r="K269" i="48" s="1"/>
  <c r="E116" i="95"/>
  <c r="E115" i="95" s="1"/>
  <c r="E118" i="95"/>
  <c r="F267" i="48" s="1"/>
  <c r="D109" i="95"/>
  <c r="D108" i="95" s="1"/>
  <c r="G109" i="95"/>
  <c r="G108" i="95" s="1"/>
  <c r="D85" i="97"/>
  <c r="E269" i="48" s="1"/>
  <c r="D83" i="97"/>
  <c r="D82" i="97" s="1"/>
  <c r="F83" i="97"/>
  <c r="F82" i="97" s="1"/>
  <c r="F85" i="97"/>
  <c r="G269" i="48" s="1"/>
  <c r="J23" i="92"/>
  <c r="J92" i="97"/>
  <c r="J91" i="97" s="1"/>
  <c r="J97" i="97"/>
  <c r="J94" i="97"/>
  <c r="K318" i="48" s="1"/>
  <c r="K85" i="97"/>
  <c r="L269" i="48" s="1"/>
  <c r="K83" i="97"/>
  <c r="K82" i="97" s="1"/>
  <c r="M23" i="92"/>
  <c r="M94" i="97"/>
  <c r="N318" i="48" s="1"/>
  <c r="M97" i="97"/>
  <c r="M92" i="97"/>
  <c r="M91" i="97" s="1"/>
  <c r="E23" i="92"/>
  <c r="E97" i="97"/>
  <c r="E94" i="97"/>
  <c r="F318" i="48" s="1"/>
  <c r="E92" i="97"/>
  <c r="E91" i="97" s="1"/>
  <c r="F23" i="92"/>
  <c r="F97" i="97"/>
  <c r="F92" i="97"/>
  <c r="F91" i="97" s="1"/>
  <c r="F94" i="97"/>
  <c r="G318" i="48" s="1"/>
  <c r="E85" i="97"/>
  <c r="F269" i="48" s="1"/>
  <c r="E83" i="97"/>
  <c r="E82" i="97" s="1"/>
  <c r="J109" i="95"/>
  <c r="J108" i="95" s="1"/>
  <c r="E109" i="95"/>
  <c r="E108" i="95" s="1"/>
  <c r="D116" i="95"/>
  <c r="D115" i="95" s="1"/>
  <c r="D118" i="95"/>
  <c r="E267" i="48" s="1"/>
  <c r="L116" i="95"/>
  <c r="L115" i="95" s="1"/>
  <c r="L118" i="95"/>
  <c r="M267" i="48" s="1"/>
  <c r="K92" i="97"/>
  <c r="K91" i="97" s="1"/>
  <c r="K23" i="92"/>
  <c r="K94" i="97"/>
  <c r="L318" i="48" s="1"/>
  <c r="K97" i="97"/>
  <c r="C90" i="97"/>
  <c r="Q15" i="98"/>
  <c r="L97" i="97"/>
  <c r="L23" i="92"/>
  <c r="L94" i="97"/>
  <c r="M318" i="48" s="1"/>
  <c r="L92" i="97"/>
  <c r="L91" i="97" s="1"/>
  <c r="L109" i="95"/>
  <c r="L108" i="95" s="1"/>
  <c r="H83" i="97"/>
  <c r="H82" i="97" s="1"/>
  <c r="H85" i="97"/>
  <c r="I269" i="48" s="1"/>
  <c r="I163" i="95"/>
  <c r="I164" i="95" s="1"/>
  <c r="J364" i="48" s="1"/>
  <c r="N47" i="95"/>
  <c r="N95" i="95"/>
  <c r="N132" i="95"/>
  <c r="N141" i="95"/>
  <c r="N139" i="95"/>
  <c r="N40" i="95"/>
  <c r="N93" i="95"/>
  <c r="L99" i="97" l="1"/>
  <c r="L98" i="97" s="1"/>
  <c r="L101" i="97"/>
  <c r="M319" i="48" s="1"/>
  <c r="F99" i="97"/>
  <c r="F98" i="97" s="1"/>
  <c r="F101" i="97"/>
  <c r="G319" i="48" s="1"/>
  <c r="E99" i="97"/>
  <c r="E98" i="97" s="1"/>
  <c r="E101" i="97"/>
  <c r="F319" i="48" s="1"/>
  <c r="F109" i="97"/>
  <c r="G365" i="48" s="1"/>
  <c r="F23" i="93"/>
  <c r="F107" i="97"/>
  <c r="F106" i="97" s="1"/>
  <c r="F112" i="97"/>
  <c r="H101" i="97"/>
  <c r="I319" i="48" s="1"/>
  <c r="H99" i="97"/>
  <c r="H98" i="97" s="1"/>
  <c r="C92" i="97"/>
  <c r="C23" i="92"/>
  <c r="O23" i="92" s="1"/>
  <c r="C94" i="97"/>
  <c r="N90" i="97"/>
  <c r="N23" i="92" s="1"/>
  <c r="C97" i="97"/>
  <c r="D99" i="97"/>
  <c r="D98" i="97" s="1"/>
  <c r="D101" i="97"/>
  <c r="E319" i="48" s="1"/>
  <c r="C118" i="95"/>
  <c r="C116" i="95"/>
  <c r="N114" i="95"/>
  <c r="K99" i="97"/>
  <c r="K98" i="97" s="1"/>
  <c r="K101" i="97"/>
  <c r="L319" i="48" s="1"/>
  <c r="M101" i="97"/>
  <c r="N319" i="48" s="1"/>
  <c r="M99" i="97"/>
  <c r="M98" i="97" s="1"/>
  <c r="J99" i="97"/>
  <c r="J98" i="97" s="1"/>
  <c r="J101" i="97"/>
  <c r="K319" i="48" s="1"/>
  <c r="G99" i="97"/>
  <c r="G98" i="97" s="1"/>
  <c r="G101" i="97"/>
  <c r="H319" i="48" s="1"/>
  <c r="N107" i="95"/>
  <c r="C109" i="95"/>
  <c r="N109" i="95" s="1"/>
  <c r="C101" i="95"/>
  <c r="N101" i="95" s="1"/>
  <c r="N102" i="95"/>
  <c r="C23" i="93"/>
  <c r="C112" i="97"/>
  <c r="C109" i="97"/>
  <c r="C107" i="97"/>
  <c r="N105" i="97"/>
  <c r="N23" i="93" s="1"/>
  <c r="K23" i="93"/>
  <c r="K112" i="97"/>
  <c r="K107" i="97"/>
  <c r="K106" i="97" s="1"/>
  <c r="K109" i="97"/>
  <c r="L365" i="48" s="1"/>
  <c r="D268" i="48"/>
  <c r="O268" i="48" s="1"/>
  <c r="N78" i="97"/>
  <c r="M112" i="97"/>
  <c r="M23" i="93"/>
  <c r="M109" i="97"/>
  <c r="N365" i="48" s="1"/>
  <c r="M107" i="97"/>
  <c r="M106" i="97" s="1"/>
  <c r="C83" i="97"/>
  <c r="N83" i="97" s="1"/>
  <c r="N81" i="97"/>
  <c r="C85" i="97"/>
  <c r="G23" i="93"/>
  <c r="G109" i="97"/>
  <c r="H365" i="48" s="1"/>
  <c r="G107" i="97"/>
  <c r="G106" i="97" s="1"/>
  <c r="G112" i="97"/>
  <c r="H107" i="97"/>
  <c r="H106" i="97" s="1"/>
  <c r="H112" i="97"/>
  <c r="H23" i="93"/>
  <c r="H109" i="97"/>
  <c r="I365" i="48" s="1"/>
  <c r="J109" i="97"/>
  <c r="K365" i="48" s="1"/>
  <c r="J23" i="93"/>
  <c r="J107" i="97"/>
  <c r="J106" i="97" s="1"/>
  <c r="J112" i="97"/>
  <c r="D265" i="48"/>
  <c r="O265" i="48" s="1"/>
  <c r="N104" i="95"/>
  <c r="L23" i="93"/>
  <c r="L112" i="97"/>
  <c r="L107" i="97"/>
  <c r="L106" i="97" s="1"/>
  <c r="L109" i="97"/>
  <c r="M365" i="48" s="1"/>
  <c r="D23" i="93"/>
  <c r="D107" i="97"/>
  <c r="D106" i="97" s="1"/>
  <c r="D112" i="97"/>
  <c r="D109" i="97"/>
  <c r="E365" i="48" s="1"/>
  <c r="E23" i="93"/>
  <c r="E112" i="97"/>
  <c r="E107" i="97"/>
  <c r="E106" i="97" s="1"/>
  <c r="E109" i="97"/>
  <c r="F365" i="48" s="1"/>
  <c r="J163" i="95"/>
  <c r="J164" i="95" s="1"/>
  <c r="K364" i="48" s="1"/>
  <c r="C108" i="95" l="1"/>
  <c r="N108" i="95" s="1"/>
  <c r="D116" i="97"/>
  <c r="E366" i="48" s="1"/>
  <c r="D114" i="97"/>
  <c r="D113" i="97" s="1"/>
  <c r="C91" i="97"/>
  <c r="N91" i="97" s="1"/>
  <c r="N92" i="97"/>
  <c r="J116" i="97"/>
  <c r="K366" i="48" s="1"/>
  <c r="J114" i="97"/>
  <c r="J113" i="97" s="1"/>
  <c r="G116" i="97"/>
  <c r="H366" i="48" s="1"/>
  <c r="G114" i="97"/>
  <c r="G113" i="97" s="1"/>
  <c r="C82" i="97"/>
  <c r="N82" i="97" s="1"/>
  <c r="K116" i="97"/>
  <c r="L366" i="48" s="1"/>
  <c r="K114" i="97"/>
  <c r="K113" i="97" s="1"/>
  <c r="D365" i="48"/>
  <c r="O365" i="48" s="1"/>
  <c r="N109" i="97"/>
  <c r="D269" i="48"/>
  <c r="O269" i="48" s="1"/>
  <c r="B150" i="75" s="1"/>
  <c r="D150" i="75" s="1"/>
  <c r="E150" i="75" s="1"/>
  <c r="N85" i="97"/>
  <c r="C114" i="97"/>
  <c r="C116" i="97"/>
  <c r="N112" i="97"/>
  <c r="D318" i="48"/>
  <c r="O318" i="48" s="1"/>
  <c r="N94" i="97"/>
  <c r="H116" i="97"/>
  <c r="I366" i="48" s="1"/>
  <c r="H114" i="97"/>
  <c r="H113" i="97" s="1"/>
  <c r="O23" i="93"/>
  <c r="C115" i="95"/>
  <c r="N115" i="95" s="1"/>
  <c r="N116" i="95"/>
  <c r="M114" i="97"/>
  <c r="M113" i="97" s="1"/>
  <c r="M116" i="97"/>
  <c r="N366" i="48" s="1"/>
  <c r="D267" i="48"/>
  <c r="O267" i="48" s="1"/>
  <c r="N118" i="95"/>
  <c r="N97" i="97"/>
  <c r="C99" i="97"/>
  <c r="C101" i="97"/>
  <c r="F114" i="97"/>
  <c r="F113" i="97" s="1"/>
  <c r="F116" i="97"/>
  <c r="G366" i="48" s="1"/>
  <c r="C106" i="97"/>
  <c r="N106" i="97" s="1"/>
  <c r="N107" i="97"/>
  <c r="E116" i="97"/>
  <c r="F366" i="48" s="1"/>
  <c r="E114" i="97"/>
  <c r="E113" i="97" s="1"/>
  <c r="L114" i="97"/>
  <c r="L113" i="97" s="1"/>
  <c r="L116" i="97"/>
  <c r="M366" i="48" s="1"/>
  <c r="K163" i="95"/>
  <c r="K164" i="95" s="1"/>
  <c r="L364" i="48" s="1"/>
  <c r="C113" i="97" l="1"/>
  <c r="N113" i="97" s="1"/>
  <c r="N114" i="97"/>
  <c r="D319" i="48"/>
  <c r="O319" i="48" s="1"/>
  <c r="B182" i="75" s="1"/>
  <c r="D182" i="75" s="1"/>
  <c r="E182" i="75" s="1"/>
  <c r="N101" i="97"/>
  <c r="C98" i="97"/>
  <c r="N98" i="97" s="1"/>
  <c r="N99" i="97"/>
  <c r="D366" i="48"/>
  <c r="O366" i="48" s="1"/>
  <c r="B212" i="75" s="1"/>
  <c r="D212" i="75" s="1"/>
  <c r="E212" i="75" s="1"/>
  <c r="N116" i="97"/>
  <c r="L163" i="95"/>
  <c r="L164" i="95" s="1"/>
  <c r="M364" i="48" s="1"/>
  <c r="M163" i="95" l="1"/>
  <c r="M164" i="95" s="1"/>
  <c r="N364" i="48" s="1"/>
  <c r="O364" i="48" s="1"/>
  <c r="N164" i="95" l="1"/>
  <c r="B54" i="95" l="1"/>
  <c r="B21" i="89" s="1"/>
  <c r="O21" i="89" s="1"/>
  <c r="Q12" i="96"/>
  <c r="B58" i="95" l="1"/>
  <c r="B56" i="95"/>
  <c r="B55" i="95" s="1"/>
  <c r="N55" i="95" s="1"/>
  <c r="B68" i="95"/>
  <c r="N54" i="95"/>
  <c r="N21" i="89" s="1"/>
  <c r="B61" i="95"/>
  <c r="C162" i="48" l="1"/>
  <c r="O162" i="48" s="1"/>
  <c r="B63" i="95"/>
  <c r="B62" i="95" s="1"/>
  <c r="B72" i="95"/>
  <c r="B70" i="95"/>
  <c r="B69" i="95" s="1"/>
  <c r="N69" i="95" s="1"/>
  <c r="N58" i="95"/>
  <c r="N68" i="95"/>
  <c r="N61" i="95"/>
  <c r="C164" i="48" l="1"/>
  <c r="O164" i="48" s="1"/>
  <c r="N56" i="95"/>
  <c r="N72" i="95"/>
  <c r="N62" i="95"/>
  <c r="N70" i="95" l="1"/>
  <c r="N63" i="95"/>
  <c r="B100" i="82" l="1"/>
  <c r="C100" i="82" s="1"/>
  <c r="D100" i="82" s="1"/>
  <c r="E100" i="82" s="1"/>
  <c r="F100" i="82" s="1"/>
  <c r="G100" i="82" s="1"/>
  <c r="H100" i="82" s="1"/>
  <c r="I100" i="82" s="1"/>
  <c r="J100" i="82" s="1"/>
  <c r="K100" i="82" s="1"/>
  <c r="L100" i="82" s="1"/>
  <c r="M100" i="82" s="1"/>
  <c r="B84" i="82"/>
  <c r="C84" i="82" s="1"/>
  <c r="D84" i="82" s="1"/>
  <c r="E84" i="82" s="1"/>
  <c r="F84" i="82" s="1"/>
  <c r="G84" i="82" s="1"/>
  <c r="H84" i="82" s="1"/>
  <c r="I84" i="82" s="1"/>
  <c r="J84" i="82" s="1"/>
  <c r="K84" i="82" s="1"/>
  <c r="L84" i="82" s="1"/>
  <c r="M84" i="82" s="1"/>
  <c r="B68" i="82"/>
  <c r="C68" i="82" s="1"/>
  <c r="D68" i="82" s="1"/>
  <c r="E68" i="82" s="1"/>
  <c r="F68" i="82" s="1"/>
  <c r="G68" i="82" s="1"/>
  <c r="H68" i="82" s="1"/>
  <c r="I68" i="82" s="1"/>
  <c r="J68" i="82" s="1"/>
  <c r="K68" i="82" s="1"/>
  <c r="L68" i="82" s="1"/>
  <c r="M68" i="82" s="1"/>
  <c r="B51" i="82"/>
  <c r="C51" i="82" s="1"/>
  <c r="D51" i="82" s="1"/>
  <c r="E51" i="82" s="1"/>
  <c r="F51" i="82" s="1"/>
  <c r="G51" i="82" s="1"/>
  <c r="H51" i="82" s="1"/>
  <c r="I51" i="82" s="1"/>
  <c r="J51" i="82" s="1"/>
  <c r="K51" i="82" s="1"/>
  <c r="L51" i="82" s="1"/>
  <c r="M51" i="82" s="1"/>
  <c r="B34" i="82"/>
  <c r="C34" i="82" s="1"/>
  <c r="D34" i="82" l="1"/>
  <c r="E34" i="82" l="1"/>
  <c r="F34" i="82" l="1"/>
  <c r="G34" i="82" l="1"/>
  <c r="H34" i="82" l="1"/>
  <c r="I34" i="82" l="1"/>
  <c r="J34" i="82" l="1"/>
  <c r="K34" i="82" l="1"/>
  <c r="L34" i="82" l="1"/>
  <c r="M34" i="82" l="1"/>
  <c r="B31" i="93" l="1"/>
  <c r="B30" i="93"/>
  <c r="C29" i="93"/>
  <c r="D29" i="93"/>
  <c r="E29" i="93"/>
  <c r="F29" i="93"/>
  <c r="G29" i="93"/>
  <c r="H29" i="93"/>
  <c r="I29" i="93"/>
  <c r="J29" i="93"/>
  <c r="K29" i="93"/>
  <c r="L29" i="93"/>
  <c r="M29" i="93"/>
  <c r="B29" i="93"/>
  <c r="C28" i="93"/>
  <c r="D28" i="93"/>
  <c r="E28" i="93"/>
  <c r="F28" i="93"/>
  <c r="G28" i="93"/>
  <c r="H28" i="93"/>
  <c r="I28" i="93"/>
  <c r="J28" i="93"/>
  <c r="K28" i="93"/>
  <c r="L28" i="93"/>
  <c r="M28" i="93"/>
  <c r="B28" i="93"/>
  <c r="N32" i="93"/>
  <c r="C19" i="93"/>
  <c r="D19" i="93"/>
  <c r="E19" i="93"/>
  <c r="F19" i="93"/>
  <c r="G19" i="93"/>
  <c r="H19" i="93"/>
  <c r="I19" i="93"/>
  <c r="J19" i="93"/>
  <c r="K19" i="93"/>
  <c r="L19" i="93"/>
  <c r="M19" i="93"/>
  <c r="B31" i="92"/>
  <c r="B30" i="92"/>
  <c r="B29" i="92"/>
  <c r="C28" i="92"/>
  <c r="D28" i="92"/>
  <c r="E28" i="92"/>
  <c r="F28" i="92"/>
  <c r="G28" i="92"/>
  <c r="H28" i="92"/>
  <c r="I28" i="92"/>
  <c r="J28" i="92"/>
  <c r="K28" i="92"/>
  <c r="L28" i="92"/>
  <c r="M28" i="92"/>
  <c r="B28" i="92"/>
  <c r="C31" i="91"/>
  <c r="B31" i="91"/>
  <c r="B30" i="91"/>
  <c r="B29" i="91"/>
  <c r="C28" i="91"/>
  <c r="D28" i="91"/>
  <c r="E28" i="91"/>
  <c r="F28" i="91"/>
  <c r="G28" i="91"/>
  <c r="H28" i="91"/>
  <c r="I28" i="91"/>
  <c r="J28" i="91"/>
  <c r="K28" i="91"/>
  <c r="L28" i="91"/>
  <c r="M28" i="91"/>
  <c r="B28" i="91"/>
  <c r="B31" i="90"/>
  <c r="B30" i="90"/>
  <c r="B29" i="90"/>
  <c r="B28" i="90"/>
  <c r="C30" i="94"/>
  <c r="D30" i="94"/>
  <c r="E30" i="94"/>
  <c r="F30" i="94"/>
  <c r="G30" i="94"/>
  <c r="H30" i="94"/>
  <c r="I30" i="94"/>
  <c r="J30" i="94"/>
  <c r="K30" i="94"/>
  <c r="L30" i="94"/>
  <c r="M30" i="94"/>
  <c r="B30" i="94"/>
  <c r="G29" i="94"/>
  <c r="B29" i="94"/>
  <c r="B28" i="94"/>
  <c r="C27" i="94"/>
  <c r="D27" i="94"/>
  <c r="E27" i="94"/>
  <c r="F27" i="94"/>
  <c r="G27" i="94"/>
  <c r="H27" i="94"/>
  <c r="I27" i="94"/>
  <c r="J27" i="94"/>
  <c r="K27" i="94"/>
  <c r="L27" i="94"/>
  <c r="M27" i="94"/>
  <c r="B27" i="94"/>
  <c r="C26" i="94"/>
  <c r="D26" i="94"/>
  <c r="E26" i="94"/>
  <c r="F26" i="94"/>
  <c r="G26" i="94"/>
  <c r="H26" i="94"/>
  <c r="I26" i="94"/>
  <c r="J26" i="94"/>
  <c r="K26" i="94"/>
  <c r="L26" i="94"/>
  <c r="M26" i="94"/>
  <c r="B26" i="94"/>
  <c r="B25" i="94"/>
  <c r="C20" i="94"/>
  <c r="D20" i="94"/>
  <c r="E20" i="94"/>
  <c r="F20" i="94"/>
  <c r="G20" i="94"/>
  <c r="H20" i="94"/>
  <c r="I20" i="94"/>
  <c r="J20" i="94"/>
  <c r="K20" i="94"/>
  <c r="L20" i="94"/>
  <c r="M20" i="94"/>
  <c r="B20" i="94"/>
  <c r="N22" i="93"/>
  <c r="C93" i="82"/>
  <c r="D93" i="82"/>
  <c r="E93" i="82"/>
  <c r="F93" i="82"/>
  <c r="G93" i="82"/>
  <c r="H93" i="82"/>
  <c r="I93" i="82"/>
  <c r="J93" i="82"/>
  <c r="K93" i="82"/>
  <c r="L93" i="82"/>
  <c r="M93" i="82"/>
  <c r="B93" i="82"/>
  <c r="F15" i="81"/>
  <c r="C90" i="82" s="1"/>
  <c r="M15" i="81"/>
  <c r="J90" i="82" s="1"/>
  <c r="C22" i="91"/>
  <c r="D22" i="91"/>
  <c r="E22" i="91"/>
  <c r="F22" i="91"/>
  <c r="G22" i="91"/>
  <c r="H22" i="91"/>
  <c r="I22" i="91"/>
  <c r="J22" i="91"/>
  <c r="K22" i="91"/>
  <c r="L22" i="91"/>
  <c r="M22" i="91"/>
  <c r="C11" i="91"/>
  <c r="D11" i="91"/>
  <c r="E11" i="91"/>
  <c r="F11" i="91"/>
  <c r="G11" i="91"/>
  <c r="H11" i="91"/>
  <c r="I11" i="91"/>
  <c r="J11" i="91"/>
  <c r="K11" i="91"/>
  <c r="L11" i="91"/>
  <c r="M11" i="91"/>
  <c r="B22" i="91"/>
  <c r="B11" i="91"/>
  <c r="D22" i="90"/>
  <c r="E22" i="90"/>
  <c r="F22" i="90"/>
  <c r="G22" i="90"/>
  <c r="H22" i="90"/>
  <c r="I22" i="90"/>
  <c r="K22" i="90"/>
  <c r="L22" i="90"/>
  <c r="O32" i="93"/>
  <c r="O15" i="93"/>
  <c r="O11" i="93"/>
  <c r="O32" i="92"/>
  <c r="O15" i="92"/>
  <c r="O11" i="92"/>
  <c r="O32" i="91"/>
  <c r="O32" i="90"/>
  <c r="G31" i="90"/>
  <c r="L30" i="90"/>
  <c r="M28" i="90"/>
  <c r="L28" i="90"/>
  <c r="K28" i="90"/>
  <c r="J28" i="90"/>
  <c r="I28" i="90"/>
  <c r="H28" i="90"/>
  <c r="G28" i="90"/>
  <c r="F28" i="90"/>
  <c r="E28" i="90"/>
  <c r="D28" i="90"/>
  <c r="C28" i="90"/>
  <c r="D92" i="85"/>
  <c r="D94" i="85" s="1"/>
  <c r="E92" i="85"/>
  <c r="F92" i="85"/>
  <c r="G92" i="85"/>
  <c r="G94" i="85" s="1"/>
  <c r="G93" i="85" s="1"/>
  <c r="H92" i="85"/>
  <c r="H94" i="85" s="1"/>
  <c r="I92" i="85"/>
  <c r="K92" i="85"/>
  <c r="L92" i="85"/>
  <c r="L94" i="85" s="1"/>
  <c r="D361" i="48"/>
  <c r="E361" i="48"/>
  <c r="F361" i="48"/>
  <c r="G361" i="48"/>
  <c r="H361" i="48"/>
  <c r="I361" i="48"/>
  <c r="J361" i="48"/>
  <c r="K361" i="48"/>
  <c r="L361" i="48"/>
  <c r="M361" i="48"/>
  <c r="N361" i="48"/>
  <c r="M151" i="85"/>
  <c r="L151" i="85"/>
  <c r="K151" i="85"/>
  <c r="J151" i="85"/>
  <c r="I151" i="85"/>
  <c r="H151" i="85"/>
  <c r="G151" i="85"/>
  <c r="F151" i="85"/>
  <c r="E151" i="85"/>
  <c r="M150" i="85"/>
  <c r="L150" i="85"/>
  <c r="K150" i="85"/>
  <c r="J150" i="85"/>
  <c r="I150" i="85"/>
  <c r="H150" i="85"/>
  <c r="G150" i="85"/>
  <c r="F150" i="85"/>
  <c r="E150" i="85"/>
  <c r="M103" i="85"/>
  <c r="L103" i="85"/>
  <c r="K103" i="85"/>
  <c r="K102" i="85" s="1"/>
  <c r="J103" i="85"/>
  <c r="J102" i="85" s="1"/>
  <c r="I103" i="85"/>
  <c r="I102" i="85" s="1"/>
  <c r="H103" i="85"/>
  <c r="H102" i="85" s="1"/>
  <c r="G103" i="85"/>
  <c r="G102" i="85" s="1"/>
  <c r="F103" i="85"/>
  <c r="F102" i="85" s="1"/>
  <c r="E103" i="85"/>
  <c r="E102" i="85" s="1"/>
  <c r="D103" i="85"/>
  <c r="D102" i="85" s="1"/>
  <c r="C103" i="85"/>
  <c r="C102" i="85" s="1"/>
  <c r="B103" i="85"/>
  <c r="B102" i="85" s="1"/>
  <c r="M102" i="85"/>
  <c r="L102" i="85"/>
  <c r="I94" i="85"/>
  <c r="I93" i="85" s="1"/>
  <c r="E94" i="85"/>
  <c r="E93" i="85" s="1"/>
  <c r="L80" i="85"/>
  <c r="K80" i="85"/>
  <c r="K79" i="85" s="1"/>
  <c r="I80" i="85"/>
  <c r="I79" i="85" s="1"/>
  <c r="H80" i="85"/>
  <c r="G80" i="85"/>
  <c r="G79" i="85" s="1"/>
  <c r="F80" i="85"/>
  <c r="F79" i="85" s="1"/>
  <c r="E80" i="85"/>
  <c r="E79" i="85" s="1"/>
  <c r="D80" i="85"/>
  <c r="D79" i="85" s="1"/>
  <c r="L79" i="85"/>
  <c r="H79" i="85"/>
  <c r="C159" i="86"/>
  <c r="C160" i="86" s="1"/>
  <c r="C161" i="86" s="1"/>
  <c r="D159" i="86"/>
  <c r="D160" i="86" s="1"/>
  <c r="D161" i="86" s="1"/>
  <c r="E159" i="86"/>
  <c r="E160" i="86" s="1"/>
  <c r="E161" i="86" s="1"/>
  <c r="F159" i="86"/>
  <c r="F160" i="86" s="1"/>
  <c r="F161" i="86" s="1"/>
  <c r="G159" i="86"/>
  <c r="G160" i="86" s="1"/>
  <c r="G161" i="86" s="1"/>
  <c r="H159" i="86"/>
  <c r="H160" i="86" s="1"/>
  <c r="H161" i="86" s="1"/>
  <c r="I159" i="86"/>
  <c r="I160" i="86" s="1"/>
  <c r="I161" i="86" s="1"/>
  <c r="J159" i="86"/>
  <c r="J160" i="86" s="1"/>
  <c r="J161" i="86" s="1"/>
  <c r="K159" i="86"/>
  <c r="L159" i="86"/>
  <c r="L160" i="86" s="1"/>
  <c r="L161" i="86" s="1"/>
  <c r="M159" i="86"/>
  <c r="M160" i="86" s="1"/>
  <c r="M161" i="86" s="1"/>
  <c r="B159" i="86"/>
  <c r="B139" i="86"/>
  <c r="C139" i="86" s="1"/>
  <c r="D139" i="86" s="1"/>
  <c r="E139" i="86" s="1"/>
  <c r="F139" i="86" s="1"/>
  <c r="G139" i="86" s="1"/>
  <c r="H139" i="86" s="1"/>
  <c r="I139" i="86" s="1"/>
  <c r="J139" i="86" s="1"/>
  <c r="K139" i="86" s="1"/>
  <c r="L139" i="86" s="1"/>
  <c r="M139" i="86" s="1"/>
  <c r="C136" i="86"/>
  <c r="D136" i="86"/>
  <c r="E136" i="86"/>
  <c r="E137" i="86" s="1"/>
  <c r="E138" i="86" s="1"/>
  <c r="F136" i="86"/>
  <c r="F137" i="86" s="1"/>
  <c r="F138" i="86" s="1"/>
  <c r="G136" i="86"/>
  <c r="H136" i="86"/>
  <c r="I136" i="86"/>
  <c r="I137" i="86" s="1"/>
  <c r="I138" i="86" s="1"/>
  <c r="J136" i="86"/>
  <c r="J137" i="86" s="1"/>
  <c r="J138" i="86" s="1"/>
  <c r="K136" i="86"/>
  <c r="L136" i="86"/>
  <c r="M136" i="86"/>
  <c r="M137" i="86" s="1"/>
  <c r="M138" i="86" s="1"/>
  <c r="B116" i="86"/>
  <c r="C116" i="86" s="1"/>
  <c r="D116" i="86" s="1"/>
  <c r="E116" i="86" s="1"/>
  <c r="F116" i="86" s="1"/>
  <c r="G116" i="86" s="1"/>
  <c r="H116" i="86" s="1"/>
  <c r="I116" i="86" s="1"/>
  <c r="J116" i="86" s="1"/>
  <c r="K116" i="86" s="1"/>
  <c r="L116" i="86" s="1"/>
  <c r="M116" i="86" s="1"/>
  <c r="B93" i="86"/>
  <c r="C93" i="86" s="1"/>
  <c r="D93" i="86" s="1"/>
  <c r="E93" i="86" s="1"/>
  <c r="F93" i="86" s="1"/>
  <c r="G93" i="86" s="1"/>
  <c r="H93" i="86" s="1"/>
  <c r="I93" i="86" s="1"/>
  <c r="J93" i="86" s="1"/>
  <c r="K93" i="86" s="1"/>
  <c r="L93" i="86" s="1"/>
  <c r="M93" i="86" s="1"/>
  <c r="B70" i="86"/>
  <c r="C70" i="86" s="1"/>
  <c r="B47" i="86"/>
  <c r="C47" i="86" s="1"/>
  <c r="J140" i="86" l="1"/>
  <c r="K314" i="48" s="1"/>
  <c r="I140" i="86"/>
  <c r="J314" i="48" s="1"/>
  <c r="M140" i="86"/>
  <c r="N314" i="48" s="1"/>
  <c r="N159" i="86"/>
  <c r="O20" i="94"/>
  <c r="O30" i="94"/>
  <c r="F140" i="86"/>
  <c r="G314" i="48" s="1"/>
  <c r="B160" i="86"/>
  <c r="B161" i="86" s="1"/>
  <c r="B163" i="86" s="1"/>
  <c r="E140" i="86"/>
  <c r="F314" i="48" s="1"/>
  <c r="K160" i="86"/>
  <c r="K161" i="86" s="1"/>
  <c r="N161" i="86" s="1"/>
  <c r="F94" i="85"/>
  <c r="F93" i="85" s="1"/>
  <c r="J94" i="82"/>
  <c r="K303" i="48" s="1"/>
  <c r="J92" i="82"/>
  <c r="J91" i="82" s="1"/>
  <c r="N29" i="93"/>
  <c r="C97" i="82"/>
  <c r="C94" i="82"/>
  <c r="D303" i="48" s="1"/>
  <c r="C92" i="82"/>
  <c r="C91" i="82" s="1"/>
  <c r="O26" i="94"/>
  <c r="O27" i="94"/>
  <c r="N22" i="91"/>
  <c r="K94" i="85"/>
  <c r="K93" i="85" s="1"/>
  <c r="O29" i="93"/>
  <c r="O22" i="91"/>
  <c r="O28" i="91"/>
  <c r="O28" i="90"/>
  <c r="J97" i="82"/>
  <c r="J12" i="92"/>
  <c r="C12" i="92"/>
  <c r="O11" i="91"/>
  <c r="N28" i="93"/>
  <c r="O28" i="92"/>
  <c r="N20" i="94"/>
  <c r="N26" i="94"/>
  <c r="N30" i="94"/>
  <c r="N27" i="94"/>
  <c r="N12" i="93"/>
  <c r="O12" i="93"/>
  <c r="O28" i="93"/>
  <c r="N11" i="93"/>
  <c r="N15" i="93"/>
  <c r="N28" i="92"/>
  <c r="N32" i="92"/>
  <c r="N11" i="92"/>
  <c r="N15" i="92"/>
  <c r="N28" i="91"/>
  <c r="N32" i="91"/>
  <c r="N11" i="91"/>
  <c r="N28" i="90"/>
  <c r="N32" i="90"/>
  <c r="D93" i="85"/>
  <c r="H93" i="85"/>
  <c r="L93" i="85"/>
  <c r="L137" i="86"/>
  <c r="L138" i="86" s="1"/>
  <c r="L140" i="86" s="1"/>
  <c r="M314" i="48" s="1"/>
  <c r="H137" i="86"/>
  <c r="H138" i="86" s="1"/>
  <c r="H140" i="86" s="1"/>
  <c r="I314" i="48" s="1"/>
  <c r="D137" i="86"/>
  <c r="K137" i="86"/>
  <c r="K138" i="86" s="1"/>
  <c r="K140" i="86" s="1"/>
  <c r="L314" i="48" s="1"/>
  <c r="G137" i="86"/>
  <c r="G138" i="86" s="1"/>
  <c r="G140" i="86" s="1"/>
  <c r="H314" i="48" s="1"/>
  <c r="C137" i="86"/>
  <c r="C138" i="86" s="1"/>
  <c r="D70" i="86"/>
  <c r="D47" i="86"/>
  <c r="C160" i="87"/>
  <c r="D160" i="87"/>
  <c r="E160" i="87"/>
  <c r="F160" i="87"/>
  <c r="G160" i="87"/>
  <c r="H160" i="87"/>
  <c r="I160" i="87"/>
  <c r="J160" i="87"/>
  <c r="K160" i="87"/>
  <c r="L160" i="87"/>
  <c r="M160" i="87"/>
  <c r="B163" i="87"/>
  <c r="C163" i="87" s="1"/>
  <c r="D163" i="87" s="1"/>
  <c r="E163" i="87" s="1"/>
  <c r="F163" i="87" s="1"/>
  <c r="G163" i="87" s="1"/>
  <c r="H163" i="87" s="1"/>
  <c r="I163" i="87" s="1"/>
  <c r="J163" i="87" s="1"/>
  <c r="K163" i="87" s="1"/>
  <c r="L163" i="87" s="1"/>
  <c r="M163" i="87" s="1"/>
  <c r="B140" i="87"/>
  <c r="C140" i="87" s="1"/>
  <c r="D140" i="87" s="1"/>
  <c r="E140" i="87" s="1"/>
  <c r="F140" i="87" s="1"/>
  <c r="G140" i="87" s="1"/>
  <c r="H140" i="87" s="1"/>
  <c r="I140" i="87" s="1"/>
  <c r="J140" i="87" s="1"/>
  <c r="K140" i="87" s="1"/>
  <c r="L140" i="87" s="1"/>
  <c r="M140" i="87" s="1"/>
  <c r="B117" i="87"/>
  <c r="C117" i="87" s="1"/>
  <c r="D117" i="87" s="1"/>
  <c r="E117" i="87" s="1"/>
  <c r="F117" i="87" s="1"/>
  <c r="G117" i="87" s="1"/>
  <c r="H117" i="87" s="1"/>
  <c r="I117" i="87" s="1"/>
  <c r="J117" i="87" s="1"/>
  <c r="K117" i="87" s="1"/>
  <c r="L117" i="87" s="1"/>
  <c r="M117" i="87" s="1"/>
  <c r="B94" i="87"/>
  <c r="C94" i="87" s="1"/>
  <c r="D94" i="87" s="1"/>
  <c r="E94" i="87" s="1"/>
  <c r="F94" i="87" s="1"/>
  <c r="G94" i="87" s="1"/>
  <c r="H94" i="87" s="1"/>
  <c r="I94" i="87" s="1"/>
  <c r="J94" i="87" s="1"/>
  <c r="K94" i="87" s="1"/>
  <c r="L94" i="87" s="1"/>
  <c r="M94" i="87" s="1"/>
  <c r="B71" i="87"/>
  <c r="C71" i="87" s="1"/>
  <c r="D71" i="87" s="1"/>
  <c r="E71" i="87" s="1"/>
  <c r="F71" i="87" s="1"/>
  <c r="G71" i="87" s="1"/>
  <c r="H71" i="87" s="1"/>
  <c r="I71" i="87" s="1"/>
  <c r="J71" i="87" s="1"/>
  <c r="K71" i="87" s="1"/>
  <c r="L71" i="87" s="1"/>
  <c r="M71" i="87" s="1"/>
  <c r="B48" i="87"/>
  <c r="C48" i="87" s="1"/>
  <c r="D48" i="87" s="1"/>
  <c r="E48" i="87" s="1"/>
  <c r="F48" i="87" s="1"/>
  <c r="G48" i="87" s="1"/>
  <c r="H48" i="87" s="1"/>
  <c r="I48" i="87" s="1"/>
  <c r="J48" i="87" s="1"/>
  <c r="K48" i="87" s="1"/>
  <c r="L48" i="87" s="1"/>
  <c r="M48" i="87" s="1"/>
  <c r="A162" i="87"/>
  <c r="A139" i="87"/>
  <c r="A116" i="87"/>
  <c r="A93" i="87"/>
  <c r="A70" i="87"/>
  <c r="A47" i="87"/>
  <c r="B142" i="85"/>
  <c r="C142" i="85" s="1"/>
  <c r="D142" i="85" s="1"/>
  <c r="E142" i="85" s="1"/>
  <c r="F142" i="85" s="1"/>
  <c r="G142" i="85" s="1"/>
  <c r="H142" i="85" s="1"/>
  <c r="I142" i="85" s="1"/>
  <c r="J142" i="85" s="1"/>
  <c r="K142" i="85" s="1"/>
  <c r="L142" i="85" s="1"/>
  <c r="M142" i="85" s="1"/>
  <c r="A141" i="85"/>
  <c r="C115" i="85"/>
  <c r="D115" i="85"/>
  <c r="E115" i="85"/>
  <c r="F115" i="85"/>
  <c r="G115" i="85"/>
  <c r="H115" i="85"/>
  <c r="I115" i="85"/>
  <c r="J115" i="85"/>
  <c r="K115" i="85"/>
  <c r="L115" i="85"/>
  <c r="M115" i="85"/>
  <c r="B115" i="85"/>
  <c r="B118" i="85"/>
  <c r="C118" i="85" s="1"/>
  <c r="D118" i="85" s="1"/>
  <c r="E118" i="85" s="1"/>
  <c r="F118" i="85" s="1"/>
  <c r="G118" i="85" s="1"/>
  <c r="H118" i="85" s="1"/>
  <c r="I118" i="85" s="1"/>
  <c r="J118" i="85" s="1"/>
  <c r="K118" i="85" s="1"/>
  <c r="L118" i="85" s="1"/>
  <c r="M118" i="85" s="1"/>
  <c r="B111" i="85"/>
  <c r="B95" i="85"/>
  <c r="B72" i="85"/>
  <c r="B88" i="85"/>
  <c r="B65" i="85"/>
  <c r="B42" i="85"/>
  <c r="C72" i="85"/>
  <c r="D72" i="85" s="1"/>
  <c r="E72" i="85" s="1"/>
  <c r="F72" i="85" s="1"/>
  <c r="G72" i="85" s="1"/>
  <c r="H72" i="85" s="1"/>
  <c r="I72" i="85" s="1"/>
  <c r="J72" i="85" s="1"/>
  <c r="K72" i="85" s="1"/>
  <c r="L72" i="85" s="1"/>
  <c r="M72" i="85" s="1"/>
  <c r="B49" i="85"/>
  <c r="C49" i="85" s="1"/>
  <c r="D49" i="85" s="1"/>
  <c r="E49" i="85" s="1"/>
  <c r="F49" i="85" s="1"/>
  <c r="G49" i="85" s="1"/>
  <c r="H49" i="85" s="1"/>
  <c r="I49" i="85" s="1"/>
  <c r="J49" i="85" s="1"/>
  <c r="K49" i="85" s="1"/>
  <c r="L49" i="85" s="1"/>
  <c r="M49" i="85" s="1"/>
  <c r="N160" i="86" l="1"/>
  <c r="C95" i="85"/>
  <c r="D95" i="85"/>
  <c r="I161" i="87"/>
  <c r="I162" i="87" s="1"/>
  <c r="I164" i="87" s="1"/>
  <c r="J358" i="48" s="1"/>
  <c r="L161" i="87"/>
  <c r="L162" i="87" s="1"/>
  <c r="L164" i="87" s="1"/>
  <c r="M358" i="48" s="1"/>
  <c r="H161" i="87"/>
  <c r="H162" i="87" s="1"/>
  <c r="H164" i="87" s="1"/>
  <c r="I358" i="48" s="1"/>
  <c r="D161" i="87"/>
  <c r="D162" i="87" s="1"/>
  <c r="D164" i="87" s="1"/>
  <c r="E358" i="48" s="1"/>
  <c r="C99" i="82"/>
  <c r="C98" i="82" s="1"/>
  <c r="C101" i="82"/>
  <c r="D304" i="48" s="1"/>
  <c r="J101" i="82"/>
  <c r="K304" i="48" s="1"/>
  <c r="J99" i="82"/>
  <c r="J98" i="82" s="1"/>
  <c r="K161" i="87"/>
  <c r="K162" i="87" s="1"/>
  <c r="K164" i="87" s="1"/>
  <c r="L358" i="48" s="1"/>
  <c r="G161" i="87"/>
  <c r="G162" i="87" s="1"/>
  <c r="G164" i="87" s="1"/>
  <c r="H358" i="48" s="1"/>
  <c r="C161" i="87"/>
  <c r="C162" i="87" s="1"/>
  <c r="C164" i="87" s="1"/>
  <c r="D358" i="48" s="1"/>
  <c r="M161" i="87"/>
  <c r="M162" i="87" s="1"/>
  <c r="M164" i="87" s="1"/>
  <c r="N358" i="48" s="1"/>
  <c r="E161" i="87"/>
  <c r="E162" i="87" s="1"/>
  <c r="E164" i="87" s="1"/>
  <c r="J161" i="87"/>
  <c r="J162" i="87" s="1"/>
  <c r="J164" i="87" s="1"/>
  <c r="K358" i="48" s="1"/>
  <c r="F161" i="87"/>
  <c r="F162" i="87" s="1"/>
  <c r="F164" i="87" s="1"/>
  <c r="G358" i="48" s="1"/>
  <c r="N163" i="86"/>
  <c r="C361" i="48"/>
  <c r="O361" i="48" s="1"/>
  <c r="H119" i="85"/>
  <c r="I257" i="48" s="1"/>
  <c r="H117" i="85"/>
  <c r="H116" i="85" s="1"/>
  <c r="K119" i="85"/>
  <c r="L257" i="48" s="1"/>
  <c r="K117" i="85"/>
  <c r="K116" i="85" s="1"/>
  <c r="J119" i="85"/>
  <c r="K257" i="48" s="1"/>
  <c r="J117" i="85"/>
  <c r="J116" i="85" s="1"/>
  <c r="F119" i="85"/>
  <c r="G257" i="48" s="1"/>
  <c r="F117" i="85"/>
  <c r="F116" i="85" s="1"/>
  <c r="L117" i="85"/>
  <c r="L116" i="85" s="1"/>
  <c r="L119" i="85"/>
  <c r="M257" i="48" s="1"/>
  <c r="D117" i="85"/>
  <c r="D116" i="85" s="1"/>
  <c r="D119" i="85"/>
  <c r="E257" i="48" s="1"/>
  <c r="G119" i="85"/>
  <c r="H257" i="48" s="1"/>
  <c r="G117" i="85"/>
  <c r="G116" i="85" s="1"/>
  <c r="C119" i="85"/>
  <c r="D257" i="48" s="1"/>
  <c r="C117" i="85"/>
  <c r="C116" i="85" s="1"/>
  <c r="M119" i="85"/>
  <c r="N257" i="48" s="1"/>
  <c r="M117" i="85"/>
  <c r="M116" i="85" s="1"/>
  <c r="I119" i="85"/>
  <c r="J257" i="48" s="1"/>
  <c r="I117" i="85"/>
  <c r="I116" i="85" s="1"/>
  <c r="E119" i="85"/>
  <c r="F257" i="48" s="1"/>
  <c r="E117" i="85"/>
  <c r="E116" i="85" s="1"/>
  <c r="B119" i="85"/>
  <c r="C257" i="48" s="1"/>
  <c r="B117" i="85"/>
  <c r="B116" i="85" s="1"/>
  <c r="N115" i="85"/>
  <c r="C140" i="86"/>
  <c r="D314" i="48" s="1"/>
  <c r="D138" i="86"/>
  <c r="D140" i="86" s="1"/>
  <c r="E314" i="48" s="1"/>
  <c r="E70" i="86"/>
  <c r="E47" i="86"/>
  <c r="F358" i="48" l="1"/>
  <c r="E95" i="85"/>
  <c r="D96" i="85"/>
  <c r="E205" i="48" s="1"/>
  <c r="O257" i="48"/>
  <c r="F70" i="86"/>
  <c r="F47" i="86"/>
  <c r="F95" i="85" l="1"/>
  <c r="E96" i="85"/>
  <c r="F205" i="48" s="1"/>
  <c r="G70" i="86"/>
  <c r="G47" i="86"/>
  <c r="G95" i="85" l="1"/>
  <c r="F96" i="85"/>
  <c r="G205" i="48" s="1"/>
  <c r="H70" i="86"/>
  <c r="H47" i="86"/>
  <c r="H95" i="85" l="1"/>
  <c r="G96" i="85"/>
  <c r="I70" i="86"/>
  <c r="I47" i="86"/>
  <c r="H205" i="48" l="1"/>
  <c r="I95" i="85"/>
  <c r="H96" i="85"/>
  <c r="I205" i="48" s="1"/>
  <c r="J70" i="86"/>
  <c r="J47" i="86"/>
  <c r="J95" i="85" l="1"/>
  <c r="I96" i="85"/>
  <c r="J205" i="48" s="1"/>
  <c r="K70" i="86"/>
  <c r="K47" i="86"/>
  <c r="K95" i="85" l="1"/>
  <c r="L70" i="86"/>
  <c r="L47" i="86"/>
  <c r="L95" i="85" l="1"/>
  <c r="K96" i="85"/>
  <c r="L205" i="48" s="1"/>
  <c r="M70" i="86"/>
  <c r="M47" i="86"/>
  <c r="M95" i="85" l="1"/>
  <c r="L96" i="85"/>
  <c r="M205" i="48" s="1"/>
  <c r="A117" i="85" l="1"/>
  <c r="A94" i="85"/>
  <c r="A71" i="85"/>
  <c r="A48" i="85"/>
  <c r="C32" i="89" l="1"/>
  <c r="D32" i="89"/>
  <c r="E32" i="89"/>
  <c r="F32" i="89"/>
  <c r="G32" i="89"/>
  <c r="H32" i="89"/>
  <c r="I32" i="89"/>
  <c r="J32" i="89"/>
  <c r="K32" i="89"/>
  <c r="L32" i="89"/>
  <c r="M32" i="89"/>
  <c r="B32" i="89"/>
  <c r="G31" i="89"/>
  <c r="B31" i="89"/>
  <c r="L30" i="89"/>
  <c r="B29" i="89"/>
  <c r="C28" i="89"/>
  <c r="D28" i="89"/>
  <c r="E28" i="89"/>
  <c r="F28" i="89"/>
  <c r="G28" i="89"/>
  <c r="H28" i="89"/>
  <c r="I28" i="89"/>
  <c r="J28" i="89"/>
  <c r="K28" i="89"/>
  <c r="L28" i="89"/>
  <c r="M28" i="89"/>
  <c r="B28" i="89"/>
  <c r="N28" i="89" l="1"/>
  <c r="N32" i="89"/>
  <c r="O32" i="89"/>
  <c r="F13" i="71" l="1"/>
  <c r="G13" i="71"/>
  <c r="H13" i="71"/>
  <c r="I13" i="71"/>
  <c r="J13" i="71"/>
  <c r="K13" i="71"/>
  <c r="L13" i="71"/>
  <c r="M13" i="71"/>
  <c r="N13" i="71"/>
  <c r="O13" i="71"/>
  <c r="P13" i="71"/>
  <c r="E13" i="71"/>
  <c r="F9" i="68"/>
  <c r="F10" i="68"/>
  <c r="F11" i="68"/>
  <c r="F12" i="68"/>
  <c r="F13" i="68"/>
  <c r="F14" i="68"/>
  <c r="F15" i="68"/>
  <c r="F16" i="68"/>
  <c r="F17" i="68"/>
  <c r="F18" i="68"/>
  <c r="F19" i="68"/>
  <c r="F8" i="68"/>
  <c r="E14" i="72" l="1"/>
  <c r="P13" i="72"/>
  <c r="O13" i="72"/>
  <c r="N13" i="72"/>
  <c r="M13" i="72"/>
  <c r="L13" i="72"/>
  <c r="K13" i="72"/>
  <c r="J13" i="72"/>
  <c r="I13" i="72"/>
  <c r="H13" i="72"/>
  <c r="G13" i="72"/>
  <c r="F13" i="72"/>
  <c r="E13" i="72"/>
  <c r="P12" i="72"/>
  <c r="O12" i="72"/>
  <c r="N12" i="72"/>
  <c r="M12" i="72"/>
  <c r="L12" i="72"/>
  <c r="K12" i="72"/>
  <c r="J12" i="72"/>
  <c r="I12" i="72"/>
  <c r="H12" i="72"/>
  <c r="G12" i="72"/>
  <c r="F12" i="72"/>
  <c r="E12" i="72"/>
  <c r="P11" i="72"/>
  <c r="O11" i="72"/>
  <c r="N11" i="72"/>
  <c r="M11" i="72"/>
  <c r="L11" i="72"/>
  <c r="K11" i="72"/>
  <c r="J11" i="72"/>
  <c r="I11" i="72"/>
  <c r="H11" i="72"/>
  <c r="G11" i="72"/>
  <c r="F11" i="72"/>
  <c r="E11" i="72"/>
  <c r="P10" i="72"/>
  <c r="O10" i="72"/>
  <c r="N10" i="72"/>
  <c r="M10" i="72"/>
  <c r="L10" i="72"/>
  <c r="K10" i="72"/>
  <c r="J10" i="72"/>
  <c r="I10" i="72"/>
  <c r="H10" i="72"/>
  <c r="G10" i="72"/>
  <c r="F10" i="72"/>
  <c r="E10" i="72"/>
  <c r="P17" i="71"/>
  <c r="O17" i="71"/>
  <c r="N17" i="71"/>
  <c r="M17" i="71"/>
  <c r="L17" i="71"/>
  <c r="K17" i="71"/>
  <c r="J17" i="71"/>
  <c r="I17" i="71"/>
  <c r="H17" i="71"/>
  <c r="G17" i="71"/>
  <c r="E17" i="71"/>
  <c r="P16" i="71"/>
  <c r="O16" i="71"/>
  <c r="N16" i="71"/>
  <c r="M16" i="71"/>
  <c r="L16" i="71"/>
  <c r="K16" i="71"/>
  <c r="J16" i="71"/>
  <c r="I16" i="71"/>
  <c r="H16" i="71"/>
  <c r="G16" i="71"/>
  <c r="E16" i="71"/>
  <c r="E15" i="71"/>
  <c r="P14" i="71"/>
  <c r="O14" i="71"/>
  <c r="N14" i="71"/>
  <c r="M14" i="71"/>
  <c r="L14" i="71"/>
  <c r="K14" i="71"/>
  <c r="J14" i="71"/>
  <c r="I14" i="71"/>
  <c r="H14" i="71"/>
  <c r="G14" i="71"/>
  <c r="F14" i="71"/>
  <c r="E14" i="71"/>
  <c r="P12" i="71"/>
  <c r="O12" i="71"/>
  <c r="N12" i="71"/>
  <c r="M12" i="71"/>
  <c r="L12" i="71"/>
  <c r="K12" i="71"/>
  <c r="J12" i="71"/>
  <c r="I12" i="71"/>
  <c r="H12" i="71"/>
  <c r="G12" i="71"/>
  <c r="F12" i="71"/>
  <c r="E12" i="71"/>
  <c r="P11" i="71"/>
  <c r="O11" i="71"/>
  <c r="N11" i="71"/>
  <c r="M11" i="71"/>
  <c r="L11" i="71"/>
  <c r="K11" i="71"/>
  <c r="J11" i="71"/>
  <c r="I11" i="71"/>
  <c r="H11" i="71"/>
  <c r="G11" i="71"/>
  <c r="F11" i="71"/>
  <c r="E11" i="71"/>
  <c r="J19" i="68"/>
  <c r="I19" i="68"/>
  <c r="H19" i="68"/>
  <c r="G19" i="68"/>
  <c r="E19" i="68"/>
  <c r="D19" i="68"/>
  <c r="J18" i="68"/>
  <c r="I18" i="68"/>
  <c r="H18" i="68"/>
  <c r="G18" i="68"/>
  <c r="E18" i="68"/>
  <c r="D18" i="68"/>
  <c r="J17" i="68"/>
  <c r="I17" i="68"/>
  <c r="H17" i="68"/>
  <c r="G17" i="68"/>
  <c r="E17" i="68"/>
  <c r="D17" i="68"/>
  <c r="J16" i="68"/>
  <c r="I16" i="68"/>
  <c r="H16" i="68"/>
  <c r="G16" i="68"/>
  <c r="E16" i="68"/>
  <c r="D16" i="68"/>
  <c r="J15" i="68"/>
  <c r="I15" i="68"/>
  <c r="H15" i="68"/>
  <c r="G15" i="68"/>
  <c r="E15" i="68"/>
  <c r="D15" i="68"/>
  <c r="J14" i="68"/>
  <c r="I14" i="68"/>
  <c r="H14" i="68"/>
  <c r="G14" i="68"/>
  <c r="E14" i="68"/>
  <c r="D14" i="68"/>
  <c r="J13" i="68"/>
  <c r="I13" i="68"/>
  <c r="H13" i="68"/>
  <c r="G13" i="68"/>
  <c r="E13" i="68"/>
  <c r="D13" i="68"/>
  <c r="J12" i="68"/>
  <c r="I12" i="68"/>
  <c r="H12" i="68"/>
  <c r="G12" i="68"/>
  <c r="E12" i="68"/>
  <c r="D12" i="68"/>
  <c r="J11" i="68"/>
  <c r="I11" i="68"/>
  <c r="H11" i="68"/>
  <c r="G11" i="68"/>
  <c r="E11" i="68"/>
  <c r="D11" i="68"/>
  <c r="J10" i="68"/>
  <c r="I10" i="68"/>
  <c r="H10" i="68"/>
  <c r="G10" i="68"/>
  <c r="E10" i="68"/>
  <c r="D10" i="68"/>
  <c r="J9" i="68"/>
  <c r="I9" i="68"/>
  <c r="H9" i="68"/>
  <c r="G9" i="68"/>
  <c r="E9" i="68"/>
  <c r="D9" i="68"/>
  <c r="J8" i="68"/>
  <c r="I8" i="68"/>
  <c r="H8" i="68"/>
  <c r="G8" i="68"/>
  <c r="E8" i="68"/>
  <c r="D8" i="68"/>
  <c r="M14" i="81"/>
  <c r="F14" i="81"/>
  <c r="M13" i="81"/>
  <c r="F13" i="81"/>
  <c r="E13" i="81"/>
  <c r="P12" i="81"/>
  <c r="O12" i="81"/>
  <c r="N12" i="81"/>
  <c r="M12" i="81"/>
  <c r="L12" i="81"/>
  <c r="K12" i="81"/>
  <c r="J12" i="81"/>
  <c r="I12" i="81"/>
  <c r="H12" i="81"/>
  <c r="G12" i="81"/>
  <c r="F12" i="81"/>
  <c r="E12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P14" i="78"/>
  <c r="O14" i="78"/>
  <c r="N14" i="78"/>
  <c r="M14" i="78"/>
  <c r="L14" i="78"/>
  <c r="K14" i="78"/>
  <c r="J14" i="78"/>
  <c r="I14" i="78"/>
  <c r="H14" i="78"/>
  <c r="G14" i="78"/>
  <c r="F14" i="78"/>
  <c r="E14" i="78"/>
  <c r="P13" i="78"/>
  <c r="O13" i="78"/>
  <c r="N13" i="78"/>
  <c r="M13" i="78"/>
  <c r="L13" i="78"/>
  <c r="K13" i="78"/>
  <c r="J13" i="78"/>
  <c r="I13" i="78"/>
  <c r="H13" i="78"/>
  <c r="G13" i="78"/>
  <c r="F13" i="78"/>
  <c r="E13" i="78"/>
  <c r="P12" i="78"/>
  <c r="O12" i="78"/>
  <c r="N12" i="78"/>
  <c r="M12" i="78"/>
  <c r="L12" i="78"/>
  <c r="K12" i="78"/>
  <c r="J12" i="78"/>
  <c r="I12" i="78"/>
  <c r="H12" i="78"/>
  <c r="G12" i="78"/>
  <c r="F12" i="78"/>
  <c r="E12" i="78"/>
  <c r="P11" i="78"/>
  <c r="O11" i="78"/>
  <c r="N11" i="78"/>
  <c r="M11" i="78"/>
  <c r="L11" i="78"/>
  <c r="K11" i="78"/>
  <c r="J11" i="78"/>
  <c r="I11" i="78"/>
  <c r="H11" i="78"/>
  <c r="G11" i="78"/>
  <c r="F11" i="78"/>
  <c r="E11" i="78"/>
  <c r="P10" i="78"/>
  <c r="O10" i="78"/>
  <c r="N10" i="78"/>
  <c r="M10" i="78"/>
  <c r="L10" i="78"/>
  <c r="K10" i="78"/>
  <c r="J10" i="78"/>
  <c r="I10" i="78"/>
  <c r="H10" i="78"/>
  <c r="G10" i="78"/>
  <c r="F10" i="78"/>
  <c r="E10" i="78"/>
  <c r="D149" i="85" l="1"/>
  <c r="C149" i="85"/>
  <c r="B149" i="85"/>
  <c r="M125" i="85"/>
  <c r="L125" i="85"/>
  <c r="K125" i="85"/>
  <c r="J125" i="85"/>
  <c r="I125" i="85"/>
  <c r="H125" i="85"/>
  <c r="G125" i="85"/>
  <c r="F125" i="85"/>
  <c r="E125" i="85"/>
  <c r="D125" i="85"/>
  <c r="C125" i="85"/>
  <c r="B125" i="85"/>
  <c r="M78" i="85"/>
  <c r="J78" i="85"/>
  <c r="C78" i="85"/>
  <c r="B78" i="85"/>
  <c r="M55" i="85"/>
  <c r="L55" i="85"/>
  <c r="K55" i="85"/>
  <c r="J55" i="85"/>
  <c r="I55" i="85"/>
  <c r="H55" i="85"/>
  <c r="G55" i="85"/>
  <c r="F55" i="85"/>
  <c r="E55" i="85"/>
  <c r="D55" i="85"/>
  <c r="C55" i="85"/>
  <c r="B55" i="85"/>
  <c r="M32" i="85"/>
  <c r="L32" i="85"/>
  <c r="K32" i="85"/>
  <c r="J32" i="85"/>
  <c r="I32" i="85"/>
  <c r="H32" i="85"/>
  <c r="G32" i="85"/>
  <c r="F32" i="85"/>
  <c r="E32" i="85"/>
  <c r="D32" i="85"/>
  <c r="C32" i="85"/>
  <c r="B32" i="85"/>
  <c r="M15" i="85"/>
  <c r="L15" i="85"/>
  <c r="K15" i="85"/>
  <c r="J15" i="85"/>
  <c r="I15" i="85"/>
  <c r="H15" i="85"/>
  <c r="G15" i="85"/>
  <c r="F15" i="85"/>
  <c r="E15" i="85"/>
  <c r="D15" i="85"/>
  <c r="C15" i="85"/>
  <c r="E34" i="85" l="1"/>
  <c r="E33" i="85" s="1"/>
  <c r="E21" i="94"/>
  <c r="E46" i="85"/>
  <c r="I34" i="85"/>
  <c r="I33" i="85" s="1"/>
  <c r="I21" i="94"/>
  <c r="I46" i="85"/>
  <c r="M34" i="85"/>
  <c r="M33" i="85" s="1"/>
  <c r="M21" i="94"/>
  <c r="M46" i="85"/>
  <c r="E57" i="85"/>
  <c r="E56" i="85" s="1"/>
  <c r="E22" i="89"/>
  <c r="E69" i="85"/>
  <c r="I57" i="85"/>
  <c r="I56" i="85"/>
  <c r="I22" i="89"/>
  <c r="I69" i="85"/>
  <c r="M57" i="85"/>
  <c r="M56" i="85"/>
  <c r="M22" i="89"/>
  <c r="M69" i="85"/>
  <c r="M92" i="85"/>
  <c r="M22" i="90"/>
  <c r="M80" i="85"/>
  <c r="M79" i="85" s="1"/>
  <c r="E22" i="92"/>
  <c r="E127" i="85"/>
  <c r="E126" i="85"/>
  <c r="E139" i="85"/>
  <c r="I22" i="92"/>
  <c r="I127" i="85"/>
  <c r="I126" i="85"/>
  <c r="I139" i="85"/>
  <c r="M22" i="92"/>
  <c r="M127" i="85"/>
  <c r="M126" i="85"/>
  <c r="M139" i="85"/>
  <c r="B21" i="94"/>
  <c r="B34" i="85"/>
  <c r="B33" i="85" s="1"/>
  <c r="B46" i="85"/>
  <c r="F21" i="94"/>
  <c r="F34" i="85"/>
  <c r="F33" i="85" s="1"/>
  <c r="F46" i="85"/>
  <c r="J21" i="94"/>
  <c r="J34" i="85"/>
  <c r="J33" i="85" s="1"/>
  <c r="J46" i="85"/>
  <c r="B22" i="89"/>
  <c r="B57" i="85"/>
  <c r="B56" i="85" s="1"/>
  <c r="B69" i="85"/>
  <c r="F22" i="89"/>
  <c r="F57" i="85"/>
  <c r="F56" i="85" s="1"/>
  <c r="F69" i="85"/>
  <c r="J22" i="89"/>
  <c r="J57" i="85"/>
  <c r="J56" i="85"/>
  <c r="J69" i="85"/>
  <c r="B22" i="90"/>
  <c r="B92" i="85"/>
  <c r="B80" i="85"/>
  <c r="B79" i="85" s="1"/>
  <c r="B127" i="85"/>
  <c r="B126" i="85" s="1"/>
  <c r="B22" i="92"/>
  <c r="B139" i="85"/>
  <c r="F127" i="85"/>
  <c r="F126" i="85" s="1"/>
  <c r="F22" i="92"/>
  <c r="F139" i="85"/>
  <c r="J127" i="85"/>
  <c r="J126" i="85" s="1"/>
  <c r="J22" i="92"/>
  <c r="J139" i="85"/>
  <c r="B151" i="85"/>
  <c r="B150" i="85" s="1"/>
  <c r="C21" i="94"/>
  <c r="C34" i="85"/>
  <c r="C33" i="85" s="1"/>
  <c r="C46" i="85"/>
  <c r="G21" i="94"/>
  <c r="G34" i="85"/>
  <c r="G33" i="85" s="1"/>
  <c r="G46" i="85"/>
  <c r="K21" i="94"/>
  <c r="K34" i="85"/>
  <c r="K33" i="85" s="1"/>
  <c r="K46" i="85"/>
  <c r="C57" i="85"/>
  <c r="C56" i="85" s="1"/>
  <c r="C22" i="89"/>
  <c r="C69" i="85"/>
  <c r="G57" i="85"/>
  <c r="G56" i="85" s="1"/>
  <c r="G22" i="89"/>
  <c r="G69" i="85"/>
  <c r="K57" i="85"/>
  <c r="K56" i="85"/>
  <c r="K22" i="89"/>
  <c r="K69" i="85"/>
  <c r="C22" i="90"/>
  <c r="C80" i="85"/>
  <c r="C79" i="85" s="1"/>
  <c r="C92" i="85"/>
  <c r="C22" i="92"/>
  <c r="C127" i="85"/>
  <c r="C126" i="85"/>
  <c r="C139" i="85"/>
  <c r="G22" i="92"/>
  <c r="G127" i="85"/>
  <c r="G126" i="85"/>
  <c r="G139" i="85"/>
  <c r="K22" i="92"/>
  <c r="K127" i="85"/>
  <c r="K126" i="85"/>
  <c r="K139" i="85"/>
  <c r="C151" i="85"/>
  <c r="C150" i="85" s="1"/>
  <c r="D21" i="94"/>
  <c r="D34" i="85"/>
  <c r="D33" i="85" s="1"/>
  <c r="D46" i="85"/>
  <c r="H21" i="94"/>
  <c r="H34" i="85"/>
  <c r="H33" i="85" s="1"/>
  <c r="H46" i="85"/>
  <c r="L21" i="94"/>
  <c r="L34" i="85"/>
  <c r="L33" i="85" s="1"/>
  <c r="L46" i="85"/>
  <c r="D22" i="89"/>
  <c r="D57" i="85"/>
  <c r="D56" i="85" s="1"/>
  <c r="D69" i="85"/>
  <c r="H22" i="89"/>
  <c r="H57" i="85"/>
  <c r="H56" i="85" s="1"/>
  <c r="H69" i="85"/>
  <c r="L22" i="89"/>
  <c r="L57" i="85"/>
  <c r="L56" i="85" s="1"/>
  <c r="L69" i="85"/>
  <c r="J22" i="90"/>
  <c r="J92" i="85"/>
  <c r="J80" i="85"/>
  <c r="J79" i="85" s="1"/>
  <c r="D127" i="85"/>
  <c r="D126" i="85"/>
  <c r="D22" i="92"/>
  <c r="D139" i="85"/>
  <c r="H127" i="85"/>
  <c r="H126" i="85"/>
  <c r="H22" i="92"/>
  <c r="H139" i="85"/>
  <c r="L127" i="85"/>
  <c r="L126" i="85"/>
  <c r="L22" i="92"/>
  <c r="L139" i="85"/>
  <c r="D151" i="85"/>
  <c r="D150" i="85"/>
  <c r="C193" i="75"/>
  <c r="C36" i="75"/>
  <c r="C66" i="75" s="1"/>
  <c r="J94" i="85" l="1"/>
  <c r="J93" i="85" s="1"/>
  <c r="J96" i="85"/>
  <c r="K205" i="48" s="1"/>
  <c r="L50" i="85"/>
  <c r="M108" i="48" s="1"/>
  <c r="L48" i="85"/>
  <c r="L47" i="85" s="1"/>
  <c r="C48" i="85"/>
  <c r="C47" i="85" s="1"/>
  <c r="C50" i="85"/>
  <c r="D108" i="48" s="1"/>
  <c r="J73" i="85"/>
  <c r="K154" i="48" s="1"/>
  <c r="J71" i="85"/>
  <c r="J70" i="85" s="1"/>
  <c r="F73" i="85"/>
  <c r="G154" i="48" s="1"/>
  <c r="F71" i="85"/>
  <c r="F70" i="85" s="1"/>
  <c r="M143" i="85"/>
  <c r="N307" i="48" s="1"/>
  <c r="M141" i="85"/>
  <c r="M140" i="85" s="1"/>
  <c r="I141" i="85"/>
  <c r="I140" i="85" s="1"/>
  <c r="I143" i="85"/>
  <c r="J307" i="48" s="1"/>
  <c r="E143" i="85"/>
  <c r="F307" i="48" s="1"/>
  <c r="E141" i="85"/>
  <c r="E140" i="85" s="1"/>
  <c r="M73" i="85"/>
  <c r="N154" i="48" s="1"/>
  <c r="M71" i="85"/>
  <c r="M70" i="85" s="1"/>
  <c r="I73" i="85"/>
  <c r="J154" i="48" s="1"/>
  <c r="I71" i="85"/>
  <c r="I70" i="85" s="1"/>
  <c r="E73" i="85"/>
  <c r="F154" i="48" s="1"/>
  <c r="E71" i="85"/>
  <c r="E70" i="85" s="1"/>
  <c r="D73" i="85"/>
  <c r="E154" i="48" s="1"/>
  <c r="D71" i="85"/>
  <c r="D70" i="85" s="1"/>
  <c r="G48" i="85"/>
  <c r="G47" i="85" s="1"/>
  <c r="G50" i="85"/>
  <c r="H108" i="48" s="1"/>
  <c r="J141" i="85"/>
  <c r="J140" i="85" s="1"/>
  <c r="J143" i="85"/>
  <c r="K307" i="48" s="1"/>
  <c r="F143" i="85"/>
  <c r="G307" i="48" s="1"/>
  <c r="F141" i="85"/>
  <c r="F140" i="85" s="1"/>
  <c r="B141" i="85"/>
  <c r="B140" i="85" s="1"/>
  <c r="B143" i="85"/>
  <c r="C307" i="48" s="1"/>
  <c r="N139" i="85"/>
  <c r="B48" i="85"/>
  <c r="B50" i="85"/>
  <c r="N46" i="85"/>
  <c r="E50" i="85"/>
  <c r="F108" i="48" s="1"/>
  <c r="E48" i="85"/>
  <c r="E47" i="85" s="1"/>
  <c r="L73" i="85"/>
  <c r="M154" i="48" s="1"/>
  <c r="L71" i="85"/>
  <c r="L70" i="85" s="1"/>
  <c r="H71" i="85"/>
  <c r="H70" i="85" s="1"/>
  <c r="H73" i="85"/>
  <c r="I154" i="48" s="1"/>
  <c r="D50" i="85"/>
  <c r="E108" i="48" s="1"/>
  <c r="D48" i="85"/>
  <c r="D47" i="85" s="1"/>
  <c r="K71" i="85"/>
  <c r="K70" i="85" s="1"/>
  <c r="K73" i="85"/>
  <c r="L154" i="48" s="1"/>
  <c r="G73" i="85"/>
  <c r="H154" i="48" s="1"/>
  <c r="G71" i="85"/>
  <c r="G70" i="85" s="1"/>
  <c r="C71" i="85"/>
  <c r="C70" i="85" s="1"/>
  <c r="C73" i="85"/>
  <c r="D154" i="48" s="1"/>
  <c r="K50" i="85"/>
  <c r="L108" i="48" s="1"/>
  <c r="K48" i="85"/>
  <c r="K47" i="85" s="1"/>
  <c r="O22" i="92"/>
  <c r="N22" i="92"/>
  <c r="N92" i="85"/>
  <c r="B94" i="85"/>
  <c r="B96" i="85"/>
  <c r="N22" i="89"/>
  <c r="F50" i="85"/>
  <c r="G108" i="48" s="1"/>
  <c r="F48" i="85"/>
  <c r="F47" i="85" s="1"/>
  <c r="I48" i="85"/>
  <c r="I47" i="85" s="1"/>
  <c r="I50" i="85"/>
  <c r="J108" i="48" s="1"/>
  <c r="L143" i="85"/>
  <c r="M307" i="48" s="1"/>
  <c r="L141" i="85"/>
  <c r="L140" i="85" s="1"/>
  <c r="H143" i="85"/>
  <c r="I307" i="48" s="1"/>
  <c r="H141" i="85"/>
  <c r="H140" i="85" s="1"/>
  <c r="D143" i="85"/>
  <c r="E307" i="48" s="1"/>
  <c r="D141" i="85"/>
  <c r="D140" i="85" s="1"/>
  <c r="H50" i="85"/>
  <c r="I108" i="48" s="1"/>
  <c r="H48" i="85"/>
  <c r="H47" i="85" s="1"/>
  <c r="K143" i="85"/>
  <c r="L307" i="48" s="1"/>
  <c r="K141" i="85"/>
  <c r="K140" i="85" s="1"/>
  <c r="G141" i="85"/>
  <c r="G140" i="85" s="1"/>
  <c r="G143" i="85"/>
  <c r="H307" i="48" s="1"/>
  <c r="C143" i="85"/>
  <c r="D307" i="48" s="1"/>
  <c r="C141" i="85"/>
  <c r="C140" i="85" s="1"/>
  <c r="C94" i="85"/>
  <c r="C93" i="85" s="1"/>
  <c r="C96" i="85"/>
  <c r="D205" i="48" s="1"/>
  <c r="N22" i="90"/>
  <c r="O22" i="90"/>
  <c r="B73" i="85"/>
  <c r="C154" i="48" s="1"/>
  <c r="B71" i="85"/>
  <c r="B70" i="85" s="1"/>
  <c r="N69" i="85"/>
  <c r="J48" i="85"/>
  <c r="J47" i="85" s="1"/>
  <c r="J50" i="85"/>
  <c r="K108" i="48" s="1"/>
  <c r="N21" i="94"/>
  <c r="O21" i="94"/>
  <c r="M94" i="85"/>
  <c r="M93" i="85" s="1"/>
  <c r="M96" i="85"/>
  <c r="N205" i="48" s="1"/>
  <c r="M48" i="85"/>
  <c r="M47" i="85" s="1"/>
  <c r="M50" i="85"/>
  <c r="N108" i="48" s="1"/>
  <c r="C65" i="75"/>
  <c r="O154" i="48" l="1"/>
  <c r="B47" i="85"/>
  <c r="N47" i="85" s="1"/>
  <c r="N48" i="85"/>
  <c r="C205" i="48"/>
  <c r="O205" i="48" s="1"/>
  <c r="N96" i="85"/>
  <c r="B93" i="85"/>
  <c r="N93" i="85" s="1"/>
  <c r="N94" i="85"/>
  <c r="O307" i="48"/>
  <c r="C108" i="48"/>
  <c r="O108" i="48" s="1"/>
  <c r="N50" i="85"/>
  <c r="B414" i="16"/>
  <c r="B359" i="16"/>
  <c r="B424" i="64"/>
  <c r="B364" i="64"/>
  <c r="C242" i="4"/>
  <c r="D242" i="4" s="1"/>
  <c r="E242" i="4" s="1"/>
  <c r="F242" i="4" s="1"/>
  <c r="G242" i="4" s="1"/>
  <c r="H242" i="4" s="1"/>
  <c r="I242" i="4" s="1"/>
  <c r="J242" i="4" s="1"/>
  <c r="K242" i="4" s="1"/>
  <c r="L242" i="4" s="1"/>
  <c r="M242" i="4" s="1"/>
  <c r="O28" i="89" l="1"/>
  <c r="E13" i="83" l="1"/>
  <c r="B20" i="90" s="1"/>
  <c r="F13" i="83"/>
  <c r="C20" i="90" s="1"/>
  <c r="G13" i="83"/>
  <c r="D20" i="90" s="1"/>
  <c r="H13" i="83"/>
  <c r="E20" i="90" s="1"/>
  <c r="I13" i="83"/>
  <c r="F20" i="90" s="1"/>
  <c r="J13" i="83"/>
  <c r="G20" i="90" s="1"/>
  <c r="K13" i="83"/>
  <c r="H20" i="90" s="1"/>
  <c r="L13" i="83"/>
  <c r="I20" i="90" s="1"/>
  <c r="M13" i="83"/>
  <c r="J20" i="90" s="1"/>
  <c r="N13" i="83"/>
  <c r="K20" i="90" s="1"/>
  <c r="O13" i="83"/>
  <c r="L20" i="90" s="1"/>
  <c r="P13" i="83"/>
  <c r="M20" i="90" s="1"/>
  <c r="E14" i="83"/>
  <c r="B20" i="91" s="1"/>
  <c r="F14" i="83"/>
  <c r="C20" i="91" s="1"/>
  <c r="G14" i="83"/>
  <c r="D20" i="91" s="1"/>
  <c r="H14" i="83"/>
  <c r="E20" i="91" s="1"/>
  <c r="I14" i="83"/>
  <c r="F20" i="91" s="1"/>
  <c r="J14" i="83"/>
  <c r="G20" i="91" s="1"/>
  <c r="K14" i="83"/>
  <c r="H20" i="91" s="1"/>
  <c r="L14" i="83"/>
  <c r="I20" i="91" s="1"/>
  <c r="M14" i="83"/>
  <c r="J20" i="91" s="1"/>
  <c r="N14" i="83"/>
  <c r="K20" i="91" s="1"/>
  <c r="O14" i="83"/>
  <c r="L20" i="91" s="1"/>
  <c r="P14" i="83"/>
  <c r="M20" i="91" s="1"/>
  <c r="E15" i="83"/>
  <c r="B20" i="92" s="1"/>
  <c r="F15" i="83"/>
  <c r="C20" i="92" s="1"/>
  <c r="G15" i="83"/>
  <c r="D20" i="92" s="1"/>
  <c r="H15" i="83"/>
  <c r="E20" i="92" s="1"/>
  <c r="I15" i="83"/>
  <c r="F20" i="92" s="1"/>
  <c r="J15" i="83"/>
  <c r="G20" i="92" s="1"/>
  <c r="K15" i="83"/>
  <c r="H20" i="92" s="1"/>
  <c r="L15" i="83"/>
  <c r="I20" i="92" s="1"/>
  <c r="M15" i="83"/>
  <c r="J20" i="92" s="1"/>
  <c r="N15" i="83"/>
  <c r="K20" i="92" s="1"/>
  <c r="O15" i="83"/>
  <c r="L20" i="92" s="1"/>
  <c r="P15" i="83"/>
  <c r="M20" i="92" s="1"/>
  <c r="E16" i="83"/>
  <c r="B20" i="93" s="1"/>
  <c r="F16" i="83"/>
  <c r="C20" i="93" s="1"/>
  <c r="G16" i="83"/>
  <c r="D20" i="93" s="1"/>
  <c r="H16" i="83"/>
  <c r="E20" i="93" s="1"/>
  <c r="I16" i="83"/>
  <c r="F20" i="93" s="1"/>
  <c r="J16" i="83"/>
  <c r="G20" i="93" s="1"/>
  <c r="K16" i="83"/>
  <c r="H20" i="93" s="1"/>
  <c r="L16" i="83"/>
  <c r="I20" i="93" s="1"/>
  <c r="M16" i="83"/>
  <c r="J20" i="93" s="1"/>
  <c r="N16" i="83"/>
  <c r="K20" i="93" s="1"/>
  <c r="O16" i="83"/>
  <c r="L20" i="93" s="1"/>
  <c r="P16" i="83"/>
  <c r="M20" i="93" s="1"/>
  <c r="F12" i="83"/>
  <c r="C20" i="89" s="1"/>
  <c r="G12" i="83"/>
  <c r="D20" i="89" s="1"/>
  <c r="H12" i="83"/>
  <c r="E20" i="89" s="1"/>
  <c r="I12" i="83"/>
  <c r="F20" i="89" s="1"/>
  <c r="J12" i="83"/>
  <c r="G20" i="89" s="1"/>
  <c r="K12" i="83"/>
  <c r="H20" i="89" s="1"/>
  <c r="L12" i="83"/>
  <c r="I20" i="89" s="1"/>
  <c r="M12" i="83"/>
  <c r="J20" i="89" s="1"/>
  <c r="N12" i="83"/>
  <c r="K20" i="89" s="1"/>
  <c r="O12" i="83"/>
  <c r="L20" i="89" s="1"/>
  <c r="P12" i="83"/>
  <c r="M20" i="89" s="1"/>
  <c r="E12" i="83"/>
  <c r="B20" i="89" s="1"/>
  <c r="O20" i="93" l="1"/>
  <c r="N20" i="93"/>
  <c r="N20" i="92"/>
  <c r="O20" i="92"/>
  <c r="O20" i="91"/>
  <c r="O20" i="90"/>
  <c r="N20" i="90"/>
  <c r="M152" i="86"/>
  <c r="M153" i="86" s="1"/>
  <c r="M154" i="86" s="1"/>
  <c r="M146" i="86"/>
  <c r="M147" i="86" s="1"/>
  <c r="I146" i="86"/>
  <c r="I147" i="86" s="1"/>
  <c r="I152" i="86"/>
  <c r="I153" i="86" s="1"/>
  <c r="I154" i="86" s="1"/>
  <c r="E152" i="86"/>
  <c r="E153" i="86" s="1"/>
  <c r="E154" i="86" s="1"/>
  <c r="E146" i="86"/>
  <c r="E147" i="86" s="1"/>
  <c r="L146" i="86"/>
  <c r="L147" i="86" s="1"/>
  <c r="L152" i="86"/>
  <c r="L153" i="86" s="1"/>
  <c r="L154" i="86" s="1"/>
  <c r="H146" i="86"/>
  <c r="H147" i="86" s="1"/>
  <c r="H152" i="86"/>
  <c r="H153" i="86" s="1"/>
  <c r="H154" i="86" s="1"/>
  <c r="D146" i="86"/>
  <c r="D147" i="86" s="1"/>
  <c r="D152" i="86"/>
  <c r="K146" i="86"/>
  <c r="K147" i="86" s="1"/>
  <c r="K152" i="86"/>
  <c r="K153" i="86" s="1"/>
  <c r="K154" i="86" s="1"/>
  <c r="G146" i="86"/>
  <c r="G147" i="86" s="1"/>
  <c r="G152" i="86"/>
  <c r="G153" i="86" s="1"/>
  <c r="G154" i="86" s="1"/>
  <c r="C146" i="86"/>
  <c r="C147" i="86" s="1"/>
  <c r="C152" i="86"/>
  <c r="C153" i="86" s="1"/>
  <c r="C154" i="86" s="1"/>
  <c r="J146" i="86"/>
  <c r="J147" i="86" s="1"/>
  <c r="J152" i="86"/>
  <c r="J153" i="86" s="1"/>
  <c r="J154" i="86" s="1"/>
  <c r="F146" i="86"/>
  <c r="F147" i="86" s="1"/>
  <c r="F152" i="86"/>
  <c r="F153" i="86" s="1"/>
  <c r="F154" i="86" s="1"/>
  <c r="B152" i="86"/>
  <c r="B146" i="86"/>
  <c r="B147" i="86" s="1"/>
  <c r="N145" i="86"/>
  <c r="N20" i="89"/>
  <c r="O20" i="89"/>
  <c r="Q16" i="83"/>
  <c r="Q15" i="83"/>
  <c r="B146" i="87"/>
  <c r="L123" i="87"/>
  <c r="M123" i="87"/>
  <c r="K123" i="87"/>
  <c r="H123" i="87"/>
  <c r="I123" i="87"/>
  <c r="J123" i="87"/>
  <c r="G123" i="87"/>
  <c r="C123" i="87"/>
  <c r="D123" i="87"/>
  <c r="E123" i="87"/>
  <c r="F123" i="87"/>
  <c r="B123" i="87"/>
  <c r="L100" i="87"/>
  <c r="M100" i="87"/>
  <c r="K100" i="87"/>
  <c r="H100" i="87"/>
  <c r="I100" i="87"/>
  <c r="J100" i="87"/>
  <c r="G100" i="87"/>
  <c r="C100" i="87"/>
  <c r="D100" i="87"/>
  <c r="E100" i="87"/>
  <c r="F100" i="87"/>
  <c r="B100" i="87"/>
  <c r="L77" i="87"/>
  <c r="M77" i="87"/>
  <c r="K77" i="87"/>
  <c r="H77" i="87"/>
  <c r="I77" i="87"/>
  <c r="J77" i="87"/>
  <c r="G77" i="87"/>
  <c r="C77" i="87"/>
  <c r="D77" i="87"/>
  <c r="E77" i="87"/>
  <c r="F77" i="87"/>
  <c r="B77" i="87"/>
  <c r="L54" i="87"/>
  <c r="M54" i="87"/>
  <c r="K54" i="87"/>
  <c r="H54" i="87"/>
  <c r="I54" i="87"/>
  <c r="J54" i="87"/>
  <c r="G54" i="87"/>
  <c r="C54" i="87"/>
  <c r="D54" i="87"/>
  <c r="E54" i="87"/>
  <c r="F54" i="87"/>
  <c r="B54" i="87"/>
  <c r="L31" i="87"/>
  <c r="M31" i="87"/>
  <c r="K31" i="87"/>
  <c r="H31" i="87"/>
  <c r="I31" i="87"/>
  <c r="J31" i="87"/>
  <c r="G31" i="87"/>
  <c r="C31" i="87"/>
  <c r="D31" i="87"/>
  <c r="E31" i="87"/>
  <c r="F31" i="87"/>
  <c r="B31" i="87"/>
  <c r="E45" i="87" l="1"/>
  <c r="E19" i="94"/>
  <c r="J45" i="87"/>
  <c r="J19" i="94"/>
  <c r="M45" i="87"/>
  <c r="M19" i="94"/>
  <c r="E91" i="87"/>
  <c r="E19" i="90"/>
  <c r="J91" i="87"/>
  <c r="J19" i="90"/>
  <c r="M91" i="87"/>
  <c r="M19" i="90"/>
  <c r="E114" i="87"/>
  <c r="E19" i="91"/>
  <c r="J114" i="87"/>
  <c r="J19" i="91"/>
  <c r="M114" i="87"/>
  <c r="M19" i="91"/>
  <c r="E137" i="87"/>
  <c r="E19" i="92"/>
  <c r="J137" i="87"/>
  <c r="J19" i="92"/>
  <c r="M137" i="87"/>
  <c r="M19" i="92"/>
  <c r="D45" i="87"/>
  <c r="D19" i="94"/>
  <c r="I45" i="87"/>
  <c r="I19" i="94"/>
  <c r="L45" i="87"/>
  <c r="L19" i="94"/>
  <c r="D91" i="87"/>
  <c r="D19" i="90"/>
  <c r="I91" i="87"/>
  <c r="I19" i="90"/>
  <c r="L91" i="87"/>
  <c r="L19" i="90"/>
  <c r="D114" i="87"/>
  <c r="D19" i="91"/>
  <c r="I114" i="87"/>
  <c r="I19" i="91"/>
  <c r="L114" i="87"/>
  <c r="L19" i="91"/>
  <c r="D137" i="87"/>
  <c r="D19" i="92"/>
  <c r="I137" i="87"/>
  <c r="I19" i="92"/>
  <c r="L137" i="87"/>
  <c r="L19" i="92"/>
  <c r="B45" i="87"/>
  <c r="B19" i="94"/>
  <c r="C45" i="87"/>
  <c r="C19" i="94"/>
  <c r="H45" i="87"/>
  <c r="H19" i="94"/>
  <c r="B91" i="87"/>
  <c r="B19" i="90"/>
  <c r="C91" i="87"/>
  <c r="C19" i="90"/>
  <c r="H91" i="87"/>
  <c r="H19" i="90"/>
  <c r="B114" i="87"/>
  <c r="B19" i="91"/>
  <c r="C114" i="87"/>
  <c r="C19" i="91"/>
  <c r="H114" i="87"/>
  <c r="H19" i="91"/>
  <c r="B137" i="87"/>
  <c r="B19" i="92"/>
  <c r="C137" i="87"/>
  <c r="C19" i="92"/>
  <c r="H137" i="87"/>
  <c r="H19" i="92"/>
  <c r="B160" i="87"/>
  <c r="B19" i="93"/>
  <c r="F45" i="87"/>
  <c r="F19" i="94"/>
  <c r="G45" i="87"/>
  <c r="G19" i="94"/>
  <c r="K45" i="87"/>
  <c r="K19" i="94"/>
  <c r="F91" i="87"/>
  <c r="F19" i="90"/>
  <c r="G91" i="87"/>
  <c r="G19" i="90"/>
  <c r="K91" i="87"/>
  <c r="K19" i="90"/>
  <c r="F114" i="87"/>
  <c r="F19" i="91"/>
  <c r="G114" i="87"/>
  <c r="G19" i="91"/>
  <c r="K114" i="87"/>
  <c r="K19" i="91"/>
  <c r="F137" i="87"/>
  <c r="F19" i="92"/>
  <c r="G137" i="87"/>
  <c r="G19" i="92"/>
  <c r="K137" i="87"/>
  <c r="K19" i="92"/>
  <c r="D46" i="87"/>
  <c r="D47" i="87" s="1"/>
  <c r="D49" i="87" s="1"/>
  <c r="E112" i="48" s="1"/>
  <c r="L46" i="87"/>
  <c r="L47" i="87" s="1"/>
  <c r="L49" i="87" s="1"/>
  <c r="M112" i="48" s="1"/>
  <c r="I92" i="87"/>
  <c r="I93" i="87" s="1"/>
  <c r="I95" i="87" s="1"/>
  <c r="J209" i="48" s="1"/>
  <c r="D115" i="87"/>
  <c r="D116" i="87" s="1"/>
  <c r="D118" i="87" s="1"/>
  <c r="E261" i="48" s="1"/>
  <c r="L115" i="87"/>
  <c r="L116" i="87" s="1"/>
  <c r="L118" i="87" s="1"/>
  <c r="M261" i="48" s="1"/>
  <c r="D138" i="87"/>
  <c r="D139" i="87" s="1"/>
  <c r="D141" i="87" s="1"/>
  <c r="E311" i="48" s="1"/>
  <c r="I138" i="87"/>
  <c r="I139" i="87" s="1"/>
  <c r="I141" i="87" s="1"/>
  <c r="J311" i="48" s="1"/>
  <c r="L138" i="87"/>
  <c r="L139" i="87" s="1"/>
  <c r="L141" i="87" s="1"/>
  <c r="M311" i="48" s="1"/>
  <c r="H46" i="87"/>
  <c r="H47" i="87" s="1"/>
  <c r="H49" i="87" s="1"/>
  <c r="I112" i="48" s="1"/>
  <c r="C92" i="87"/>
  <c r="C93" i="87" s="1"/>
  <c r="C95" i="87" s="1"/>
  <c r="D209" i="48" s="1"/>
  <c r="H92" i="87"/>
  <c r="H93" i="87" s="1"/>
  <c r="H95" i="87" s="1"/>
  <c r="I209" i="48" s="1"/>
  <c r="F46" i="87"/>
  <c r="F47" i="87" s="1"/>
  <c r="F49" i="87" s="1"/>
  <c r="G112" i="48" s="1"/>
  <c r="G46" i="87"/>
  <c r="G47" i="87" s="1"/>
  <c r="G49" i="87" s="1"/>
  <c r="H112" i="48" s="1"/>
  <c r="F92" i="87"/>
  <c r="F93" i="87" s="1"/>
  <c r="F95" i="87" s="1"/>
  <c r="G209" i="48" s="1"/>
  <c r="G92" i="87"/>
  <c r="G93" i="87" s="1"/>
  <c r="G95" i="87" s="1"/>
  <c r="H209" i="48" s="1"/>
  <c r="F115" i="87"/>
  <c r="F116" i="87" s="1"/>
  <c r="F118" i="87" s="1"/>
  <c r="G261" i="48" s="1"/>
  <c r="G115" i="87"/>
  <c r="G116" i="87" s="1"/>
  <c r="G118" i="87" s="1"/>
  <c r="H261" i="48" s="1"/>
  <c r="F138" i="87"/>
  <c r="F139" i="87" s="1"/>
  <c r="F141" i="87" s="1"/>
  <c r="G311" i="48" s="1"/>
  <c r="E46" i="87"/>
  <c r="E47" i="87" s="1"/>
  <c r="E49" i="87" s="1"/>
  <c r="F112" i="48" s="1"/>
  <c r="J46" i="87"/>
  <c r="J47" i="87" s="1"/>
  <c r="J49" i="87" s="1"/>
  <c r="K112" i="48" s="1"/>
  <c r="M46" i="87"/>
  <c r="M47" i="87" s="1"/>
  <c r="M49" i="87" s="1"/>
  <c r="N112" i="48" s="1"/>
  <c r="E92" i="87"/>
  <c r="E93" i="87" s="1"/>
  <c r="E95" i="87" s="1"/>
  <c r="F209" i="48" s="1"/>
  <c r="J92" i="87"/>
  <c r="J93" i="87" s="1"/>
  <c r="J95" i="87" s="1"/>
  <c r="K209" i="48" s="1"/>
  <c r="M92" i="87"/>
  <c r="M93" i="87" s="1"/>
  <c r="M95" i="87" s="1"/>
  <c r="N209" i="48" s="1"/>
  <c r="E115" i="87"/>
  <c r="E116" i="87" s="1"/>
  <c r="E118" i="87" s="1"/>
  <c r="F261" i="48" s="1"/>
  <c r="J115" i="87"/>
  <c r="J116" i="87" s="1"/>
  <c r="J118" i="87" s="1"/>
  <c r="K261" i="48" s="1"/>
  <c r="M115" i="87"/>
  <c r="M116" i="87" s="1"/>
  <c r="M118" i="87" s="1"/>
  <c r="N261" i="48" s="1"/>
  <c r="E138" i="87"/>
  <c r="E139" i="87" s="1"/>
  <c r="E141" i="87" s="1"/>
  <c r="F311" i="48" s="1"/>
  <c r="J138" i="87"/>
  <c r="J139" i="87" s="1"/>
  <c r="J141" i="87" s="1"/>
  <c r="K311" i="48" s="1"/>
  <c r="M138" i="87"/>
  <c r="M139" i="87" s="1"/>
  <c r="M141" i="87" s="1"/>
  <c r="N311" i="48" s="1"/>
  <c r="D92" i="87"/>
  <c r="D93" i="87" s="1"/>
  <c r="I115" i="87"/>
  <c r="I116" i="87" s="1"/>
  <c r="I118" i="87" s="1"/>
  <c r="J261" i="48" s="1"/>
  <c r="B46" i="87"/>
  <c r="B92" i="87"/>
  <c r="B93" i="87" s="1"/>
  <c r="B95" i="87" s="1"/>
  <c r="B115" i="87"/>
  <c r="C115" i="87"/>
  <c r="C116" i="87" s="1"/>
  <c r="C118" i="87" s="1"/>
  <c r="D261" i="48" s="1"/>
  <c r="H115" i="87"/>
  <c r="H116" i="87" s="1"/>
  <c r="H118" i="87" s="1"/>
  <c r="I261" i="48" s="1"/>
  <c r="B138" i="87"/>
  <c r="B139" i="87" s="1"/>
  <c r="C138" i="87"/>
  <c r="C139" i="87" s="1"/>
  <c r="C141" i="87" s="1"/>
  <c r="D311" i="48" s="1"/>
  <c r="H138" i="87"/>
  <c r="H139" i="87" s="1"/>
  <c r="H141" i="87" s="1"/>
  <c r="I311" i="48" s="1"/>
  <c r="N160" i="87"/>
  <c r="B161" i="87"/>
  <c r="N161" i="87" s="1"/>
  <c r="I46" i="87"/>
  <c r="I47" i="87" s="1"/>
  <c r="I49" i="87" s="1"/>
  <c r="J112" i="48" s="1"/>
  <c r="L92" i="87"/>
  <c r="L93" i="87" s="1"/>
  <c r="L95" i="87" s="1"/>
  <c r="M209" i="48" s="1"/>
  <c r="C46" i="87"/>
  <c r="C47" i="87" s="1"/>
  <c r="C49" i="87" s="1"/>
  <c r="D112" i="48" s="1"/>
  <c r="K46" i="87"/>
  <c r="K47" i="87" s="1"/>
  <c r="K49" i="87" s="1"/>
  <c r="L112" i="48" s="1"/>
  <c r="K92" i="87"/>
  <c r="K93" i="87" s="1"/>
  <c r="K95" i="87" s="1"/>
  <c r="L209" i="48" s="1"/>
  <c r="K115" i="87"/>
  <c r="K116" i="87" s="1"/>
  <c r="K118" i="87" s="1"/>
  <c r="L261" i="48" s="1"/>
  <c r="G138" i="87"/>
  <c r="G139" i="87" s="1"/>
  <c r="G141" i="87" s="1"/>
  <c r="H311" i="48" s="1"/>
  <c r="K138" i="87"/>
  <c r="K139" i="87" s="1"/>
  <c r="K141" i="87" s="1"/>
  <c r="L311" i="48" s="1"/>
  <c r="D19" i="89"/>
  <c r="D68" i="87"/>
  <c r="I19" i="89"/>
  <c r="I68" i="87"/>
  <c r="L19" i="89"/>
  <c r="L68" i="87"/>
  <c r="N91" i="87"/>
  <c r="N114" i="87"/>
  <c r="B19" i="89"/>
  <c r="B68" i="87"/>
  <c r="C19" i="89"/>
  <c r="C68" i="87"/>
  <c r="H19" i="89"/>
  <c r="H68" i="87"/>
  <c r="N137" i="87"/>
  <c r="E19" i="89"/>
  <c r="E68" i="87"/>
  <c r="J19" i="89"/>
  <c r="J68" i="87"/>
  <c r="M19" i="89"/>
  <c r="M68" i="87"/>
  <c r="N45" i="87"/>
  <c r="F19" i="89"/>
  <c r="F68" i="87"/>
  <c r="G19" i="89"/>
  <c r="G68" i="87"/>
  <c r="K19" i="89"/>
  <c r="K68" i="87"/>
  <c r="N147" i="86"/>
  <c r="N146" i="86"/>
  <c r="D153" i="86"/>
  <c r="D154" i="86" s="1"/>
  <c r="N152" i="86"/>
  <c r="B153" i="86"/>
  <c r="N19" i="92" l="1"/>
  <c r="O19" i="92"/>
  <c r="O19" i="90"/>
  <c r="N19" i="90"/>
  <c r="N19" i="93"/>
  <c r="O19" i="93"/>
  <c r="O19" i="91"/>
  <c r="N19" i="91"/>
  <c r="N19" i="94"/>
  <c r="O19" i="94"/>
  <c r="N93" i="87"/>
  <c r="D95" i="87"/>
  <c r="E209" i="48" s="1"/>
  <c r="H69" i="87"/>
  <c r="H70" i="87" s="1"/>
  <c r="H72" i="87" s="1"/>
  <c r="I158" i="48" s="1"/>
  <c r="L69" i="87"/>
  <c r="L70" i="87" s="1"/>
  <c r="L72" i="87" s="1"/>
  <c r="M158" i="48" s="1"/>
  <c r="N139" i="87"/>
  <c r="B141" i="87"/>
  <c r="C209" i="48"/>
  <c r="O209" i="48" s="1"/>
  <c r="E69" i="87"/>
  <c r="E70" i="87" s="1"/>
  <c r="E72" i="87" s="1"/>
  <c r="F158" i="48" s="1"/>
  <c r="B162" i="87"/>
  <c r="N115" i="87"/>
  <c r="K69" i="87"/>
  <c r="K70" i="87" s="1"/>
  <c r="K72" i="87" s="1"/>
  <c r="L158" i="48" s="1"/>
  <c r="F69" i="87"/>
  <c r="F70" i="87" s="1"/>
  <c r="F72" i="87" s="1"/>
  <c r="G158" i="48" s="1"/>
  <c r="C69" i="87"/>
  <c r="C70" i="87" s="1"/>
  <c r="J69" i="87"/>
  <c r="J70" i="87" s="1"/>
  <c r="J72" i="87" s="1"/>
  <c r="K158" i="48" s="1"/>
  <c r="N138" i="87"/>
  <c r="N92" i="87"/>
  <c r="G69" i="87"/>
  <c r="G70" i="87" s="1"/>
  <c r="G72" i="87" s="1"/>
  <c r="H158" i="48" s="1"/>
  <c r="M69" i="87"/>
  <c r="M70" i="87" s="1"/>
  <c r="M72" i="87" s="1"/>
  <c r="N158" i="48" s="1"/>
  <c r="N46" i="87"/>
  <c r="B69" i="87"/>
  <c r="B70" i="87" s="1"/>
  <c r="B72" i="87" s="1"/>
  <c r="D69" i="87"/>
  <c r="D70" i="87" s="1"/>
  <c r="D72" i="87" s="1"/>
  <c r="E158" i="48" s="1"/>
  <c r="I69" i="87"/>
  <c r="I70" i="87" s="1"/>
  <c r="I72" i="87" s="1"/>
  <c r="J158" i="48" s="1"/>
  <c r="B116" i="87"/>
  <c r="B47" i="87"/>
  <c r="O19" i="89"/>
  <c r="N19" i="89"/>
  <c r="N68" i="87"/>
  <c r="B154" i="86"/>
  <c r="N153" i="86"/>
  <c r="C16" i="47"/>
  <c r="D16" i="47"/>
  <c r="E16" i="47"/>
  <c r="F16" i="47"/>
  <c r="G16" i="47"/>
  <c r="H16" i="47"/>
  <c r="I16" i="47"/>
  <c r="J16" i="47"/>
  <c r="K16" i="47"/>
  <c r="L16" i="47"/>
  <c r="M16" i="47"/>
  <c r="C17" i="47"/>
  <c r="D17" i="47"/>
  <c r="E17" i="47"/>
  <c r="F17" i="47"/>
  <c r="G17" i="47"/>
  <c r="H17" i="47"/>
  <c r="I17" i="47"/>
  <c r="J17" i="47"/>
  <c r="K17" i="47"/>
  <c r="L17" i="47"/>
  <c r="M17" i="47"/>
  <c r="C18" i="47"/>
  <c r="D18" i="47"/>
  <c r="E18" i="47"/>
  <c r="F18" i="47"/>
  <c r="G18" i="47"/>
  <c r="H18" i="47"/>
  <c r="I18" i="47"/>
  <c r="J18" i="47"/>
  <c r="K18" i="47"/>
  <c r="L18" i="47"/>
  <c r="M18" i="47"/>
  <c r="C19" i="47"/>
  <c r="D19" i="47"/>
  <c r="E19" i="47"/>
  <c r="F19" i="47"/>
  <c r="G19" i="47"/>
  <c r="H19" i="47"/>
  <c r="I19" i="47"/>
  <c r="J19" i="47"/>
  <c r="K19" i="47"/>
  <c r="L19" i="47"/>
  <c r="M19" i="47"/>
  <c r="B19" i="47"/>
  <c r="B17" i="47"/>
  <c r="B18" i="47"/>
  <c r="B16" i="47"/>
  <c r="C15" i="47"/>
  <c r="D15" i="47"/>
  <c r="E15" i="47"/>
  <c r="F15" i="47"/>
  <c r="G15" i="47"/>
  <c r="H15" i="47"/>
  <c r="I15" i="47"/>
  <c r="J15" i="47"/>
  <c r="K15" i="47"/>
  <c r="L15" i="47"/>
  <c r="M15" i="47"/>
  <c r="B15" i="47"/>
  <c r="N95" i="87" l="1"/>
  <c r="C158" i="48"/>
  <c r="N69" i="87"/>
  <c r="N141" i="87"/>
  <c r="C311" i="48"/>
  <c r="O311" i="48" s="1"/>
  <c r="N70" i="87"/>
  <c r="C72" i="87"/>
  <c r="D158" i="48" s="1"/>
  <c r="B49" i="87"/>
  <c r="N47" i="87"/>
  <c r="B118" i="87"/>
  <c r="N116" i="87"/>
  <c r="N162" i="87"/>
  <c r="B164" i="87"/>
  <c r="N154" i="86"/>
  <c r="B173" i="4"/>
  <c r="B30" i="89" s="1"/>
  <c r="C89" i="4"/>
  <c r="C25" i="94" s="1"/>
  <c r="E9" i="12"/>
  <c r="F9" i="12"/>
  <c r="G9" i="12"/>
  <c r="H9" i="12"/>
  <c r="I9" i="12"/>
  <c r="J9" i="12"/>
  <c r="K9" i="12"/>
  <c r="L9" i="12"/>
  <c r="M9" i="12"/>
  <c r="N9" i="12"/>
  <c r="O9" i="12"/>
  <c r="E10" i="12"/>
  <c r="F10" i="12"/>
  <c r="G10" i="12"/>
  <c r="H10" i="12"/>
  <c r="I10" i="12"/>
  <c r="J10" i="12"/>
  <c r="K10" i="12"/>
  <c r="L10" i="12"/>
  <c r="M10" i="12"/>
  <c r="N10" i="12"/>
  <c r="O10" i="12"/>
  <c r="D10" i="12"/>
  <c r="D9" i="12"/>
  <c r="D89" i="4" l="1"/>
  <c r="E89" i="4" s="1"/>
  <c r="N49" i="87"/>
  <c r="C112" i="48"/>
  <c r="O112" i="48" s="1"/>
  <c r="C261" i="48"/>
  <c r="O261" i="48" s="1"/>
  <c r="N118" i="87"/>
  <c r="N72" i="87"/>
  <c r="C358" i="48"/>
  <c r="O358" i="48" s="1"/>
  <c r="N164" i="87"/>
  <c r="O158" i="48"/>
  <c r="C317" i="4"/>
  <c r="D25" i="94" l="1"/>
  <c r="F89" i="4"/>
  <c r="E25" i="94"/>
  <c r="M136" i="61"/>
  <c r="M16" i="92" s="1"/>
  <c r="L136" i="61"/>
  <c r="L16" i="92" s="1"/>
  <c r="K136" i="61"/>
  <c r="K16" i="92" s="1"/>
  <c r="J136" i="61"/>
  <c r="J16" i="92" s="1"/>
  <c r="I136" i="61"/>
  <c r="I16" i="92" s="1"/>
  <c r="H136" i="61"/>
  <c r="H16" i="92" s="1"/>
  <c r="G136" i="61"/>
  <c r="G16" i="92" s="1"/>
  <c r="F136" i="61"/>
  <c r="F16" i="92" s="1"/>
  <c r="E136" i="61"/>
  <c r="E16" i="92" s="1"/>
  <c r="D136" i="61"/>
  <c r="D16" i="92" s="1"/>
  <c r="C136" i="61"/>
  <c r="C16" i="92" s="1"/>
  <c r="B136" i="61"/>
  <c r="B16" i="92" s="1"/>
  <c r="M111" i="61"/>
  <c r="M16" i="91" s="1"/>
  <c r="L111" i="61"/>
  <c r="L16" i="91" s="1"/>
  <c r="K111" i="61"/>
  <c r="K16" i="91" s="1"/>
  <c r="J111" i="61"/>
  <c r="J16" i="91" s="1"/>
  <c r="I111" i="61"/>
  <c r="I16" i="91" s="1"/>
  <c r="H111" i="61"/>
  <c r="H16" i="91" s="1"/>
  <c r="G111" i="61"/>
  <c r="G16" i="91" s="1"/>
  <c r="F111" i="61"/>
  <c r="F16" i="91" s="1"/>
  <c r="E111" i="61"/>
  <c r="E16" i="91" s="1"/>
  <c r="D111" i="61"/>
  <c r="D16" i="91" s="1"/>
  <c r="C111" i="61"/>
  <c r="C16" i="91" s="1"/>
  <c r="B111" i="61"/>
  <c r="B16" i="91" s="1"/>
  <c r="M86" i="61"/>
  <c r="M16" i="90" s="1"/>
  <c r="L86" i="61"/>
  <c r="L16" i="90" s="1"/>
  <c r="K86" i="61"/>
  <c r="K16" i="90" s="1"/>
  <c r="J86" i="61"/>
  <c r="J16" i="90" s="1"/>
  <c r="I86" i="61"/>
  <c r="I16" i="90" s="1"/>
  <c r="H86" i="61"/>
  <c r="H16" i="90" s="1"/>
  <c r="G86" i="61"/>
  <c r="G16" i="90" s="1"/>
  <c r="F86" i="61"/>
  <c r="F16" i="90" s="1"/>
  <c r="E86" i="61"/>
  <c r="E16" i="90" s="1"/>
  <c r="D86" i="61"/>
  <c r="D16" i="90" s="1"/>
  <c r="C86" i="61"/>
  <c r="C16" i="90" s="1"/>
  <c r="B86" i="61"/>
  <c r="B16" i="90" s="1"/>
  <c r="M61" i="61"/>
  <c r="M16" i="89" s="1"/>
  <c r="L61" i="61"/>
  <c r="L16" i="89" s="1"/>
  <c r="K61" i="61"/>
  <c r="K16" i="89" s="1"/>
  <c r="J61" i="61"/>
  <c r="J16" i="89" s="1"/>
  <c r="I61" i="61"/>
  <c r="I16" i="89" s="1"/>
  <c r="H61" i="61"/>
  <c r="H16" i="89" s="1"/>
  <c r="G61" i="61"/>
  <c r="G16" i="89" s="1"/>
  <c r="F61" i="61"/>
  <c r="F16" i="89" s="1"/>
  <c r="E61" i="61"/>
  <c r="E16" i="89" s="1"/>
  <c r="D61" i="61"/>
  <c r="D16" i="89" s="1"/>
  <c r="C61" i="61"/>
  <c r="C16" i="89" s="1"/>
  <c r="B61" i="61"/>
  <c r="B16" i="89" s="1"/>
  <c r="M36" i="61"/>
  <c r="M16" i="94" s="1"/>
  <c r="L36" i="61"/>
  <c r="L16" i="94" s="1"/>
  <c r="K36" i="61"/>
  <c r="K16" i="94" s="1"/>
  <c r="J36" i="61"/>
  <c r="J16" i="94" s="1"/>
  <c r="I36" i="61"/>
  <c r="I16" i="94" s="1"/>
  <c r="H36" i="61"/>
  <c r="H16" i="94" s="1"/>
  <c r="G36" i="61"/>
  <c r="G16" i="94" s="1"/>
  <c r="F36" i="61"/>
  <c r="F16" i="94" s="1"/>
  <c r="E36" i="61"/>
  <c r="E16" i="94" s="1"/>
  <c r="D36" i="61"/>
  <c r="D16" i="94" s="1"/>
  <c r="C36" i="61"/>
  <c r="C16" i="94" s="1"/>
  <c r="B36" i="61"/>
  <c r="B16" i="94" s="1"/>
  <c r="M11" i="61"/>
  <c r="L11" i="61"/>
  <c r="K11" i="61"/>
  <c r="J11" i="61"/>
  <c r="I11" i="61"/>
  <c r="H11" i="61"/>
  <c r="G11" i="61"/>
  <c r="F11" i="61"/>
  <c r="E11" i="61"/>
  <c r="D11" i="61"/>
  <c r="C11" i="61"/>
  <c r="B11" i="61"/>
  <c r="N16" i="94" l="1"/>
  <c r="O16" i="94"/>
  <c r="N16" i="90"/>
  <c r="O16" i="90"/>
  <c r="N16" i="91"/>
  <c r="O16" i="91"/>
  <c r="O16" i="92"/>
  <c r="N16" i="92"/>
  <c r="G89" i="4"/>
  <c r="F25" i="94"/>
  <c r="O16" i="89"/>
  <c r="N16" i="89"/>
  <c r="H34" i="63"/>
  <c r="H33" i="63"/>
  <c r="G34" i="63"/>
  <c r="G33" i="63"/>
  <c r="F34" i="63"/>
  <c r="F33" i="63"/>
  <c r="E34" i="63"/>
  <c r="E33" i="63"/>
  <c r="D34" i="63"/>
  <c r="D33" i="63"/>
  <c r="C34" i="63"/>
  <c r="C33" i="63"/>
  <c r="A32" i="63"/>
  <c r="H44" i="63"/>
  <c r="F44" i="63"/>
  <c r="E44" i="63"/>
  <c r="D44" i="63"/>
  <c r="C44" i="63"/>
  <c r="H43" i="63"/>
  <c r="F43" i="63"/>
  <c r="E43" i="63"/>
  <c r="D43" i="63"/>
  <c r="C43" i="63"/>
  <c r="G44" i="63"/>
  <c r="G43" i="63"/>
  <c r="H42" i="63"/>
  <c r="G42" i="63"/>
  <c r="F42" i="63"/>
  <c r="E42" i="63"/>
  <c r="D42" i="63"/>
  <c r="C42" i="63"/>
  <c r="H41" i="63"/>
  <c r="G41" i="63"/>
  <c r="F41" i="63"/>
  <c r="E41" i="63"/>
  <c r="D41" i="63"/>
  <c r="C41" i="63"/>
  <c r="H40" i="63"/>
  <c r="G40" i="63"/>
  <c r="F40" i="63"/>
  <c r="E40" i="63"/>
  <c r="D40" i="63"/>
  <c r="C40" i="63"/>
  <c r="H39" i="63"/>
  <c r="G39" i="63"/>
  <c r="F39" i="63"/>
  <c r="E39" i="63"/>
  <c r="D39" i="63"/>
  <c r="C39" i="63"/>
  <c r="H38" i="63"/>
  <c r="G38" i="63"/>
  <c r="F38" i="63"/>
  <c r="E38" i="63"/>
  <c r="D38" i="63"/>
  <c r="C38" i="63"/>
  <c r="H37" i="63"/>
  <c r="G37" i="63"/>
  <c r="F37" i="63"/>
  <c r="E37" i="63"/>
  <c r="D37" i="63"/>
  <c r="C37" i="63"/>
  <c r="H36" i="63"/>
  <c r="G36" i="63"/>
  <c r="F36" i="63"/>
  <c r="E36" i="63"/>
  <c r="D36" i="63"/>
  <c r="C36" i="63"/>
  <c r="H35" i="63"/>
  <c r="G35" i="63"/>
  <c r="F35" i="63"/>
  <c r="E35" i="63"/>
  <c r="D35" i="63"/>
  <c r="C35" i="63"/>
  <c r="H32" i="63"/>
  <c r="G32" i="63"/>
  <c r="F32" i="63"/>
  <c r="E32" i="63"/>
  <c r="D32" i="63"/>
  <c r="C32" i="63"/>
  <c r="H31" i="63"/>
  <c r="G31" i="63"/>
  <c r="F31" i="63"/>
  <c r="E31" i="63"/>
  <c r="D31" i="63"/>
  <c r="C31" i="63"/>
  <c r="H89" i="4" l="1"/>
  <c r="G25" i="94"/>
  <c r="D156" i="85"/>
  <c r="B156" i="85"/>
  <c r="A158" i="85"/>
  <c r="L156" i="85"/>
  <c r="H156" i="85"/>
  <c r="A151" i="85"/>
  <c r="K156" i="85"/>
  <c r="J156" i="85"/>
  <c r="I156" i="85"/>
  <c r="G156" i="85"/>
  <c r="F156" i="85"/>
  <c r="C156" i="85"/>
  <c r="I89" i="4" l="1"/>
  <c r="H25" i="94"/>
  <c r="L157" i="85"/>
  <c r="L158" i="85" s="1"/>
  <c r="D157" i="85"/>
  <c r="O22" i="89"/>
  <c r="G157" i="85"/>
  <c r="G158" i="85" s="1"/>
  <c r="K157" i="85"/>
  <c r="K158" i="85" s="1"/>
  <c r="I157" i="85"/>
  <c r="I158" i="85" s="1"/>
  <c r="C157" i="85"/>
  <c r="C158" i="85" s="1"/>
  <c r="B157" i="85"/>
  <c r="F157" i="85"/>
  <c r="F158" i="85" s="1"/>
  <c r="J157" i="85"/>
  <c r="J158" i="85" s="1"/>
  <c r="E156" i="85"/>
  <c r="M156" i="85"/>
  <c r="H157" i="85"/>
  <c r="H158" i="85" s="1"/>
  <c r="D158" i="85"/>
  <c r="N149" i="85"/>
  <c r="N156" i="85" l="1"/>
  <c r="J89" i="4"/>
  <c r="I25" i="94"/>
  <c r="N150" i="85"/>
  <c r="M157" i="85"/>
  <c r="M158" i="85" s="1"/>
  <c r="E157" i="85"/>
  <c r="B158" i="85"/>
  <c r="N157" i="85" l="1"/>
  <c r="K89" i="4"/>
  <c r="J25" i="94"/>
  <c r="E158" i="85"/>
  <c r="N151" i="85"/>
  <c r="L89" i="4" l="1"/>
  <c r="K25" i="94"/>
  <c r="N158" i="85"/>
  <c r="C383" i="4"/>
  <c r="D383" i="4"/>
  <c r="E383" i="4"/>
  <c r="F383" i="4"/>
  <c r="G383" i="4"/>
  <c r="H383" i="4"/>
  <c r="I383" i="4"/>
  <c r="J383" i="4"/>
  <c r="K383" i="4"/>
  <c r="L383" i="4"/>
  <c r="M383" i="4"/>
  <c r="B383" i="4"/>
  <c r="M429" i="16"/>
  <c r="L429" i="16"/>
  <c r="K429" i="16"/>
  <c r="J429" i="16"/>
  <c r="I429" i="16"/>
  <c r="H429" i="16"/>
  <c r="G429" i="16"/>
  <c r="F429" i="16"/>
  <c r="E429" i="16"/>
  <c r="D429" i="16"/>
  <c r="C429" i="16"/>
  <c r="B429" i="16"/>
  <c r="B424" i="16"/>
  <c r="M419" i="16"/>
  <c r="L419" i="16"/>
  <c r="K419" i="16"/>
  <c r="J419" i="16"/>
  <c r="I419" i="16"/>
  <c r="H419" i="16"/>
  <c r="G419" i="16"/>
  <c r="F419" i="16"/>
  <c r="E419" i="16"/>
  <c r="D419" i="16"/>
  <c r="C419" i="16"/>
  <c r="B419" i="16"/>
  <c r="M409" i="16"/>
  <c r="L409" i="16"/>
  <c r="K409" i="16"/>
  <c r="J409" i="16"/>
  <c r="I409" i="16"/>
  <c r="H409" i="16"/>
  <c r="G409" i="16"/>
  <c r="F409" i="16"/>
  <c r="E409" i="16"/>
  <c r="D409" i="16"/>
  <c r="C409" i="16"/>
  <c r="B409" i="16"/>
  <c r="M404" i="16"/>
  <c r="L404" i="16"/>
  <c r="K404" i="16"/>
  <c r="J404" i="16"/>
  <c r="I404" i="16"/>
  <c r="H404" i="16"/>
  <c r="G404" i="16"/>
  <c r="F404" i="16"/>
  <c r="E404" i="16"/>
  <c r="D404" i="16"/>
  <c r="C404" i="16"/>
  <c r="B404" i="16"/>
  <c r="M394" i="16"/>
  <c r="L394" i="16"/>
  <c r="K394" i="16"/>
  <c r="J394" i="16"/>
  <c r="I394" i="16"/>
  <c r="H394" i="16"/>
  <c r="G394" i="16"/>
  <c r="F394" i="16"/>
  <c r="E394" i="16"/>
  <c r="D394" i="16"/>
  <c r="C394" i="16"/>
  <c r="B394" i="16"/>
  <c r="M389" i="16"/>
  <c r="L389" i="16"/>
  <c r="K389" i="16"/>
  <c r="J389" i="16"/>
  <c r="I389" i="16"/>
  <c r="H389" i="16"/>
  <c r="G389" i="16"/>
  <c r="F389" i="16"/>
  <c r="E389" i="16"/>
  <c r="D389" i="16"/>
  <c r="C389" i="16"/>
  <c r="B389" i="16"/>
  <c r="C434" i="64"/>
  <c r="D434" i="64"/>
  <c r="E434" i="64"/>
  <c r="F434" i="64"/>
  <c r="G434" i="64"/>
  <c r="H434" i="64"/>
  <c r="I434" i="64"/>
  <c r="J434" i="64"/>
  <c r="K434" i="64"/>
  <c r="L434" i="64"/>
  <c r="M434" i="64"/>
  <c r="B439" i="64"/>
  <c r="B434" i="64"/>
  <c r="C414" i="64"/>
  <c r="D414" i="64"/>
  <c r="E414" i="64"/>
  <c r="F414" i="64"/>
  <c r="G414" i="64"/>
  <c r="H414" i="64"/>
  <c r="I414" i="64"/>
  <c r="J414" i="64"/>
  <c r="K414" i="64"/>
  <c r="L414" i="64"/>
  <c r="M414" i="64"/>
  <c r="B414" i="64"/>
  <c r="C419" i="64"/>
  <c r="D419" i="64"/>
  <c r="E419" i="64"/>
  <c r="F419" i="64"/>
  <c r="G419" i="64"/>
  <c r="H419" i="64"/>
  <c r="I419" i="64"/>
  <c r="J419" i="64"/>
  <c r="K419" i="64"/>
  <c r="L419" i="64"/>
  <c r="M419" i="64"/>
  <c r="B419" i="64"/>
  <c r="N444" i="64"/>
  <c r="M429" i="64"/>
  <c r="L429" i="64"/>
  <c r="K429" i="64"/>
  <c r="J429" i="64"/>
  <c r="I429" i="64"/>
  <c r="H429" i="64"/>
  <c r="G429" i="64"/>
  <c r="F429" i="64"/>
  <c r="E429" i="64"/>
  <c r="D429" i="64"/>
  <c r="C429" i="64"/>
  <c r="B429" i="64"/>
  <c r="N404" i="64"/>
  <c r="M399" i="64"/>
  <c r="L399" i="64"/>
  <c r="K399" i="64"/>
  <c r="J399" i="64"/>
  <c r="I399" i="64"/>
  <c r="H399" i="64"/>
  <c r="G399" i="64"/>
  <c r="F399" i="64"/>
  <c r="E399" i="64"/>
  <c r="D399" i="64"/>
  <c r="C399" i="64"/>
  <c r="B399" i="64"/>
  <c r="N434" i="64" l="1"/>
  <c r="M89" i="4"/>
  <c r="M25" i="94" s="1"/>
  <c r="L25" i="94"/>
  <c r="N429" i="16"/>
  <c r="N414" i="64"/>
  <c r="N389" i="16"/>
  <c r="N404" i="16"/>
  <c r="N409" i="16"/>
  <c r="N394" i="16"/>
  <c r="N419" i="16"/>
  <c r="N399" i="64"/>
  <c r="N419" i="64"/>
  <c r="N429" i="64"/>
  <c r="N25" i="94" l="1"/>
  <c r="O25" i="94"/>
  <c r="C388" i="4"/>
  <c r="C393" i="4" s="1"/>
  <c r="C394" i="4" s="1"/>
  <c r="F388" i="4"/>
  <c r="F393" i="4" s="1"/>
  <c r="F394" i="4" s="1"/>
  <c r="I388" i="4"/>
  <c r="J388" i="4"/>
  <c r="J393" i="4" s="1"/>
  <c r="J394" i="4" s="1"/>
  <c r="K388" i="4"/>
  <c r="K393" i="4" s="1"/>
  <c r="K394" i="4" s="1"/>
  <c r="M388" i="4"/>
  <c r="M389" i="4" s="1"/>
  <c r="C427" i="4"/>
  <c r="D427" i="4" s="1"/>
  <c r="N422" i="4"/>
  <c r="C412" i="4"/>
  <c r="N402" i="4"/>
  <c r="N392" i="4"/>
  <c r="G388" i="4"/>
  <c r="G393" i="4" s="1"/>
  <c r="G394" i="4" s="1"/>
  <c r="B388" i="4"/>
  <c r="B393" i="4" s="1"/>
  <c r="B394" i="4" s="1"/>
  <c r="N387" i="4"/>
  <c r="L388" i="4"/>
  <c r="L389" i="4" s="1"/>
  <c r="H388" i="4"/>
  <c r="H389" i="4" s="1"/>
  <c r="E388" i="4"/>
  <c r="D388" i="4"/>
  <c r="D389" i="4" s="1"/>
  <c r="C31" i="93" l="1"/>
  <c r="C424" i="16"/>
  <c r="C439" i="64"/>
  <c r="D412" i="4"/>
  <c r="C30" i="93"/>
  <c r="C414" i="16"/>
  <c r="C424" i="64"/>
  <c r="D31" i="93"/>
  <c r="D424" i="16"/>
  <c r="D439" i="64"/>
  <c r="H393" i="4"/>
  <c r="H398" i="4" s="1"/>
  <c r="H403" i="4" s="1"/>
  <c r="H408" i="4" s="1"/>
  <c r="F389" i="4"/>
  <c r="G389" i="4"/>
  <c r="F398" i="4"/>
  <c r="F403" i="4" s="1"/>
  <c r="F404" i="4" s="1"/>
  <c r="G398" i="4"/>
  <c r="G403" i="4" s="1"/>
  <c r="G404" i="4" s="1"/>
  <c r="E389" i="4"/>
  <c r="E393" i="4"/>
  <c r="I389" i="4"/>
  <c r="I393" i="4"/>
  <c r="E412" i="4"/>
  <c r="B389" i="4"/>
  <c r="J389" i="4"/>
  <c r="D393" i="4"/>
  <c r="L393" i="4"/>
  <c r="B398" i="4"/>
  <c r="J398" i="4"/>
  <c r="C389" i="4"/>
  <c r="K389" i="4"/>
  <c r="M393" i="4"/>
  <c r="C398" i="4"/>
  <c r="K398" i="4"/>
  <c r="E427" i="4"/>
  <c r="H394" i="4" l="1"/>
  <c r="H404" i="4"/>
  <c r="E31" i="93"/>
  <c r="E424" i="16"/>
  <c r="E439" i="64"/>
  <c r="E30" i="93"/>
  <c r="E414" i="16"/>
  <c r="E424" i="64"/>
  <c r="D30" i="93"/>
  <c r="D414" i="16"/>
  <c r="D424" i="64"/>
  <c r="F408" i="4"/>
  <c r="F413" i="4" s="1"/>
  <c r="G408" i="4"/>
  <c r="G413" i="4" s="1"/>
  <c r="N389" i="4"/>
  <c r="E398" i="4"/>
  <c r="E394" i="4"/>
  <c r="F427" i="4"/>
  <c r="K403" i="4"/>
  <c r="C403" i="4"/>
  <c r="J403" i="4"/>
  <c r="L398" i="4"/>
  <c r="L394" i="4"/>
  <c r="I398" i="4"/>
  <c r="I394" i="4"/>
  <c r="M398" i="4"/>
  <c r="M394" i="4"/>
  <c r="B403" i="4"/>
  <c r="D398" i="4"/>
  <c r="D394" i="4"/>
  <c r="F412" i="4"/>
  <c r="H413" i="4"/>
  <c r="H418" i="4"/>
  <c r="H423" i="4" s="1"/>
  <c r="B12" i="49"/>
  <c r="F418" i="4" l="1"/>
  <c r="F423" i="4" s="1"/>
  <c r="F30" i="93"/>
  <c r="F414" i="16"/>
  <c r="F424" i="64"/>
  <c r="G418" i="4"/>
  <c r="G423" i="4" s="1"/>
  <c r="G428" i="4" s="1"/>
  <c r="F31" i="93"/>
  <c r="F439" i="64"/>
  <c r="F424" i="16"/>
  <c r="K404" i="4"/>
  <c r="K408" i="4"/>
  <c r="N394" i="4"/>
  <c r="I403" i="4"/>
  <c r="J404" i="4"/>
  <c r="J408" i="4"/>
  <c r="H428" i="4"/>
  <c r="H424" i="4"/>
  <c r="D403" i="4"/>
  <c r="M403" i="4"/>
  <c r="C404" i="4"/>
  <c r="C408" i="4"/>
  <c r="G412" i="4"/>
  <c r="F414" i="4"/>
  <c r="B404" i="4"/>
  <c r="B408" i="4"/>
  <c r="F424" i="4"/>
  <c r="F428" i="4"/>
  <c r="F429" i="4" s="1"/>
  <c r="E403" i="4"/>
  <c r="G427" i="4"/>
  <c r="F409" i="4"/>
  <c r="L403" i="4"/>
  <c r="A155" i="87"/>
  <c r="M153" i="87"/>
  <c r="M154" i="87" s="1"/>
  <c r="M155" i="87" s="1"/>
  <c r="L153" i="87"/>
  <c r="K153" i="87"/>
  <c r="K154" i="87" s="1"/>
  <c r="K155" i="87" s="1"/>
  <c r="J153" i="87"/>
  <c r="I153" i="87"/>
  <c r="I154" i="87" s="1"/>
  <c r="I155" i="87" s="1"/>
  <c r="H153" i="87"/>
  <c r="G153" i="87"/>
  <c r="G154" i="87" s="1"/>
  <c r="G155" i="87" s="1"/>
  <c r="F153" i="87"/>
  <c r="E153" i="87"/>
  <c r="E154" i="87" s="1"/>
  <c r="E155" i="87" s="1"/>
  <c r="D153" i="87"/>
  <c r="C153" i="87"/>
  <c r="C154" i="87" s="1"/>
  <c r="C155" i="87" s="1"/>
  <c r="B153" i="87"/>
  <c r="A148" i="87"/>
  <c r="M147" i="87"/>
  <c r="M148" i="87" s="1"/>
  <c r="L147" i="87"/>
  <c r="L148" i="87" s="1"/>
  <c r="K147" i="87"/>
  <c r="K148" i="87" s="1"/>
  <c r="J147" i="87"/>
  <c r="J148" i="87" s="1"/>
  <c r="I147" i="87"/>
  <c r="I148" i="87" s="1"/>
  <c r="H147" i="87"/>
  <c r="H148" i="87" s="1"/>
  <c r="G147" i="87"/>
  <c r="G148" i="87" s="1"/>
  <c r="F147" i="87"/>
  <c r="F148" i="87" s="1"/>
  <c r="E147" i="87"/>
  <c r="E148" i="87" s="1"/>
  <c r="D147" i="87"/>
  <c r="D148" i="87" s="1"/>
  <c r="C147" i="87"/>
  <c r="C148" i="87" s="1"/>
  <c r="B147" i="87"/>
  <c r="B148" i="87" s="1"/>
  <c r="N146" i="87"/>
  <c r="A132" i="87"/>
  <c r="A125" i="87"/>
  <c r="L124" i="87"/>
  <c r="J124" i="87"/>
  <c r="H124" i="87"/>
  <c r="F124" i="87"/>
  <c r="D124" i="87"/>
  <c r="B124" i="87"/>
  <c r="M130" i="87"/>
  <c r="L130" i="87"/>
  <c r="K130" i="87"/>
  <c r="J130" i="87"/>
  <c r="I130" i="87"/>
  <c r="H130" i="87"/>
  <c r="G130" i="87"/>
  <c r="F130" i="87"/>
  <c r="E130" i="87"/>
  <c r="D130" i="87"/>
  <c r="C130" i="87"/>
  <c r="B130" i="87"/>
  <c r="A109" i="87"/>
  <c r="M103" i="87"/>
  <c r="M126" i="87" s="1"/>
  <c r="M149" i="87" s="1"/>
  <c r="L103" i="87"/>
  <c r="L126" i="87" s="1"/>
  <c r="L149" i="87" s="1"/>
  <c r="K103" i="87"/>
  <c r="K126" i="87" s="1"/>
  <c r="K149" i="87" s="1"/>
  <c r="J103" i="87"/>
  <c r="J126" i="87" s="1"/>
  <c r="J149" i="87" s="1"/>
  <c r="I103" i="87"/>
  <c r="I126" i="87" s="1"/>
  <c r="I149" i="87" s="1"/>
  <c r="H103" i="87"/>
  <c r="H126" i="87" s="1"/>
  <c r="H149" i="87" s="1"/>
  <c r="G103" i="87"/>
  <c r="G126" i="87" s="1"/>
  <c r="G149" i="87" s="1"/>
  <c r="F103" i="87"/>
  <c r="F126" i="87" s="1"/>
  <c r="F149" i="87" s="1"/>
  <c r="E103" i="87"/>
  <c r="E126" i="87" s="1"/>
  <c r="E149" i="87" s="1"/>
  <c r="D103" i="87"/>
  <c r="D126" i="87" s="1"/>
  <c r="D149" i="87" s="1"/>
  <c r="C103" i="87"/>
  <c r="C126" i="87" s="1"/>
  <c r="C149" i="87" s="1"/>
  <c r="B103" i="87"/>
  <c r="B126" i="87" s="1"/>
  <c r="B149" i="87" s="1"/>
  <c r="A102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A86" i="87"/>
  <c r="M80" i="87"/>
  <c r="L80" i="87"/>
  <c r="K80" i="87"/>
  <c r="J80" i="87"/>
  <c r="I80" i="87"/>
  <c r="H80" i="87"/>
  <c r="G80" i="87"/>
  <c r="F80" i="87"/>
  <c r="E80" i="87"/>
  <c r="D80" i="87"/>
  <c r="C80" i="87"/>
  <c r="B80" i="87"/>
  <c r="A79" i="87"/>
  <c r="G78" i="87"/>
  <c r="E78" i="87"/>
  <c r="C78" i="87"/>
  <c r="A63" i="87"/>
  <c r="M57" i="87"/>
  <c r="L57" i="87"/>
  <c r="K57" i="87"/>
  <c r="J57" i="87"/>
  <c r="I57" i="87"/>
  <c r="H57" i="87"/>
  <c r="G57" i="87"/>
  <c r="F57" i="87"/>
  <c r="E57" i="87"/>
  <c r="D57" i="87"/>
  <c r="C57" i="87"/>
  <c r="B57" i="87"/>
  <c r="A56" i="87"/>
  <c r="M61" i="87"/>
  <c r="L61" i="87"/>
  <c r="K61" i="87"/>
  <c r="J61" i="87"/>
  <c r="I61" i="87"/>
  <c r="H61" i="87"/>
  <c r="G61" i="87"/>
  <c r="F61" i="87"/>
  <c r="E61" i="87"/>
  <c r="D61" i="87"/>
  <c r="C61" i="87"/>
  <c r="N54" i="87"/>
  <c r="A40" i="87"/>
  <c r="M34" i="87"/>
  <c r="L34" i="87"/>
  <c r="K34" i="87"/>
  <c r="J34" i="87"/>
  <c r="I34" i="87"/>
  <c r="H34" i="87"/>
  <c r="G34" i="87"/>
  <c r="F34" i="87"/>
  <c r="E34" i="87"/>
  <c r="D34" i="87"/>
  <c r="C34" i="87"/>
  <c r="B34" i="87"/>
  <c r="A33" i="87"/>
  <c r="M38" i="87"/>
  <c r="L38" i="87"/>
  <c r="K38" i="87"/>
  <c r="J38" i="87"/>
  <c r="I38" i="87"/>
  <c r="H38" i="87"/>
  <c r="G38" i="87"/>
  <c r="F38" i="87"/>
  <c r="E38" i="87"/>
  <c r="D38" i="87"/>
  <c r="C38" i="87"/>
  <c r="B38" i="87"/>
  <c r="A29" i="87"/>
  <c r="A52" i="87" s="1"/>
  <c r="A75" i="87" s="1"/>
  <c r="A98" i="87" s="1"/>
  <c r="A121" i="87" s="1"/>
  <c r="A144" i="87" s="1"/>
  <c r="A23" i="87"/>
  <c r="C21" i="87"/>
  <c r="B21" i="87"/>
  <c r="M17" i="87"/>
  <c r="L17" i="87"/>
  <c r="K17" i="87"/>
  <c r="J17" i="87"/>
  <c r="I17" i="87"/>
  <c r="H17" i="87"/>
  <c r="G17" i="87"/>
  <c r="F17" i="87"/>
  <c r="E17" i="87"/>
  <c r="D17" i="87"/>
  <c r="C17" i="87"/>
  <c r="B17" i="87"/>
  <c r="C15" i="87"/>
  <c r="C16" i="87" s="1"/>
  <c r="B15" i="87"/>
  <c r="M21" i="87"/>
  <c r="L15" i="87"/>
  <c r="K21" i="87"/>
  <c r="J15" i="87"/>
  <c r="I21" i="87"/>
  <c r="H15" i="87"/>
  <c r="G21" i="87"/>
  <c r="F15" i="87"/>
  <c r="E21" i="87"/>
  <c r="D15" i="87"/>
  <c r="C7" i="87"/>
  <c r="D7" i="87" s="1"/>
  <c r="E7" i="87" s="1"/>
  <c r="F7" i="87" s="1"/>
  <c r="G7" i="87" s="1"/>
  <c r="H7" i="87" s="1"/>
  <c r="I7" i="87" s="1"/>
  <c r="J7" i="87" s="1"/>
  <c r="K7" i="87" s="1"/>
  <c r="L7" i="87" s="1"/>
  <c r="M7" i="87" s="1"/>
  <c r="G424" i="4" l="1"/>
  <c r="N153" i="87"/>
  <c r="G30" i="93"/>
  <c r="G414" i="16"/>
  <c r="G424" i="64"/>
  <c r="G31" i="93"/>
  <c r="G439" i="64"/>
  <c r="G424" i="16"/>
  <c r="C18" i="87"/>
  <c r="D150" i="87"/>
  <c r="E356" i="48" s="1"/>
  <c r="H150" i="87"/>
  <c r="I356" i="48" s="1"/>
  <c r="L150" i="87"/>
  <c r="M356" i="48" s="1"/>
  <c r="E150" i="87"/>
  <c r="F356" i="48" s="1"/>
  <c r="I150" i="87"/>
  <c r="J356" i="48" s="1"/>
  <c r="F150" i="87"/>
  <c r="G356" i="48" s="1"/>
  <c r="J150" i="87"/>
  <c r="K356" i="48" s="1"/>
  <c r="M150" i="87"/>
  <c r="N356" i="48" s="1"/>
  <c r="C150" i="87"/>
  <c r="D356" i="48" s="1"/>
  <c r="G150" i="87"/>
  <c r="H356" i="48" s="1"/>
  <c r="K150" i="87"/>
  <c r="L356" i="48" s="1"/>
  <c r="M408" i="4"/>
  <c r="M404" i="4"/>
  <c r="F419" i="4"/>
  <c r="C418" i="4"/>
  <c r="C409" i="4"/>
  <c r="C413" i="4"/>
  <c r="C414" i="4" s="1"/>
  <c r="J413" i="4"/>
  <c r="J418" i="4"/>
  <c r="J423" i="4" s="1"/>
  <c r="K418" i="4"/>
  <c r="K423" i="4" s="1"/>
  <c r="K413" i="4"/>
  <c r="G409" i="4"/>
  <c r="L404" i="4"/>
  <c r="L408" i="4"/>
  <c r="G429" i="4"/>
  <c r="H427" i="4"/>
  <c r="E408" i="4"/>
  <c r="E404" i="4"/>
  <c r="B409" i="4"/>
  <c r="B418" i="4"/>
  <c r="B413" i="4"/>
  <c r="B414" i="4" s="1"/>
  <c r="G414" i="4"/>
  <c r="H412" i="4"/>
  <c r="D408" i="4"/>
  <c r="D404" i="4"/>
  <c r="I408" i="4"/>
  <c r="I404" i="4"/>
  <c r="N148" i="87"/>
  <c r="B150" i="87"/>
  <c r="B154" i="87"/>
  <c r="B155" i="87" s="1"/>
  <c r="D154" i="87"/>
  <c r="D155" i="87" s="1"/>
  <c r="F154" i="87"/>
  <c r="F155" i="87" s="1"/>
  <c r="H154" i="87"/>
  <c r="H155" i="87" s="1"/>
  <c r="J154" i="87"/>
  <c r="J155" i="87" s="1"/>
  <c r="L154" i="87"/>
  <c r="L155" i="87" s="1"/>
  <c r="N147" i="87"/>
  <c r="E22" i="87"/>
  <c r="E23" i="87" s="1"/>
  <c r="G22" i="87"/>
  <c r="G23" i="87" s="1"/>
  <c r="I22" i="87"/>
  <c r="I23" i="87" s="1"/>
  <c r="K22" i="87"/>
  <c r="K23" i="87" s="1"/>
  <c r="M22" i="87"/>
  <c r="M23" i="87" s="1"/>
  <c r="N38" i="87"/>
  <c r="B39" i="87"/>
  <c r="B40" i="87" s="1"/>
  <c r="D39" i="87"/>
  <c r="D40" i="87" s="1"/>
  <c r="F39" i="87"/>
  <c r="F40" i="87" s="1"/>
  <c r="H39" i="87"/>
  <c r="H40" i="87" s="1"/>
  <c r="J39" i="87"/>
  <c r="J40" i="87" s="1"/>
  <c r="L39" i="87"/>
  <c r="L40" i="87" s="1"/>
  <c r="C62" i="87"/>
  <c r="C63" i="87" s="1"/>
  <c r="E62" i="87"/>
  <c r="E63" i="87" s="1"/>
  <c r="G62" i="87"/>
  <c r="G63" i="87" s="1"/>
  <c r="I62" i="87"/>
  <c r="I63" i="87" s="1"/>
  <c r="K62" i="87"/>
  <c r="K63" i="87" s="1"/>
  <c r="M62" i="87"/>
  <c r="M63" i="87" s="1"/>
  <c r="C39" i="87"/>
  <c r="C40" i="87" s="1"/>
  <c r="E39" i="87"/>
  <c r="E40" i="87" s="1"/>
  <c r="G39" i="87"/>
  <c r="G40" i="87" s="1"/>
  <c r="I39" i="87"/>
  <c r="I40" i="87" s="1"/>
  <c r="K39" i="87"/>
  <c r="K40" i="87" s="1"/>
  <c r="M39" i="87"/>
  <c r="M40" i="87" s="1"/>
  <c r="D62" i="87"/>
  <c r="D63" i="87" s="1"/>
  <c r="F62" i="87"/>
  <c r="F63" i="87" s="1"/>
  <c r="H62" i="87"/>
  <c r="H63" i="87" s="1"/>
  <c r="J62" i="87"/>
  <c r="J63" i="87" s="1"/>
  <c r="L62" i="87"/>
  <c r="L63" i="87" s="1"/>
  <c r="N14" i="87"/>
  <c r="E15" i="87"/>
  <c r="E16" i="87" s="1"/>
  <c r="E18" i="87" s="1"/>
  <c r="G15" i="87"/>
  <c r="G16" i="87" s="1"/>
  <c r="G18" i="87" s="1"/>
  <c r="I15" i="87"/>
  <c r="I16" i="87" s="1"/>
  <c r="I18" i="87" s="1"/>
  <c r="K15" i="87"/>
  <c r="K16" i="87" s="1"/>
  <c r="K18" i="87" s="1"/>
  <c r="M15" i="87"/>
  <c r="M16" i="87" s="1"/>
  <c r="M18" i="87" s="1"/>
  <c r="B16" i="87"/>
  <c r="D16" i="87"/>
  <c r="D18" i="87" s="1"/>
  <c r="F16" i="87"/>
  <c r="F18" i="87" s="1"/>
  <c r="H16" i="87"/>
  <c r="H18" i="87" s="1"/>
  <c r="J16" i="87"/>
  <c r="J18" i="87" s="1"/>
  <c r="L16" i="87"/>
  <c r="L18" i="87" s="1"/>
  <c r="D21" i="87"/>
  <c r="F21" i="87"/>
  <c r="H21" i="87"/>
  <c r="J21" i="87"/>
  <c r="L21" i="87"/>
  <c r="C22" i="87"/>
  <c r="C23" i="87" s="1"/>
  <c r="N31" i="87"/>
  <c r="C32" i="87"/>
  <c r="C33" i="87" s="1"/>
  <c r="C35" i="87" s="1"/>
  <c r="D110" i="48" s="1"/>
  <c r="E32" i="87"/>
  <c r="E33" i="87" s="1"/>
  <c r="E35" i="87" s="1"/>
  <c r="F110" i="48" s="1"/>
  <c r="G32" i="87"/>
  <c r="G33" i="87" s="1"/>
  <c r="G35" i="87" s="1"/>
  <c r="H110" i="48" s="1"/>
  <c r="I32" i="87"/>
  <c r="I33" i="87" s="1"/>
  <c r="I35" i="87" s="1"/>
  <c r="J110" i="48" s="1"/>
  <c r="K32" i="87"/>
  <c r="K33" i="87" s="1"/>
  <c r="K35" i="87" s="1"/>
  <c r="L110" i="48" s="1"/>
  <c r="M32" i="87"/>
  <c r="M33" i="87" s="1"/>
  <c r="M35" i="87" s="1"/>
  <c r="N110" i="48" s="1"/>
  <c r="B55" i="87"/>
  <c r="B56" i="87" s="1"/>
  <c r="D55" i="87"/>
  <c r="D56" i="87" s="1"/>
  <c r="D58" i="87" s="1"/>
  <c r="E156" i="48" s="1"/>
  <c r="F55" i="87"/>
  <c r="F56" i="87" s="1"/>
  <c r="F58" i="87" s="1"/>
  <c r="G156" i="48" s="1"/>
  <c r="H55" i="87"/>
  <c r="H56" i="87" s="1"/>
  <c r="H58" i="87" s="1"/>
  <c r="I156" i="48" s="1"/>
  <c r="J55" i="87"/>
  <c r="J56" i="87" s="1"/>
  <c r="J58" i="87" s="1"/>
  <c r="K156" i="48" s="1"/>
  <c r="L55" i="87"/>
  <c r="L56" i="87" s="1"/>
  <c r="L58" i="87" s="1"/>
  <c r="M156" i="48" s="1"/>
  <c r="B61" i="87"/>
  <c r="B84" i="87"/>
  <c r="D84" i="87"/>
  <c r="F84" i="87"/>
  <c r="H84" i="87"/>
  <c r="J84" i="87"/>
  <c r="L84" i="87"/>
  <c r="N77" i="87"/>
  <c r="J78" i="87"/>
  <c r="J79" i="87" s="1"/>
  <c r="J81" i="87" s="1"/>
  <c r="K207" i="48" s="1"/>
  <c r="C108" i="87"/>
  <c r="C109" i="87" s="1"/>
  <c r="E108" i="87"/>
  <c r="E109" i="87" s="1"/>
  <c r="G108" i="87"/>
  <c r="G109" i="87" s="1"/>
  <c r="I108" i="87"/>
  <c r="I109" i="87" s="1"/>
  <c r="K108" i="87"/>
  <c r="K109" i="87" s="1"/>
  <c r="M108" i="87"/>
  <c r="M109" i="87" s="1"/>
  <c r="B22" i="87"/>
  <c r="B32" i="87"/>
  <c r="B33" i="87" s="1"/>
  <c r="D32" i="87"/>
  <c r="D33" i="87" s="1"/>
  <c r="D35" i="87" s="1"/>
  <c r="E110" i="48" s="1"/>
  <c r="F32" i="87"/>
  <c r="F33" i="87" s="1"/>
  <c r="F35" i="87" s="1"/>
  <c r="G110" i="48" s="1"/>
  <c r="H32" i="87"/>
  <c r="H33" i="87" s="1"/>
  <c r="H35" i="87" s="1"/>
  <c r="I110" i="48" s="1"/>
  <c r="J32" i="87"/>
  <c r="J33" i="87" s="1"/>
  <c r="J35" i="87" s="1"/>
  <c r="K110" i="48" s="1"/>
  <c r="L32" i="87"/>
  <c r="L33" i="87" s="1"/>
  <c r="L35" i="87" s="1"/>
  <c r="M110" i="48" s="1"/>
  <c r="C55" i="87"/>
  <c r="C56" i="87" s="1"/>
  <c r="C58" i="87" s="1"/>
  <c r="D156" i="48" s="1"/>
  <c r="E55" i="87"/>
  <c r="E56" i="87" s="1"/>
  <c r="E58" i="87" s="1"/>
  <c r="F156" i="48" s="1"/>
  <c r="G55" i="87"/>
  <c r="I55" i="87"/>
  <c r="I56" i="87" s="1"/>
  <c r="I58" i="87" s="1"/>
  <c r="J156" i="48" s="1"/>
  <c r="K55" i="87"/>
  <c r="K56" i="87" s="1"/>
  <c r="K58" i="87" s="1"/>
  <c r="L156" i="48" s="1"/>
  <c r="M55" i="87"/>
  <c r="M56" i="87" s="1"/>
  <c r="M58" i="87" s="1"/>
  <c r="N156" i="48" s="1"/>
  <c r="G56" i="87"/>
  <c r="G58" i="87" s="1"/>
  <c r="H156" i="48" s="1"/>
  <c r="C84" i="87"/>
  <c r="C79" i="87"/>
  <c r="C81" i="87" s="1"/>
  <c r="D207" i="48" s="1"/>
  <c r="E84" i="87"/>
  <c r="E79" i="87"/>
  <c r="E81" i="87" s="1"/>
  <c r="F207" i="48" s="1"/>
  <c r="G84" i="87"/>
  <c r="G79" i="87"/>
  <c r="G81" i="87" s="1"/>
  <c r="H207" i="48" s="1"/>
  <c r="I84" i="87"/>
  <c r="I78" i="87"/>
  <c r="I79" i="87" s="1"/>
  <c r="I81" i="87" s="1"/>
  <c r="J207" i="48" s="1"/>
  <c r="K84" i="87"/>
  <c r="K78" i="87"/>
  <c r="K79" i="87" s="1"/>
  <c r="K81" i="87" s="1"/>
  <c r="L207" i="48" s="1"/>
  <c r="M84" i="87"/>
  <c r="M78" i="87"/>
  <c r="M79" i="87" s="1"/>
  <c r="M81" i="87" s="1"/>
  <c r="N207" i="48" s="1"/>
  <c r="B78" i="87"/>
  <c r="D78" i="87"/>
  <c r="D79" i="87" s="1"/>
  <c r="D81" i="87" s="1"/>
  <c r="E207" i="48" s="1"/>
  <c r="F78" i="87"/>
  <c r="F79" i="87" s="1"/>
  <c r="F81" i="87" s="1"/>
  <c r="G207" i="48" s="1"/>
  <c r="H78" i="87"/>
  <c r="H79" i="87" s="1"/>
  <c r="H81" i="87" s="1"/>
  <c r="I207" i="48" s="1"/>
  <c r="L78" i="87"/>
  <c r="L79" i="87" s="1"/>
  <c r="L81" i="87" s="1"/>
  <c r="M207" i="48" s="1"/>
  <c r="N107" i="87"/>
  <c r="B108" i="87"/>
  <c r="B109" i="87" s="1"/>
  <c r="D108" i="87"/>
  <c r="D109" i="87" s="1"/>
  <c r="F108" i="87"/>
  <c r="F109" i="87" s="1"/>
  <c r="H108" i="87"/>
  <c r="H109" i="87" s="1"/>
  <c r="N100" i="87"/>
  <c r="C101" i="87"/>
  <c r="C102" i="87" s="1"/>
  <c r="C104" i="87" s="1"/>
  <c r="D259" i="48" s="1"/>
  <c r="E101" i="87"/>
  <c r="E102" i="87" s="1"/>
  <c r="E104" i="87" s="1"/>
  <c r="F259" i="48" s="1"/>
  <c r="G101" i="87"/>
  <c r="G102" i="87" s="1"/>
  <c r="G104" i="87" s="1"/>
  <c r="H259" i="48" s="1"/>
  <c r="I101" i="87"/>
  <c r="I102" i="87" s="1"/>
  <c r="I104" i="87" s="1"/>
  <c r="J259" i="48" s="1"/>
  <c r="K101" i="87"/>
  <c r="K102" i="87" s="1"/>
  <c r="K104" i="87" s="1"/>
  <c r="L259" i="48" s="1"/>
  <c r="M101" i="87"/>
  <c r="M102" i="87" s="1"/>
  <c r="M104" i="87" s="1"/>
  <c r="N259" i="48" s="1"/>
  <c r="L108" i="87"/>
  <c r="L109" i="87" s="1"/>
  <c r="C131" i="87"/>
  <c r="C132" i="87" s="1"/>
  <c r="E131" i="87"/>
  <c r="E132" i="87" s="1"/>
  <c r="G131" i="87"/>
  <c r="G132" i="87" s="1"/>
  <c r="I131" i="87"/>
  <c r="I132" i="87" s="1"/>
  <c r="K131" i="87"/>
  <c r="K132" i="87" s="1"/>
  <c r="M131" i="87"/>
  <c r="M132" i="87" s="1"/>
  <c r="B101" i="87"/>
  <c r="B102" i="87" s="1"/>
  <c r="D101" i="87"/>
  <c r="D102" i="87" s="1"/>
  <c r="D104" i="87" s="1"/>
  <c r="E259" i="48" s="1"/>
  <c r="F101" i="87"/>
  <c r="F102" i="87" s="1"/>
  <c r="F104" i="87" s="1"/>
  <c r="G259" i="48" s="1"/>
  <c r="H101" i="87"/>
  <c r="H102" i="87" s="1"/>
  <c r="H104" i="87" s="1"/>
  <c r="I259" i="48" s="1"/>
  <c r="J101" i="87"/>
  <c r="J102" i="87" s="1"/>
  <c r="J104" i="87" s="1"/>
  <c r="K259" i="48" s="1"/>
  <c r="L101" i="87"/>
  <c r="L102" i="87" s="1"/>
  <c r="L104" i="87" s="1"/>
  <c r="M259" i="48" s="1"/>
  <c r="J108" i="87"/>
  <c r="J109" i="87" s="1"/>
  <c r="N130" i="87"/>
  <c r="B131" i="87"/>
  <c r="B132" i="87" s="1"/>
  <c r="D131" i="87"/>
  <c r="D132" i="87" s="1"/>
  <c r="F131" i="87"/>
  <c r="F132" i="87" s="1"/>
  <c r="H131" i="87"/>
  <c r="H132" i="87" s="1"/>
  <c r="J131" i="87"/>
  <c r="J132" i="87" s="1"/>
  <c r="L131" i="87"/>
  <c r="L132" i="87" s="1"/>
  <c r="N123" i="87"/>
  <c r="C124" i="87"/>
  <c r="C125" i="87" s="1"/>
  <c r="C127" i="87" s="1"/>
  <c r="D309" i="48" s="1"/>
  <c r="E124" i="87"/>
  <c r="E125" i="87" s="1"/>
  <c r="E127" i="87" s="1"/>
  <c r="F309" i="48" s="1"/>
  <c r="G124" i="87"/>
  <c r="G125" i="87" s="1"/>
  <c r="G127" i="87" s="1"/>
  <c r="H309" i="48" s="1"/>
  <c r="I124" i="87"/>
  <c r="I125" i="87" s="1"/>
  <c r="I127" i="87" s="1"/>
  <c r="J309" i="48" s="1"/>
  <c r="K124" i="87"/>
  <c r="K125" i="87" s="1"/>
  <c r="K127" i="87" s="1"/>
  <c r="L309" i="48" s="1"/>
  <c r="M124" i="87"/>
  <c r="M125" i="87" s="1"/>
  <c r="M127" i="87" s="1"/>
  <c r="N309" i="48" s="1"/>
  <c r="B125" i="87"/>
  <c r="D125" i="87"/>
  <c r="D127" i="87" s="1"/>
  <c r="E309" i="48" s="1"/>
  <c r="F125" i="87"/>
  <c r="F127" i="87" s="1"/>
  <c r="G309" i="48" s="1"/>
  <c r="H125" i="87"/>
  <c r="H127" i="87" s="1"/>
  <c r="I309" i="48" s="1"/>
  <c r="J125" i="87"/>
  <c r="J127" i="87" s="1"/>
  <c r="K309" i="48" s="1"/>
  <c r="L125" i="87"/>
  <c r="L127" i="87" s="1"/>
  <c r="M309" i="48" s="1"/>
  <c r="H30" i="93" l="1"/>
  <c r="H414" i="16"/>
  <c r="H424" i="64"/>
  <c r="H31" i="93"/>
  <c r="H424" i="16"/>
  <c r="H439" i="64"/>
  <c r="N150" i="87"/>
  <c r="C356" i="48"/>
  <c r="O356" i="48" s="1"/>
  <c r="N404" i="4"/>
  <c r="D413" i="4"/>
  <c r="D414" i="4" s="1"/>
  <c r="D418" i="4"/>
  <c r="D409" i="4"/>
  <c r="B423" i="4"/>
  <c r="B419" i="4"/>
  <c r="H429" i="4"/>
  <c r="I427" i="4"/>
  <c r="K424" i="4"/>
  <c r="K428" i="4"/>
  <c r="M413" i="4"/>
  <c r="M418" i="4"/>
  <c r="M423" i="4" s="1"/>
  <c r="H414" i="4"/>
  <c r="I412" i="4"/>
  <c r="H409" i="4"/>
  <c r="C423" i="4"/>
  <c r="C419" i="4"/>
  <c r="I413" i="4"/>
  <c r="I418" i="4"/>
  <c r="I423" i="4" s="1"/>
  <c r="L413" i="4"/>
  <c r="L418" i="4"/>
  <c r="L423" i="4" s="1"/>
  <c r="J424" i="4"/>
  <c r="J428" i="4"/>
  <c r="E413" i="4"/>
  <c r="E414" i="4" s="1"/>
  <c r="E418" i="4"/>
  <c r="E409" i="4"/>
  <c r="G419" i="4"/>
  <c r="N155" i="87"/>
  <c r="N154" i="87"/>
  <c r="N124" i="87"/>
  <c r="N15" i="87"/>
  <c r="N21" i="87"/>
  <c r="N40" i="87"/>
  <c r="N132" i="87"/>
  <c r="N102" i="87"/>
  <c r="B104" i="87"/>
  <c r="N131" i="87"/>
  <c r="N108" i="87"/>
  <c r="M85" i="87"/>
  <c r="M86" i="87" s="1"/>
  <c r="I85" i="87"/>
  <c r="I86" i="87" s="1"/>
  <c r="G85" i="87"/>
  <c r="G86" i="87" s="1"/>
  <c r="E85" i="87"/>
  <c r="E86" i="87" s="1"/>
  <c r="C85" i="87"/>
  <c r="C86" i="87" s="1"/>
  <c r="N33" i="87"/>
  <c r="B35" i="87"/>
  <c r="N32" i="87"/>
  <c r="L85" i="87"/>
  <c r="L86" i="87" s="1"/>
  <c r="J85" i="87"/>
  <c r="J86" i="87" s="1"/>
  <c r="H85" i="87"/>
  <c r="H86" i="87" s="1"/>
  <c r="F85" i="87"/>
  <c r="F86" i="87" s="1"/>
  <c r="D85" i="87"/>
  <c r="D86" i="87" s="1"/>
  <c r="B85" i="87"/>
  <c r="B86" i="87" s="1"/>
  <c r="N84" i="87"/>
  <c r="J22" i="87"/>
  <c r="J23" i="87" s="1"/>
  <c r="F22" i="87"/>
  <c r="F23" i="87" s="1"/>
  <c r="N125" i="87"/>
  <c r="B127" i="87"/>
  <c r="N101" i="87"/>
  <c r="N109" i="87"/>
  <c r="N78" i="87"/>
  <c r="K85" i="87"/>
  <c r="K86" i="87" s="1"/>
  <c r="B79" i="87"/>
  <c r="B62" i="87"/>
  <c r="N62" i="87" s="1"/>
  <c r="N61" i="87"/>
  <c r="B58" i="87"/>
  <c r="N56" i="87"/>
  <c r="N55" i="87"/>
  <c r="L22" i="87"/>
  <c r="L23" i="87" s="1"/>
  <c r="H22" i="87"/>
  <c r="H23" i="87" s="1"/>
  <c r="D22" i="87"/>
  <c r="B18" i="87"/>
  <c r="N18" i="87" s="1"/>
  <c r="N16" i="87"/>
  <c r="N39" i="87"/>
  <c r="B23" i="87"/>
  <c r="I31" i="93" l="1"/>
  <c r="I424" i="16"/>
  <c r="I439" i="64"/>
  <c r="I30" i="93"/>
  <c r="I414" i="16"/>
  <c r="I424" i="64"/>
  <c r="N22" i="87"/>
  <c r="N58" i="87"/>
  <c r="C156" i="48"/>
  <c r="O156" i="48" s="1"/>
  <c r="N127" i="87"/>
  <c r="C309" i="48"/>
  <c r="O309" i="48" s="1"/>
  <c r="N35" i="87"/>
  <c r="C110" i="48"/>
  <c r="O110" i="48" s="1"/>
  <c r="N104" i="87"/>
  <c r="C259" i="48"/>
  <c r="O259" i="48" s="1"/>
  <c r="L428" i="4"/>
  <c r="L424" i="4"/>
  <c r="M424" i="4"/>
  <c r="M428" i="4"/>
  <c r="H419" i="4"/>
  <c r="C424" i="4"/>
  <c r="C428" i="4"/>
  <c r="C429" i="4" s="1"/>
  <c r="B424" i="4"/>
  <c r="B428" i="4"/>
  <c r="B429" i="4" s="1"/>
  <c r="I409" i="4"/>
  <c r="D423" i="4"/>
  <c r="D419" i="4"/>
  <c r="E423" i="4"/>
  <c r="E419" i="4"/>
  <c r="I424" i="4"/>
  <c r="I428" i="4"/>
  <c r="I429" i="4" s="1"/>
  <c r="I414" i="4"/>
  <c r="J412" i="4"/>
  <c r="J427" i="4"/>
  <c r="B63" i="87"/>
  <c r="D23" i="87"/>
  <c r="N86" i="87"/>
  <c r="B81" i="87"/>
  <c r="N79" i="87"/>
  <c r="N85" i="87"/>
  <c r="J30" i="93" l="1"/>
  <c r="J414" i="16"/>
  <c r="J424" i="64"/>
  <c r="J31" i="93"/>
  <c r="J439" i="64"/>
  <c r="J424" i="16"/>
  <c r="N23" i="87"/>
  <c r="N63" i="87"/>
  <c r="I419" i="4"/>
  <c r="J414" i="4"/>
  <c r="K412" i="4"/>
  <c r="J429" i="4"/>
  <c r="K427" i="4"/>
  <c r="E424" i="4"/>
  <c r="E428" i="4"/>
  <c r="E429" i="4" s="1"/>
  <c r="J409" i="4"/>
  <c r="D428" i="4"/>
  <c r="D429" i="4" s="1"/>
  <c r="D424" i="4"/>
  <c r="N81" i="87"/>
  <c r="C207" i="48"/>
  <c r="O207" i="48" s="1"/>
  <c r="K30" i="93" l="1"/>
  <c r="K414" i="16"/>
  <c r="K424" i="64"/>
  <c r="K31" i="93"/>
  <c r="K424" i="16"/>
  <c r="K439" i="64"/>
  <c r="L412" i="4"/>
  <c r="K414" i="4"/>
  <c r="J419" i="4"/>
  <c r="K409" i="4"/>
  <c r="K429" i="4"/>
  <c r="L427" i="4"/>
  <c r="N424" i="4"/>
  <c r="C161" i="61"/>
  <c r="C16" i="93" s="1"/>
  <c r="D161" i="61"/>
  <c r="E161" i="61"/>
  <c r="F161" i="61"/>
  <c r="G161" i="61"/>
  <c r="G16" i="93" s="1"/>
  <c r="H161" i="61"/>
  <c r="I161" i="61"/>
  <c r="J161" i="61"/>
  <c r="K161" i="61"/>
  <c r="K16" i="93" s="1"/>
  <c r="L161" i="61"/>
  <c r="M161" i="61"/>
  <c r="B161" i="61"/>
  <c r="M179" i="14"/>
  <c r="L179" i="14"/>
  <c r="K179" i="14"/>
  <c r="J179" i="14"/>
  <c r="I179" i="14"/>
  <c r="H179" i="14"/>
  <c r="G179" i="14"/>
  <c r="F179" i="14"/>
  <c r="E179" i="14"/>
  <c r="D179" i="14"/>
  <c r="C179" i="14"/>
  <c r="B179" i="14"/>
  <c r="O162" i="14"/>
  <c r="M175" i="61" l="1"/>
  <c r="M176" i="61" s="1"/>
  <c r="M177" i="61" s="1"/>
  <c r="M16" i="93"/>
  <c r="I168" i="61"/>
  <c r="I16" i="93"/>
  <c r="E175" i="61"/>
  <c r="E176" i="61" s="1"/>
  <c r="E177" i="61" s="1"/>
  <c r="E16" i="93"/>
  <c r="H175" i="61"/>
  <c r="H16" i="93"/>
  <c r="D175" i="61"/>
  <c r="D16" i="93"/>
  <c r="L168" i="61"/>
  <c r="L16" i="93"/>
  <c r="B168" i="61"/>
  <c r="B16" i="93"/>
  <c r="J168" i="61"/>
  <c r="J169" i="61" s="1"/>
  <c r="J170" i="61" s="1"/>
  <c r="J16" i="93"/>
  <c r="F162" i="61"/>
  <c r="F16" i="93"/>
  <c r="L31" i="93"/>
  <c r="L424" i="16"/>
  <c r="L439" i="64"/>
  <c r="L30" i="93"/>
  <c r="L414" i="16"/>
  <c r="L424" i="64"/>
  <c r="L429" i="4"/>
  <c r="M427" i="4"/>
  <c r="L414" i="4"/>
  <c r="M412" i="4"/>
  <c r="K419" i="4"/>
  <c r="L409" i="4"/>
  <c r="L175" i="61"/>
  <c r="L176" i="61" s="1"/>
  <c r="L177" i="61" s="1"/>
  <c r="D168" i="61"/>
  <c r="D169" i="61" s="1"/>
  <c r="D170" i="61" s="1"/>
  <c r="M168" i="61"/>
  <c r="M169" i="61" s="1"/>
  <c r="M170" i="61" s="1"/>
  <c r="I175" i="61"/>
  <c r="I176" i="61" s="1"/>
  <c r="I177" i="61" s="1"/>
  <c r="M162" i="61"/>
  <c r="M163" i="61" s="1"/>
  <c r="F175" i="61"/>
  <c r="F176" i="61" s="1"/>
  <c r="F177" i="61" s="1"/>
  <c r="B162" i="61"/>
  <c r="B163" i="61" s="1"/>
  <c r="H168" i="61"/>
  <c r="H169" i="61" s="1"/>
  <c r="H170" i="61" s="1"/>
  <c r="J162" i="61"/>
  <c r="J163" i="61" s="1"/>
  <c r="E168" i="61"/>
  <c r="E169" i="61" s="1"/>
  <c r="E170" i="61" s="1"/>
  <c r="N161" i="61"/>
  <c r="F168" i="61"/>
  <c r="F169" i="61" s="1"/>
  <c r="F170" i="61" s="1"/>
  <c r="I162" i="61"/>
  <c r="I163" i="61" s="1"/>
  <c r="E162" i="61"/>
  <c r="E163" i="61" s="1"/>
  <c r="J175" i="61"/>
  <c r="J176" i="61" s="1"/>
  <c r="J177" i="61" s="1"/>
  <c r="L169" i="61"/>
  <c r="L170" i="61" s="1"/>
  <c r="C175" i="61"/>
  <c r="C162" i="61"/>
  <c r="C163" i="61" s="1"/>
  <c r="C168" i="61"/>
  <c r="G175" i="61"/>
  <c r="G162" i="61"/>
  <c r="G163" i="61" s="1"/>
  <c r="G168" i="61"/>
  <c r="K175" i="61"/>
  <c r="K162" i="61"/>
  <c r="K163" i="61" s="1"/>
  <c r="K168" i="61"/>
  <c r="D176" i="61"/>
  <c r="D177" i="61" s="1"/>
  <c r="D162" i="61"/>
  <c r="D163" i="61" s="1"/>
  <c r="H162" i="61"/>
  <c r="H163" i="61" s="1"/>
  <c r="L162" i="61"/>
  <c r="L163" i="61" s="1"/>
  <c r="F163" i="61"/>
  <c r="B169" i="61"/>
  <c r="B175" i="61"/>
  <c r="I169" i="61"/>
  <c r="I170" i="61" s="1"/>
  <c r="H176" i="61"/>
  <c r="H177" i="61" s="1"/>
  <c r="I44" i="63"/>
  <c r="K25" i="63" s="1"/>
  <c r="I43" i="63"/>
  <c r="O16" i="93" l="1"/>
  <c r="N16" i="93"/>
  <c r="M30" i="93"/>
  <c r="M424" i="64"/>
  <c r="N424" i="64" s="1"/>
  <c r="M414" i="16"/>
  <c r="N414" i="16" s="1"/>
  <c r="M31" i="93"/>
  <c r="M424" i="16"/>
  <c r="N424" i="16" s="1"/>
  <c r="M439" i="64"/>
  <c r="N439" i="64" s="1"/>
  <c r="D25" i="63"/>
  <c r="B162" i="14" s="1"/>
  <c r="J43" i="63"/>
  <c r="M409" i="4"/>
  <c r="N407" i="4"/>
  <c r="L419" i="4"/>
  <c r="M414" i="4"/>
  <c r="N414" i="4" s="1"/>
  <c r="N412" i="4"/>
  <c r="M429" i="4"/>
  <c r="N429" i="4" s="1"/>
  <c r="N427" i="4"/>
  <c r="I162" i="14"/>
  <c r="I17" i="93" s="1"/>
  <c r="N168" i="61"/>
  <c r="N162" i="61"/>
  <c r="B170" i="61"/>
  <c r="G169" i="61"/>
  <c r="G170" i="61" s="1"/>
  <c r="C169" i="61"/>
  <c r="C170" i="61" s="1"/>
  <c r="K169" i="61"/>
  <c r="K170" i="61" s="1"/>
  <c r="B176" i="61"/>
  <c r="N175" i="61"/>
  <c r="N163" i="61"/>
  <c r="K176" i="61"/>
  <c r="K177" i="61" s="1"/>
  <c r="G176" i="61"/>
  <c r="G177" i="61" s="1"/>
  <c r="C176" i="61"/>
  <c r="C177" i="61" s="1"/>
  <c r="O30" i="93" l="1"/>
  <c r="N30" i="93"/>
  <c r="B163" i="14"/>
  <c r="B164" i="14" s="1"/>
  <c r="B17" i="93"/>
  <c r="O31" i="93"/>
  <c r="N31" i="93"/>
  <c r="B176" i="14"/>
  <c r="B177" i="14" s="1"/>
  <c r="B178" i="14" s="1"/>
  <c r="B180" i="14" s="1"/>
  <c r="B169" i="14"/>
  <c r="B170" i="14" s="1"/>
  <c r="M419" i="4"/>
  <c r="N419" i="4" s="1"/>
  <c r="N417" i="4"/>
  <c r="N409" i="4"/>
  <c r="I163" i="14"/>
  <c r="I164" i="14" s="1"/>
  <c r="I176" i="14"/>
  <c r="I177" i="14" s="1"/>
  <c r="I178" i="14" s="1"/>
  <c r="I180" i="14" s="1"/>
  <c r="I169" i="14"/>
  <c r="I170" i="14" s="1"/>
  <c r="I171" i="14" s="1"/>
  <c r="N169" i="61"/>
  <c r="N176" i="61"/>
  <c r="B177" i="61"/>
  <c r="N177" i="61" s="1"/>
  <c r="N170" i="61"/>
  <c r="B171" i="14" l="1"/>
  <c r="J338" i="48"/>
  <c r="C338" i="48"/>
  <c r="K101" i="53" l="1"/>
  <c r="L346" i="48" s="1"/>
  <c r="H101" i="53"/>
  <c r="I346" i="48" s="1"/>
  <c r="N98" i="53"/>
  <c r="N97" i="53"/>
  <c r="N96" i="53"/>
  <c r="M95" i="53"/>
  <c r="M101" i="53" s="1"/>
  <c r="N346" i="48" s="1"/>
  <c r="L95" i="53"/>
  <c r="L101" i="53" s="1"/>
  <c r="M346" i="48" s="1"/>
  <c r="K95" i="53"/>
  <c r="J95" i="53"/>
  <c r="J101" i="53" s="1"/>
  <c r="K346" i="48" s="1"/>
  <c r="I95" i="53"/>
  <c r="I101" i="53" s="1"/>
  <c r="J346" i="48" s="1"/>
  <c r="H95" i="53"/>
  <c r="G95" i="53"/>
  <c r="G101" i="53" s="1"/>
  <c r="H346" i="48" s="1"/>
  <c r="F95" i="53"/>
  <c r="F101" i="53" s="1"/>
  <c r="G346" i="48" s="1"/>
  <c r="E95" i="53"/>
  <c r="E101" i="53" s="1"/>
  <c r="F346" i="48" s="1"/>
  <c r="D95" i="53"/>
  <c r="D101" i="53" s="1"/>
  <c r="E346" i="48" s="1"/>
  <c r="C95" i="53"/>
  <c r="C101" i="53" s="1"/>
  <c r="D346" i="48" s="1"/>
  <c r="B95" i="53"/>
  <c r="B101" i="53" s="1"/>
  <c r="C346" i="48" s="1"/>
  <c r="N94" i="53"/>
  <c r="N93" i="53"/>
  <c r="C101" i="24"/>
  <c r="D101" i="24"/>
  <c r="E101" i="24"/>
  <c r="F101" i="24"/>
  <c r="G101" i="24"/>
  <c r="H101" i="24"/>
  <c r="I101" i="24"/>
  <c r="J101" i="24"/>
  <c r="K101" i="24"/>
  <c r="L101" i="24"/>
  <c r="M101" i="24"/>
  <c r="B101" i="24"/>
  <c r="A173" i="18"/>
  <c r="A168" i="18"/>
  <c r="N159" i="18"/>
  <c r="C161" i="18"/>
  <c r="C18" i="93" s="1"/>
  <c r="D161" i="18"/>
  <c r="D18" i="93" s="1"/>
  <c r="E161" i="18"/>
  <c r="F161" i="18"/>
  <c r="F18" i="93" s="1"/>
  <c r="G161" i="18"/>
  <c r="G18" i="93" s="1"/>
  <c r="H161" i="18"/>
  <c r="H18" i="93" s="1"/>
  <c r="I161" i="18"/>
  <c r="J161" i="18"/>
  <c r="K161" i="18"/>
  <c r="K18" i="93" s="1"/>
  <c r="L161" i="18"/>
  <c r="L18" i="93" s="1"/>
  <c r="M161" i="18"/>
  <c r="M18" i="93" s="1"/>
  <c r="B161" i="18"/>
  <c r="B14" i="47"/>
  <c r="C13" i="47"/>
  <c r="D13" i="47"/>
  <c r="E13" i="47"/>
  <c r="F13" i="47"/>
  <c r="G13" i="47"/>
  <c r="H13" i="47"/>
  <c r="I13" i="47"/>
  <c r="J13" i="47"/>
  <c r="K13" i="47"/>
  <c r="L13" i="47"/>
  <c r="M13" i="47"/>
  <c r="B13" i="47"/>
  <c r="M116" i="49"/>
  <c r="L116" i="49"/>
  <c r="K116" i="49"/>
  <c r="J116" i="49"/>
  <c r="I116" i="49"/>
  <c r="H116" i="49"/>
  <c r="G116" i="49"/>
  <c r="F116" i="49"/>
  <c r="E116" i="49"/>
  <c r="D116" i="49"/>
  <c r="C116" i="49"/>
  <c r="B116" i="49"/>
  <c r="J20" i="68"/>
  <c r="C116" i="70"/>
  <c r="D116" i="70"/>
  <c r="E116" i="70"/>
  <c r="F116" i="70"/>
  <c r="G116" i="70"/>
  <c r="H116" i="70"/>
  <c r="I116" i="70"/>
  <c r="J116" i="70"/>
  <c r="K116" i="70"/>
  <c r="L116" i="70"/>
  <c r="M116" i="70"/>
  <c r="B116" i="70"/>
  <c r="Q17" i="71"/>
  <c r="L118" i="70" l="1"/>
  <c r="L117" i="70" s="1"/>
  <c r="B13" i="93"/>
  <c r="B118" i="49"/>
  <c r="B117" i="49" s="1"/>
  <c r="M118" i="70"/>
  <c r="M117" i="70" s="1"/>
  <c r="I14" i="93"/>
  <c r="I118" i="70"/>
  <c r="I117" i="70" s="1"/>
  <c r="E118" i="70"/>
  <c r="E117" i="70" s="1"/>
  <c r="E13" i="93"/>
  <c r="E118" i="49"/>
  <c r="E117" i="49" s="1"/>
  <c r="I13" i="93"/>
  <c r="I118" i="49"/>
  <c r="I117" i="49" s="1"/>
  <c r="M13" i="93"/>
  <c r="M118" i="49"/>
  <c r="M117" i="49" s="1"/>
  <c r="D118" i="70"/>
  <c r="D117" i="70" s="1"/>
  <c r="J13" i="93"/>
  <c r="J118" i="49"/>
  <c r="J117" i="49" s="1"/>
  <c r="K118" i="70"/>
  <c r="K117" i="70" s="1"/>
  <c r="G118" i="70"/>
  <c r="G117" i="70" s="1"/>
  <c r="C118" i="49"/>
  <c r="C117" i="49" s="1"/>
  <c r="G118" i="49"/>
  <c r="G117" i="49" s="1"/>
  <c r="K118" i="49"/>
  <c r="K117" i="49" s="1"/>
  <c r="B160" i="18"/>
  <c r="B163" i="18" s="1"/>
  <c r="B168" i="18" s="1"/>
  <c r="B18" i="93"/>
  <c r="J160" i="18"/>
  <c r="J163" i="18" s="1"/>
  <c r="J168" i="18" s="1"/>
  <c r="J18" i="93"/>
  <c r="H118" i="70"/>
  <c r="H117" i="70" s="1"/>
  <c r="F13" i="93"/>
  <c r="F118" i="49"/>
  <c r="F117" i="49" s="1"/>
  <c r="B14" i="93"/>
  <c r="B118" i="70"/>
  <c r="B117" i="70" s="1"/>
  <c r="J14" i="93"/>
  <c r="J118" i="70"/>
  <c r="J117" i="70" s="1"/>
  <c r="F14" i="93"/>
  <c r="F118" i="70"/>
  <c r="F117" i="70" s="1"/>
  <c r="D118" i="49"/>
  <c r="D117" i="49"/>
  <c r="H118" i="49"/>
  <c r="H117" i="49" s="1"/>
  <c r="L118" i="49"/>
  <c r="L117" i="49" s="1"/>
  <c r="I160" i="18"/>
  <c r="I163" i="18" s="1"/>
  <c r="I168" i="18" s="1"/>
  <c r="I18" i="93"/>
  <c r="E160" i="18"/>
  <c r="E163" i="18" s="1"/>
  <c r="E18" i="93"/>
  <c r="C118" i="70"/>
  <c r="C117" i="70" s="1"/>
  <c r="G14" i="93"/>
  <c r="C14" i="93"/>
  <c r="M123" i="70"/>
  <c r="M14" i="93"/>
  <c r="E123" i="70"/>
  <c r="E14" i="93"/>
  <c r="C13" i="93"/>
  <c r="G123" i="49"/>
  <c r="G13" i="93"/>
  <c r="K13" i="93"/>
  <c r="K14" i="93"/>
  <c r="L123" i="70"/>
  <c r="L14" i="93"/>
  <c r="H14" i="93"/>
  <c r="D123" i="70"/>
  <c r="D14" i="93"/>
  <c r="D123" i="49"/>
  <c r="D13" i="93"/>
  <c r="H123" i="49"/>
  <c r="H13" i="93"/>
  <c r="L13" i="93"/>
  <c r="C123" i="49"/>
  <c r="M103" i="24"/>
  <c r="M102" i="24" s="1"/>
  <c r="M105" i="24" s="1"/>
  <c r="M160" i="18"/>
  <c r="M163" i="18" s="1"/>
  <c r="M162" i="18" s="1"/>
  <c r="F103" i="24"/>
  <c r="F102" i="24" s="1"/>
  <c r="F105" i="24" s="1"/>
  <c r="F160" i="18"/>
  <c r="F163" i="18" s="1"/>
  <c r="F162" i="18" s="1"/>
  <c r="L160" i="18"/>
  <c r="L163" i="18" s="1"/>
  <c r="L173" i="18" s="1"/>
  <c r="L103" i="24"/>
  <c r="L102" i="24" s="1"/>
  <c r="L105" i="24" s="1"/>
  <c r="D103" i="24"/>
  <c r="D102" i="24" s="1"/>
  <c r="D105" i="24" s="1"/>
  <c r="D160" i="18"/>
  <c r="D163" i="18" s="1"/>
  <c r="D162" i="18" s="1"/>
  <c r="K160" i="18"/>
  <c r="K163" i="18" s="1"/>
  <c r="K162" i="18" s="1"/>
  <c r="K103" i="24"/>
  <c r="K102" i="24" s="1"/>
  <c r="K105" i="24" s="1"/>
  <c r="G160" i="18"/>
  <c r="G163" i="18" s="1"/>
  <c r="G168" i="18" s="1"/>
  <c r="G103" i="24"/>
  <c r="G102" i="24" s="1"/>
  <c r="G105" i="24" s="1"/>
  <c r="G104" i="24" s="1"/>
  <c r="C160" i="18"/>
  <c r="C163" i="18" s="1"/>
  <c r="C173" i="18" s="1"/>
  <c r="C103" i="24"/>
  <c r="C102" i="24" s="1"/>
  <c r="C105" i="24" s="1"/>
  <c r="C104" i="24" s="1"/>
  <c r="N161" i="18"/>
  <c r="H103" i="24"/>
  <c r="H102" i="24" s="1"/>
  <c r="H105" i="24" s="1"/>
  <c r="H160" i="18"/>
  <c r="H163" i="18" s="1"/>
  <c r="H168" i="18" s="1"/>
  <c r="J103" i="24"/>
  <c r="J102" i="24" s="1"/>
  <c r="J105" i="24" s="1"/>
  <c r="J104" i="24" s="1"/>
  <c r="I103" i="24"/>
  <c r="I102" i="24" s="1"/>
  <c r="I105" i="24" s="1"/>
  <c r="E103" i="24"/>
  <c r="B103" i="24"/>
  <c r="B102" i="24" s="1"/>
  <c r="B105" i="24" s="1"/>
  <c r="B104" i="24" s="1"/>
  <c r="N95" i="53"/>
  <c r="N101" i="53" s="1"/>
  <c r="B162" i="18"/>
  <c r="E168" i="18"/>
  <c r="E162" i="18"/>
  <c r="E173" i="18"/>
  <c r="N101" i="24"/>
  <c r="K123" i="49"/>
  <c r="L123" i="49"/>
  <c r="E123" i="49"/>
  <c r="M123" i="49"/>
  <c r="I123" i="49"/>
  <c r="B123" i="49"/>
  <c r="F123" i="49"/>
  <c r="J123" i="49"/>
  <c r="N116" i="49"/>
  <c r="H123" i="70"/>
  <c r="I123" i="70"/>
  <c r="N116" i="70"/>
  <c r="B123" i="70"/>
  <c r="F123" i="70"/>
  <c r="J123" i="70"/>
  <c r="C123" i="70"/>
  <c r="G123" i="70"/>
  <c r="K123" i="70"/>
  <c r="I173" i="18" l="1"/>
  <c r="B173" i="18"/>
  <c r="I162" i="18"/>
  <c r="J162" i="18"/>
  <c r="J173" i="18"/>
  <c r="M173" i="18"/>
  <c r="J125" i="49"/>
  <c r="J124" i="49" s="1"/>
  <c r="C125" i="49"/>
  <c r="C124" i="49" s="1"/>
  <c r="F125" i="49"/>
  <c r="F124" i="49" s="1"/>
  <c r="F125" i="70"/>
  <c r="F124" i="70" s="1"/>
  <c r="H125" i="70"/>
  <c r="H124" i="70" s="1"/>
  <c r="B125" i="49"/>
  <c r="B124" i="49" s="1"/>
  <c r="L125" i="49"/>
  <c r="L124" i="49" s="1"/>
  <c r="G125" i="70"/>
  <c r="G124" i="70" s="1"/>
  <c r="B125" i="70"/>
  <c r="B124" i="70" s="1"/>
  <c r="I125" i="49"/>
  <c r="I124" i="49" s="1"/>
  <c r="K125" i="49"/>
  <c r="K124" i="49" s="1"/>
  <c r="H125" i="49"/>
  <c r="H124" i="49" s="1"/>
  <c r="D125" i="70"/>
  <c r="D124" i="70" s="1"/>
  <c r="M125" i="70"/>
  <c r="M124" i="70" s="1"/>
  <c r="B24" i="93"/>
  <c r="I125" i="70"/>
  <c r="I124" i="70" s="1"/>
  <c r="D125" i="49"/>
  <c r="D124" i="49" s="1"/>
  <c r="E125" i="70"/>
  <c r="E124" i="70" s="1"/>
  <c r="I24" i="93"/>
  <c r="M125" i="49"/>
  <c r="M124" i="49" s="1"/>
  <c r="J125" i="70"/>
  <c r="J124" i="70" s="1"/>
  <c r="E125" i="49"/>
  <c r="E124" i="49" s="1"/>
  <c r="K125" i="70"/>
  <c r="K124" i="70" s="1"/>
  <c r="L125" i="70"/>
  <c r="L124" i="70" s="1"/>
  <c r="G125" i="49"/>
  <c r="G124" i="49" s="1"/>
  <c r="N18" i="93"/>
  <c r="O18" i="93"/>
  <c r="C125" i="70"/>
  <c r="C124" i="70" s="1"/>
  <c r="O14" i="93"/>
  <c r="N14" i="93"/>
  <c r="O13" i="93"/>
  <c r="N13" i="93"/>
  <c r="M168" i="18"/>
  <c r="L162" i="18"/>
  <c r="L168" i="18"/>
  <c r="K104" i="24"/>
  <c r="G173" i="18"/>
  <c r="F173" i="18"/>
  <c r="H162" i="18"/>
  <c r="G162" i="18"/>
  <c r="C162" i="18"/>
  <c r="F104" i="24"/>
  <c r="K173" i="18"/>
  <c r="K168" i="18"/>
  <c r="C168" i="18"/>
  <c r="F168" i="18"/>
  <c r="N103" i="24"/>
  <c r="H173" i="18"/>
  <c r="N160" i="18"/>
  <c r="D168" i="18"/>
  <c r="E102" i="24"/>
  <c r="E105" i="24" s="1"/>
  <c r="N105" i="24" s="1"/>
  <c r="D173" i="18"/>
  <c r="N163" i="18"/>
  <c r="L104" i="24"/>
  <c r="M104" i="24"/>
  <c r="H104" i="24"/>
  <c r="I104" i="24"/>
  <c r="D104" i="24"/>
  <c r="N117" i="49"/>
  <c r="N123" i="49"/>
  <c r="N117" i="70"/>
  <c r="N123" i="70"/>
  <c r="N162" i="18" l="1"/>
  <c r="E104" i="24"/>
  <c r="N104" i="24" s="1"/>
  <c r="N173" i="18"/>
  <c r="N168" i="18"/>
  <c r="N102" i="24"/>
  <c r="N124" i="49"/>
  <c r="N118" i="49"/>
  <c r="N125" i="70"/>
  <c r="N118" i="70"/>
  <c r="N124" i="70"/>
  <c r="N125" i="49" l="1"/>
  <c r="N352" i="48" l="1"/>
  <c r="M352" i="48"/>
  <c r="L352" i="48"/>
  <c r="K352" i="48"/>
  <c r="J352" i="48"/>
  <c r="I352" i="48"/>
  <c r="H352" i="48"/>
  <c r="G352" i="48"/>
  <c r="F352" i="48"/>
  <c r="E352" i="48"/>
  <c r="D352" i="48"/>
  <c r="C352" i="48"/>
  <c r="N351" i="48"/>
  <c r="M351" i="48"/>
  <c r="L351" i="48"/>
  <c r="K351" i="48"/>
  <c r="J351" i="48"/>
  <c r="I351" i="48"/>
  <c r="H351" i="48"/>
  <c r="G351" i="48"/>
  <c r="F351" i="48"/>
  <c r="E351" i="48"/>
  <c r="D351" i="48"/>
  <c r="C351" i="48"/>
  <c r="O351" i="48" l="1"/>
  <c r="B205" i="75" s="1"/>
  <c r="D205" i="75" s="1"/>
  <c r="O352" i="48"/>
  <c r="O355" i="48"/>
  <c r="B209" i="75" s="1"/>
  <c r="O346" i="48"/>
  <c r="D209" i="75" l="1"/>
  <c r="E209" i="75" s="1"/>
  <c r="B202" i="75"/>
  <c r="D202" i="75" s="1"/>
  <c r="E202" i="75" s="1"/>
  <c r="N61" i="61" l="1"/>
  <c r="B69" i="4"/>
  <c r="N79" i="4"/>
  <c r="N84" i="4"/>
  <c r="C23" i="4"/>
  <c r="D23" i="4"/>
  <c r="E23" i="4"/>
  <c r="F23" i="4"/>
  <c r="G23" i="4"/>
  <c r="H23" i="4"/>
  <c r="I23" i="4"/>
  <c r="J23" i="4"/>
  <c r="K23" i="4"/>
  <c r="L23" i="4"/>
  <c r="M23" i="4"/>
  <c r="B23" i="4"/>
  <c r="C134" i="16"/>
  <c r="D134" i="16"/>
  <c r="E134" i="16"/>
  <c r="F134" i="16"/>
  <c r="G134" i="16"/>
  <c r="H134" i="16"/>
  <c r="I134" i="16"/>
  <c r="J134" i="16"/>
  <c r="K134" i="16"/>
  <c r="L134" i="16"/>
  <c r="M134" i="16"/>
  <c r="C138" i="64"/>
  <c r="D138" i="64"/>
  <c r="E138" i="64"/>
  <c r="F138" i="64"/>
  <c r="G138" i="64"/>
  <c r="H138" i="64"/>
  <c r="I138" i="64"/>
  <c r="J138" i="64"/>
  <c r="K138" i="64"/>
  <c r="L138" i="64"/>
  <c r="M138" i="64"/>
  <c r="D74" i="4"/>
  <c r="E74" i="4"/>
  <c r="H74" i="4"/>
  <c r="L74" i="4"/>
  <c r="M74" i="4"/>
  <c r="C13" i="4"/>
  <c r="D13" i="4"/>
  <c r="E13" i="4"/>
  <c r="F13" i="4"/>
  <c r="F74" i="4" s="1"/>
  <c r="G13" i="4"/>
  <c r="H13" i="4"/>
  <c r="I13" i="4"/>
  <c r="I74" i="4" s="1"/>
  <c r="J13" i="4"/>
  <c r="J74" i="4" s="1"/>
  <c r="K13" i="4"/>
  <c r="K74" i="4" s="1"/>
  <c r="L13" i="4"/>
  <c r="M13" i="4"/>
  <c r="B13" i="4"/>
  <c r="B74" i="4" s="1"/>
  <c r="L178" i="64"/>
  <c r="B178" i="64"/>
  <c r="G227" i="4"/>
  <c r="G287" i="4" s="1"/>
  <c r="K227" i="4"/>
  <c r="K287" i="4" s="1"/>
  <c r="M28" i="4"/>
  <c r="C28" i="4"/>
  <c r="C227" i="4" s="1"/>
  <c r="C287" i="4" s="1"/>
  <c r="D28" i="4"/>
  <c r="E28" i="4"/>
  <c r="F28" i="4"/>
  <c r="G28" i="4"/>
  <c r="H28" i="4"/>
  <c r="I28" i="4"/>
  <c r="J28" i="4"/>
  <c r="K28" i="4"/>
  <c r="L28" i="4"/>
  <c r="B28" i="4"/>
  <c r="C109" i="64"/>
  <c r="D109" i="64"/>
  <c r="E109" i="64"/>
  <c r="F109" i="64"/>
  <c r="G109" i="64"/>
  <c r="H109" i="64"/>
  <c r="I109" i="64"/>
  <c r="J109" i="64"/>
  <c r="K109" i="64"/>
  <c r="L109" i="64"/>
  <c r="M109" i="64"/>
  <c r="C8" i="69"/>
  <c r="D8" i="69"/>
  <c r="E8" i="69"/>
  <c r="F8" i="69"/>
  <c r="G8" i="69"/>
  <c r="H8" i="69"/>
  <c r="I8" i="69"/>
  <c r="J8" i="69"/>
  <c r="K8" i="69"/>
  <c r="L8" i="69"/>
  <c r="M8" i="69"/>
  <c r="C9" i="69"/>
  <c r="D9" i="69"/>
  <c r="E9" i="69"/>
  <c r="F9" i="69"/>
  <c r="G9" i="69"/>
  <c r="H9" i="69"/>
  <c r="I9" i="69"/>
  <c r="J9" i="69"/>
  <c r="K9" i="69"/>
  <c r="L9" i="69"/>
  <c r="M9" i="69"/>
  <c r="B9" i="69"/>
  <c r="B8" i="69"/>
  <c r="N9" i="69"/>
  <c r="N8" i="69"/>
  <c r="C68" i="61"/>
  <c r="C75" i="61" s="1"/>
  <c r="D68" i="61"/>
  <c r="D75" i="61" s="1"/>
  <c r="E68" i="61"/>
  <c r="E75" i="61" s="1"/>
  <c r="F68" i="61"/>
  <c r="F75" i="61" s="1"/>
  <c r="G68" i="61"/>
  <c r="G75" i="61" s="1"/>
  <c r="H68" i="61"/>
  <c r="H75" i="61" s="1"/>
  <c r="I68" i="61"/>
  <c r="I75" i="61" s="1"/>
  <c r="J68" i="61"/>
  <c r="J75" i="61" s="1"/>
  <c r="K68" i="61"/>
  <c r="K75" i="61" s="1"/>
  <c r="L68" i="61"/>
  <c r="L75" i="61" s="1"/>
  <c r="M68" i="61"/>
  <c r="M75" i="61" s="1"/>
  <c r="B11" i="69" l="1"/>
  <c r="N376" i="48" s="1"/>
  <c r="K376" i="48"/>
  <c r="D376" i="48"/>
  <c r="M143" i="4"/>
  <c r="M33" i="89" s="1"/>
  <c r="M31" i="94"/>
  <c r="K143" i="4"/>
  <c r="K33" i="89" s="1"/>
  <c r="K31" i="94"/>
  <c r="E143" i="4"/>
  <c r="E33" i="89" s="1"/>
  <c r="E31" i="94"/>
  <c r="K342" i="4"/>
  <c r="K27" i="91"/>
  <c r="J143" i="4"/>
  <c r="J33" i="89" s="1"/>
  <c r="J31" i="94"/>
  <c r="D143" i="4"/>
  <c r="D33" i="89" s="1"/>
  <c r="D31" i="94"/>
  <c r="G342" i="4"/>
  <c r="G27" i="91"/>
  <c r="I143" i="4"/>
  <c r="I33" i="89" s="1"/>
  <c r="I31" i="94"/>
  <c r="L143" i="4"/>
  <c r="L33" i="89" s="1"/>
  <c r="L31" i="94"/>
  <c r="B143" i="4"/>
  <c r="B33" i="89" s="1"/>
  <c r="B31" i="94"/>
  <c r="F143" i="4"/>
  <c r="F33" i="89" s="1"/>
  <c r="F31" i="94"/>
  <c r="C342" i="4"/>
  <c r="C27" i="91"/>
  <c r="H143" i="4"/>
  <c r="H33" i="89" s="1"/>
  <c r="H31" i="94"/>
  <c r="J227" i="4"/>
  <c r="J287" i="4" s="1"/>
  <c r="J158" i="4"/>
  <c r="F227" i="4"/>
  <c r="F287" i="4" s="1"/>
  <c r="F158" i="4"/>
  <c r="M227" i="4"/>
  <c r="M287" i="4" s="1"/>
  <c r="M158" i="4"/>
  <c r="I227" i="4"/>
  <c r="I287" i="4" s="1"/>
  <c r="I158" i="4"/>
  <c r="E227" i="4"/>
  <c r="E287" i="4" s="1"/>
  <c r="E158" i="4"/>
  <c r="L227" i="4"/>
  <c r="L287" i="4" s="1"/>
  <c r="L158" i="4"/>
  <c r="H227" i="4"/>
  <c r="H287" i="4" s="1"/>
  <c r="H158" i="4"/>
  <c r="D227" i="4"/>
  <c r="D287" i="4" s="1"/>
  <c r="D158" i="4"/>
  <c r="B227" i="4"/>
  <c r="B27" i="90" s="1"/>
  <c r="B158" i="4"/>
  <c r="B27" i="89" s="1"/>
  <c r="K158" i="4"/>
  <c r="N13" i="4"/>
  <c r="G74" i="4"/>
  <c r="C74" i="4"/>
  <c r="G158" i="4"/>
  <c r="C158" i="4"/>
  <c r="B122" i="86"/>
  <c r="B136" i="86" s="1"/>
  <c r="C99" i="86"/>
  <c r="C113" i="86" s="1"/>
  <c r="D99" i="86"/>
  <c r="D113" i="86" s="1"/>
  <c r="E99" i="86"/>
  <c r="E113" i="86" s="1"/>
  <c r="F99" i="86"/>
  <c r="F113" i="86" s="1"/>
  <c r="G99" i="86"/>
  <c r="G113" i="86" s="1"/>
  <c r="H99" i="86"/>
  <c r="H113" i="86" s="1"/>
  <c r="I99" i="86"/>
  <c r="I113" i="86" s="1"/>
  <c r="J99" i="86"/>
  <c r="J113" i="86" s="1"/>
  <c r="K99" i="86"/>
  <c r="K113" i="86" s="1"/>
  <c r="L99" i="86"/>
  <c r="L113" i="86" s="1"/>
  <c r="M99" i="86"/>
  <c r="M113" i="86" s="1"/>
  <c r="B99" i="86"/>
  <c r="B113" i="86" s="1"/>
  <c r="C76" i="86"/>
  <c r="C90" i="86" s="1"/>
  <c r="C91" i="86" s="1"/>
  <c r="C92" i="86" s="1"/>
  <c r="C94" i="86" s="1"/>
  <c r="D76" i="86"/>
  <c r="D90" i="86" s="1"/>
  <c r="D91" i="86" s="1"/>
  <c r="D92" i="86" s="1"/>
  <c r="D94" i="86" s="1"/>
  <c r="E212" i="48" s="1"/>
  <c r="E76" i="86"/>
  <c r="E90" i="86" s="1"/>
  <c r="E91" i="86" s="1"/>
  <c r="E92" i="86" s="1"/>
  <c r="E94" i="86" s="1"/>
  <c r="F212" i="48" s="1"/>
  <c r="F76" i="86"/>
  <c r="F90" i="86" s="1"/>
  <c r="F91" i="86" s="1"/>
  <c r="F92" i="86" s="1"/>
  <c r="F94" i="86" s="1"/>
  <c r="G212" i="48" s="1"/>
  <c r="G76" i="86"/>
  <c r="G90" i="86" s="1"/>
  <c r="G91" i="86" s="1"/>
  <c r="G92" i="86" s="1"/>
  <c r="G94" i="86" s="1"/>
  <c r="H212" i="48" s="1"/>
  <c r="H76" i="86"/>
  <c r="H90" i="86" s="1"/>
  <c r="H91" i="86" s="1"/>
  <c r="H92" i="86" s="1"/>
  <c r="H94" i="86" s="1"/>
  <c r="I212" i="48" s="1"/>
  <c r="I76" i="86"/>
  <c r="I90" i="86" s="1"/>
  <c r="I91" i="86" s="1"/>
  <c r="I92" i="86" s="1"/>
  <c r="I94" i="86" s="1"/>
  <c r="J212" i="48" s="1"/>
  <c r="J76" i="86"/>
  <c r="J90" i="86" s="1"/>
  <c r="J91" i="86" s="1"/>
  <c r="J92" i="86" s="1"/>
  <c r="J94" i="86" s="1"/>
  <c r="K212" i="48" s="1"/>
  <c r="K76" i="86"/>
  <c r="K90" i="86" s="1"/>
  <c r="K91" i="86" s="1"/>
  <c r="K92" i="86" s="1"/>
  <c r="K94" i="86" s="1"/>
  <c r="L212" i="48" s="1"/>
  <c r="L76" i="86"/>
  <c r="L90" i="86" s="1"/>
  <c r="L91" i="86" s="1"/>
  <c r="L92" i="86" s="1"/>
  <c r="L94" i="86" s="1"/>
  <c r="M212" i="48" s="1"/>
  <c r="M76" i="86"/>
  <c r="M90" i="86" s="1"/>
  <c r="M91" i="86" s="1"/>
  <c r="M92" i="86" s="1"/>
  <c r="M94" i="86" s="1"/>
  <c r="N212" i="48" s="1"/>
  <c r="B76" i="86"/>
  <c r="B90" i="86" s="1"/>
  <c r="C53" i="86"/>
  <c r="C67" i="86" s="1"/>
  <c r="D53" i="86"/>
  <c r="D67" i="86" s="1"/>
  <c r="E53" i="86"/>
  <c r="E67" i="86" s="1"/>
  <c r="F53" i="86"/>
  <c r="F67" i="86" s="1"/>
  <c r="G53" i="86"/>
  <c r="G67" i="86" s="1"/>
  <c r="H53" i="86"/>
  <c r="H67" i="86" s="1"/>
  <c r="I53" i="86"/>
  <c r="I67" i="86" s="1"/>
  <c r="J53" i="86"/>
  <c r="J67" i="86" s="1"/>
  <c r="K53" i="86"/>
  <c r="K67" i="86" s="1"/>
  <c r="L53" i="86"/>
  <c r="L67" i="86" s="1"/>
  <c r="M53" i="86"/>
  <c r="M67" i="86" s="1"/>
  <c r="B53" i="86"/>
  <c r="B67" i="86" s="1"/>
  <c r="C30" i="86"/>
  <c r="C44" i="86" s="1"/>
  <c r="D30" i="86"/>
  <c r="D44" i="86" s="1"/>
  <c r="D45" i="86" s="1"/>
  <c r="D46" i="86" s="1"/>
  <c r="D48" i="86" s="1"/>
  <c r="E115" i="48" s="1"/>
  <c r="E30" i="86"/>
  <c r="E44" i="86" s="1"/>
  <c r="F30" i="86"/>
  <c r="F44" i="86" s="1"/>
  <c r="F45" i="86" s="1"/>
  <c r="F46" i="86" s="1"/>
  <c r="F48" i="86" s="1"/>
  <c r="G115" i="48" s="1"/>
  <c r="G30" i="86"/>
  <c r="G44" i="86" s="1"/>
  <c r="H30" i="86"/>
  <c r="H44" i="86" s="1"/>
  <c r="H45" i="86" s="1"/>
  <c r="H46" i="86" s="1"/>
  <c r="H48" i="86" s="1"/>
  <c r="I115" i="48" s="1"/>
  <c r="I30" i="86"/>
  <c r="I44" i="86" s="1"/>
  <c r="J30" i="86"/>
  <c r="J44" i="86" s="1"/>
  <c r="J45" i="86" s="1"/>
  <c r="J46" i="86" s="1"/>
  <c r="J48" i="86" s="1"/>
  <c r="K115" i="48" s="1"/>
  <c r="K30" i="86"/>
  <c r="K44" i="86" s="1"/>
  <c r="L30" i="86"/>
  <c r="L44" i="86" s="1"/>
  <c r="L45" i="86" s="1"/>
  <c r="L46" i="86" s="1"/>
  <c r="L48" i="86" s="1"/>
  <c r="M115" i="48" s="1"/>
  <c r="M30" i="86"/>
  <c r="M44" i="86" s="1"/>
  <c r="B30" i="86"/>
  <c r="B44" i="86" s="1"/>
  <c r="H376" i="48" l="1"/>
  <c r="L376" i="48"/>
  <c r="E376" i="48"/>
  <c r="F376" i="48"/>
  <c r="C376" i="48"/>
  <c r="I376" i="48"/>
  <c r="J376" i="48"/>
  <c r="G376" i="48"/>
  <c r="M376" i="48"/>
  <c r="B68" i="86"/>
  <c r="B69" i="86" s="1"/>
  <c r="N67" i="86"/>
  <c r="J114" i="86"/>
  <c r="J115" i="86" s="1"/>
  <c r="J117" i="86" s="1"/>
  <c r="K264" i="48" s="1"/>
  <c r="B137" i="86"/>
  <c r="N137" i="86" s="1"/>
  <c r="N136" i="86"/>
  <c r="H342" i="4"/>
  <c r="H27" i="91"/>
  <c r="J342" i="4"/>
  <c r="J27" i="91"/>
  <c r="M45" i="86"/>
  <c r="M46" i="86" s="1"/>
  <c r="M48" i="86" s="1"/>
  <c r="N115" i="48" s="1"/>
  <c r="E45" i="86"/>
  <c r="E46" i="86" s="1"/>
  <c r="E48" i="86" s="1"/>
  <c r="F115" i="48" s="1"/>
  <c r="H68" i="86"/>
  <c r="H69" i="86" s="1"/>
  <c r="H71" i="86" s="1"/>
  <c r="I161" i="48" s="1"/>
  <c r="K45" i="86"/>
  <c r="K46" i="86" s="1"/>
  <c r="K48" i="86" s="1"/>
  <c r="L115" i="48" s="1"/>
  <c r="G45" i="86"/>
  <c r="G46" i="86" s="1"/>
  <c r="G48" i="86" s="1"/>
  <c r="H115" i="48" s="1"/>
  <c r="C45" i="86"/>
  <c r="C46" i="86" s="1"/>
  <c r="C48" i="86" s="1"/>
  <c r="D115" i="48" s="1"/>
  <c r="K68" i="86"/>
  <c r="K69" i="86" s="1"/>
  <c r="K71" i="86" s="1"/>
  <c r="L161" i="48" s="1"/>
  <c r="G68" i="86"/>
  <c r="G69" i="86" s="1"/>
  <c r="G71" i="86" s="1"/>
  <c r="H161" i="48" s="1"/>
  <c r="C68" i="86"/>
  <c r="C69" i="86" s="1"/>
  <c r="C71" i="86" s="1"/>
  <c r="D161" i="48" s="1"/>
  <c r="D212" i="48"/>
  <c r="K114" i="86"/>
  <c r="K115" i="86" s="1"/>
  <c r="K117" i="86" s="1"/>
  <c r="L264" i="48" s="1"/>
  <c r="G114" i="86"/>
  <c r="G115" i="86" s="1"/>
  <c r="G117" i="86" s="1"/>
  <c r="H264" i="48" s="1"/>
  <c r="C114" i="86"/>
  <c r="C115" i="86" s="1"/>
  <c r="C117" i="86" s="1"/>
  <c r="D264" i="48" s="1"/>
  <c r="C143" i="4"/>
  <c r="C33" i="89" s="1"/>
  <c r="C31" i="94"/>
  <c r="B34" i="89"/>
  <c r="H27" i="90"/>
  <c r="H27" i="89"/>
  <c r="E27" i="90"/>
  <c r="E27" i="89"/>
  <c r="M27" i="90"/>
  <c r="M27" i="89"/>
  <c r="J27" i="90"/>
  <c r="J27" i="89"/>
  <c r="B32" i="94"/>
  <c r="B45" i="86"/>
  <c r="N44" i="86"/>
  <c r="F114" i="86"/>
  <c r="F115" i="86" s="1"/>
  <c r="F117" i="86" s="1"/>
  <c r="G264" i="48" s="1"/>
  <c r="G143" i="4"/>
  <c r="G33" i="89" s="1"/>
  <c r="G31" i="94"/>
  <c r="M342" i="4"/>
  <c r="M27" i="91"/>
  <c r="C397" i="4"/>
  <c r="C27" i="92"/>
  <c r="K397" i="4"/>
  <c r="K27" i="92"/>
  <c r="I45" i="86"/>
  <c r="I46" i="86" s="1"/>
  <c r="I48" i="86" s="1"/>
  <c r="J115" i="48" s="1"/>
  <c r="M68" i="86"/>
  <c r="M69" i="86" s="1"/>
  <c r="M71" i="86" s="1"/>
  <c r="N161" i="48" s="1"/>
  <c r="I68" i="86"/>
  <c r="I69" i="86" s="1"/>
  <c r="I71" i="86" s="1"/>
  <c r="J161" i="48" s="1"/>
  <c r="E68" i="86"/>
  <c r="E69" i="86" s="1"/>
  <c r="E71" i="86" s="1"/>
  <c r="F161" i="48" s="1"/>
  <c r="M114" i="86"/>
  <c r="M115" i="86" s="1"/>
  <c r="M117" i="86" s="1"/>
  <c r="N264" i="48" s="1"/>
  <c r="I114" i="86"/>
  <c r="I115" i="86" s="1"/>
  <c r="I117" i="86" s="1"/>
  <c r="J264" i="48" s="1"/>
  <c r="E114" i="86"/>
  <c r="E115" i="86" s="1"/>
  <c r="E117" i="86" s="1"/>
  <c r="F264" i="48" s="1"/>
  <c r="C27" i="90"/>
  <c r="C27" i="89"/>
  <c r="D27" i="90"/>
  <c r="D27" i="89"/>
  <c r="L27" i="90"/>
  <c r="L27" i="89"/>
  <c r="I27" i="90"/>
  <c r="I27" i="89"/>
  <c r="F27" i="90"/>
  <c r="F27" i="89"/>
  <c r="J68" i="86"/>
  <c r="J69" i="86" s="1"/>
  <c r="J71" i="86" s="1"/>
  <c r="K161" i="48" s="1"/>
  <c r="F68" i="86"/>
  <c r="F69" i="86" s="1"/>
  <c r="F71" i="86" s="1"/>
  <c r="G161" i="48" s="1"/>
  <c r="N90" i="86"/>
  <c r="B91" i="86"/>
  <c r="N91" i="86" s="1"/>
  <c r="N113" i="86"/>
  <c r="B114" i="86"/>
  <c r="E342" i="4"/>
  <c r="E27" i="91"/>
  <c r="L68" i="86"/>
  <c r="L69" i="86" s="1"/>
  <c r="L71" i="86" s="1"/>
  <c r="M161" i="48" s="1"/>
  <c r="D68" i="86"/>
  <c r="D69" i="86" s="1"/>
  <c r="D71" i="86" s="1"/>
  <c r="E161" i="48" s="1"/>
  <c r="L114" i="86"/>
  <c r="L115" i="86" s="1"/>
  <c r="L117" i="86" s="1"/>
  <c r="M264" i="48" s="1"/>
  <c r="H114" i="86"/>
  <c r="H115" i="86" s="1"/>
  <c r="H117" i="86" s="1"/>
  <c r="I264" i="48" s="1"/>
  <c r="D114" i="86"/>
  <c r="D115" i="86" s="1"/>
  <c r="D117" i="86" s="1"/>
  <c r="E264" i="48" s="1"/>
  <c r="G27" i="90"/>
  <c r="G27" i="89"/>
  <c r="K27" i="90"/>
  <c r="K27" i="89"/>
  <c r="D342" i="4"/>
  <c r="D27" i="91"/>
  <c r="L342" i="4"/>
  <c r="L27" i="91"/>
  <c r="I342" i="4"/>
  <c r="I27" i="91"/>
  <c r="F342" i="4"/>
  <c r="F27" i="91"/>
  <c r="G397" i="4"/>
  <c r="G27" i="92"/>
  <c r="B287" i="4"/>
  <c r="D18" i="85"/>
  <c r="B92" i="86" l="1"/>
  <c r="O376" i="48"/>
  <c r="B220" i="75" s="1"/>
  <c r="D220" i="75" s="1"/>
  <c r="E220" i="75" s="1"/>
  <c r="O31" i="94"/>
  <c r="O27" i="90"/>
  <c r="N31" i="94"/>
  <c r="N33" i="89"/>
  <c r="C27" i="93"/>
  <c r="C399" i="4"/>
  <c r="C399" i="16"/>
  <c r="C409" i="64"/>
  <c r="B46" i="86"/>
  <c r="N45" i="86"/>
  <c r="J397" i="4"/>
  <c r="J27" i="92"/>
  <c r="B342" i="4"/>
  <c r="B27" i="92" s="1"/>
  <c r="B27" i="91"/>
  <c r="F397" i="4"/>
  <c r="F27" i="92"/>
  <c r="L397" i="4"/>
  <c r="L27" i="92"/>
  <c r="N27" i="89"/>
  <c r="G27" i="93"/>
  <c r="G399" i="4"/>
  <c r="G409" i="64"/>
  <c r="G399" i="16"/>
  <c r="I397" i="4"/>
  <c r="I27" i="92"/>
  <c r="D397" i="4"/>
  <c r="D27" i="92"/>
  <c r="E397" i="4"/>
  <c r="E27" i="92"/>
  <c r="N114" i="86"/>
  <c r="O33" i="89"/>
  <c r="B138" i="86"/>
  <c r="N92" i="86"/>
  <c r="B94" i="86"/>
  <c r="B71" i="86"/>
  <c r="N69" i="86"/>
  <c r="N27" i="90"/>
  <c r="B115" i="86"/>
  <c r="K27" i="93"/>
  <c r="K409" i="64"/>
  <c r="K399" i="4"/>
  <c r="K399" i="16"/>
  <c r="M397" i="4"/>
  <c r="M27" i="92"/>
  <c r="O27" i="89"/>
  <c r="H397" i="4"/>
  <c r="H27" i="92"/>
  <c r="N68" i="86"/>
  <c r="B397" i="4"/>
  <c r="B27" i="93" s="1"/>
  <c r="C22" i="85"/>
  <c r="E22" i="85"/>
  <c r="G22" i="85"/>
  <c r="H22" i="85"/>
  <c r="I22" i="85"/>
  <c r="K22" i="85"/>
  <c r="B22" i="85"/>
  <c r="L22" i="85"/>
  <c r="M22" i="85"/>
  <c r="F22" i="85"/>
  <c r="D16" i="85"/>
  <c r="J22" i="85"/>
  <c r="L27" i="93" l="1"/>
  <c r="L399" i="16"/>
  <c r="L409" i="64"/>
  <c r="L399" i="4"/>
  <c r="B140" i="86"/>
  <c r="N138" i="86"/>
  <c r="E27" i="93"/>
  <c r="E399" i="4"/>
  <c r="E409" i="64"/>
  <c r="E399" i="16"/>
  <c r="J27" i="93"/>
  <c r="J399" i="16"/>
  <c r="J409" i="64"/>
  <c r="J399" i="4"/>
  <c r="C212" i="48"/>
  <c r="O212" i="48" s="1"/>
  <c r="N94" i="86"/>
  <c r="I27" i="93"/>
  <c r="I399" i="16"/>
  <c r="I409" i="64"/>
  <c r="I399" i="4"/>
  <c r="O27" i="91"/>
  <c r="N27" i="91"/>
  <c r="M27" i="93"/>
  <c r="M409" i="64"/>
  <c r="M399" i="4"/>
  <c r="M399" i="16"/>
  <c r="B117" i="86"/>
  <c r="N115" i="86"/>
  <c r="O27" i="92"/>
  <c r="N27" i="92"/>
  <c r="H27" i="93"/>
  <c r="H399" i="4"/>
  <c r="H399" i="16"/>
  <c r="H409" i="64"/>
  <c r="C161" i="48"/>
  <c r="O161" i="48" s="1"/>
  <c r="N71" i="86"/>
  <c r="D27" i="93"/>
  <c r="D399" i="16"/>
  <c r="D399" i="4"/>
  <c r="D409" i="64"/>
  <c r="F27" i="93"/>
  <c r="F399" i="16"/>
  <c r="F399" i="4"/>
  <c r="F409" i="64"/>
  <c r="B48" i="86"/>
  <c r="N46" i="86"/>
  <c r="B399" i="16"/>
  <c r="B409" i="64"/>
  <c r="N397" i="4"/>
  <c r="B399" i="4"/>
  <c r="D22" i="85"/>
  <c r="D371" i="48"/>
  <c r="E371" i="48"/>
  <c r="F371" i="48"/>
  <c r="G371" i="48"/>
  <c r="H371" i="48"/>
  <c r="I371" i="48"/>
  <c r="J371" i="48"/>
  <c r="K371" i="48"/>
  <c r="D372" i="48"/>
  <c r="E372" i="48"/>
  <c r="F372" i="48"/>
  <c r="G372" i="48"/>
  <c r="H372" i="48"/>
  <c r="I372" i="48"/>
  <c r="J372" i="48"/>
  <c r="K372" i="48"/>
  <c r="C371" i="48"/>
  <c r="N372" i="48"/>
  <c r="M372" i="48"/>
  <c r="L372" i="48"/>
  <c r="C372" i="48"/>
  <c r="N371" i="48"/>
  <c r="M371" i="48"/>
  <c r="L371" i="48"/>
  <c r="N27" i="93" l="1"/>
  <c r="C115" i="48"/>
  <c r="O115" i="48" s="1"/>
  <c r="N48" i="86"/>
  <c r="C314" i="48"/>
  <c r="O314" i="48" s="1"/>
  <c r="N140" i="86"/>
  <c r="C264" i="48"/>
  <c r="O264" i="48" s="1"/>
  <c r="N117" i="86"/>
  <c r="O27" i="93"/>
  <c r="N409" i="64"/>
  <c r="N399" i="16"/>
  <c r="O371" i="48"/>
  <c r="O372" i="48"/>
  <c r="N399" i="4"/>
  <c r="B16" i="60"/>
  <c r="B59" i="53"/>
  <c r="M45" i="53"/>
  <c r="L45" i="53"/>
  <c r="K45" i="53"/>
  <c r="J45" i="53"/>
  <c r="I45" i="53"/>
  <c r="H45" i="53"/>
  <c r="G45" i="53"/>
  <c r="F45" i="53"/>
  <c r="E45" i="53"/>
  <c r="D45" i="53"/>
  <c r="C45" i="53"/>
  <c r="N84" i="53"/>
  <c r="N71" i="53"/>
  <c r="N57" i="53"/>
  <c r="N43" i="53"/>
  <c r="N29" i="53"/>
  <c r="N13" i="53"/>
  <c r="C370" i="48" l="1"/>
  <c r="C73" i="48"/>
  <c r="B217" i="75"/>
  <c r="D217" i="75" s="1"/>
  <c r="E217" i="75" s="1"/>
  <c r="A9" i="14"/>
  <c r="A4" i="48" l="1"/>
  <c r="A134" i="85" l="1"/>
  <c r="A127" i="85"/>
  <c r="A110" i="85"/>
  <c r="A103" i="85"/>
  <c r="A87" i="85"/>
  <c r="A80" i="85"/>
  <c r="A64" i="85"/>
  <c r="A57" i="85"/>
  <c r="A41" i="85"/>
  <c r="A34" i="85"/>
  <c r="A24" i="85"/>
  <c r="M13" i="86"/>
  <c r="L13" i="86"/>
  <c r="K13" i="86"/>
  <c r="J13" i="86"/>
  <c r="I13" i="86"/>
  <c r="H13" i="86"/>
  <c r="G13" i="86"/>
  <c r="F13" i="86"/>
  <c r="E13" i="86"/>
  <c r="D13" i="86"/>
  <c r="C13" i="86"/>
  <c r="B13" i="86"/>
  <c r="L129" i="86" l="1"/>
  <c r="K123" i="86"/>
  <c r="K124" i="86" s="1"/>
  <c r="G123" i="86"/>
  <c r="G124" i="86" s="1"/>
  <c r="C123" i="86"/>
  <c r="M123" i="86"/>
  <c r="J129" i="86"/>
  <c r="I123" i="86"/>
  <c r="F129" i="86"/>
  <c r="F130" i="86" s="1"/>
  <c r="E123" i="86"/>
  <c r="D129" i="86"/>
  <c r="B129" i="86"/>
  <c r="E106" i="86"/>
  <c r="M102" i="86"/>
  <c r="M125" i="86" s="1"/>
  <c r="M148" i="86" s="1"/>
  <c r="M149" i="86" s="1"/>
  <c r="N359" i="48" s="1"/>
  <c r="L102" i="86"/>
  <c r="L125" i="86" s="1"/>
  <c r="L148" i="86" s="1"/>
  <c r="L149" i="86" s="1"/>
  <c r="M359" i="48" s="1"/>
  <c r="K102" i="86"/>
  <c r="K125" i="86" s="1"/>
  <c r="K148" i="86" s="1"/>
  <c r="K149" i="86" s="1"/>
  <c r="L359" i="48" s="1"/>
  <c r="J102" i="86"/>
  <c r="J125" i="86" s="1"/>
  <c r="J148" i="86" s="1"/>
  <c r="J149" i="86" s="1"/>
  <c r="K359" i="48" s="1"/>
  <c r="I102" i="86"/>
  <c r="I125" i="86" s="1"/>
  <c r="I148" i="86" s="1"/>
  <c r="I149" i="86" s="1"/>
  <c r="J359" i="48" s="1"/>
  <c r="H102" i="86"/>
  <c r="H125" i="86" s="1"/>
  <c r="H148" i="86" s="1"/>
  <c r="H149" i="86" s="1"/>
  <c r="I359" i="48" s="1"/>
  <c r="G102" i="86"/>
  <c r="G125" i="86" s="1"/>
  <c r="G148" i="86" s="1"/>
  <c r="G149" i="86" s="1"/>
  <c r="H359" i="48" s="1"/>
  <c r="F102" i="86"/>
  <c r="F125" i="86" s="1"/>
  <c r="F148" i="86" s="1"/>
  <c r="F149" i="86" s="1"/>
  <c r="G359" i="48" s="1"/>
  <c r="E102" i="86"/>
  <c r="E125" i="86" s="1"/>
  <c r="E148" i="86" s="1"/>
  <c r="E149" i="86" s="1"/>
  <c r="F359" i="48" s="1"/>
  <c r="D102" i="86"/>
  <c r="D125" i="86" s="1"/>
  <c r="D148" i="86" s="1"/>
  <c r="D149" i="86" s="1"/>
  <c r="E359" i="48" s="1"/>
  <c r="C102" i="86"/>
  <c r="C125" i="86" s="1"/>
  <c r="C148" i="86" s="1"/>
  <c r="C149" i="86" s="1"/>
  <c r="D359" i="48" s="1"/>
  <c r="B102" i="86"/>
  <c r="B125" i="86" s="1"/>
  <c r="B148" i="86" s="1"/>
  <c r="B149" i="86" s="1"/>
  <c r="L100" i="86"/>
  <c r="L101" i="86" s="1"/>
  <c r="H100" i="86"/>
  <c r="H101" i="86" s="1"/>
  <c r="H103" i="86" s="1"/>
  <c r="I262" i="48" s="1"/>
  <c r="D100" i="86"/>
  <c r="D101" i="86" s="1"/>
  <c r="K106" i="86"/>
  <c r="K107" i="86" s="1"/>
  <c r="J100" i="86"/>
  <c r="G106" i="86"/>
  <c r="G107" i="86" s="1"/>
  <c r="F100" i="86"/>
  <c r="C106" i="86"/>
  <c r="C107" i="86" s="1"/>
  <c r="B100" i="86"/>
  <c r="K83" i="86"/>
  <c r="K84" i="86" s="1"/>
  <c r="C83" i="86"/>
  <c r="C84" i="86" s="1"/>
  <c r="M79" i="86"/>
  <c r="L79" i="86"/>
  <c r="K79" i="86"/>
  <c r="J79" i="86"/>
  <c r="I79" i="86"/>
  <c r="H79" i="86"/>
  <c r="G79" i="86"/>
  <c r="F79" i="86"/>
  <c r="E79" i="86"/>
  <c r="D79" i="86"/>
  <c r="C79" i="86"/>
  <c r="B79" i="86"/>
  <c r="J77" i="86"/>
  <c r="F77" i="86"/>
  <c r="B77" i="86"/>
  <c r="M77" i="86"/>
  <c r="M78" i="86" s="1"/>
  <c r="J83" i="86"/>
  <c r="J84" i="86" s="1"/>
  <c r="I77" i="86"/>
  <c r="I78" i="86" s="1"/>
  <c r="G83" i="86"/>
  <c r="F83" i="86"/>
  <c r="F84" i="86" s="1"/>
  <c r="E77" i="86"/>
  <c r="E78" i="86" s="1"/>
  <c r="E80" i="86" s="1"/>
  <c r="F210" i="48" s="1"/>
  <c r="B83" i="86"/>
  <c r="H60" i="86"/>
  <c r="M56" i="86"/>
  <c r="L56" i="86"/>
  <c r="K56" i="86"/>
  <c r="J56" i="86"/>
  <c r="I56" i="86"/>
  <c r="H56" i="86"/>
  <c r="G56" i="86"/>
  <c r="F56" i="86"/>
  <c r="E56" i="86"/>
  <c r="D56" i="86"/>
  <c r="C56" i="86"/>
  <c r="B56" i="86"/>
  <c r="K54" i="86"/>
  <c r="G54" i="86"/>
  <c r="C54" i="86"/>
  <c r="K60" i="86"/>
  <c r="J54" i="86"/>
  <c r="J55" i="86" s="1"/>
  <c r="G60" i="86"/>
  <c r="F54" i="86"/>
  <c r="F55" i="86" s="1"/>
  <c r="C60" i="86"/>
  <c r="B54" i="86"/>
  <c r="B55" i="86" s="1"/>
  <c r="C37" i="86"/>
  <c r="C38" i="86" s="1"/>
  <c r="C39" i="86" s="1"/>
  <c r="M33" i="86"/>
  <c r="L33" i="86"/>
  <c r="K33" i="86"/>
  <c r="J33" i="86"/>
  <c r="I33" i="86"/>
  <c r="H33" i="86"/>
  <c r="G33" i="86"/>
  <c r="F33" i="86"/>
  <c r="E33" i="86"/>
  <c r="D33" i="86"/>
  <c r="C33" i="86"/>
  <c r="B33" i="86"/>
  <c r="L31" i="86"/>
  <c r="L32" i="86" s="1"/>
  <c r="F31" i="86"/>
  <c r="D31" i="86"/>
  <c r="D32" i="86" s="1"/>
  <c r="C31" i="86"/>
  <c r="C32" i="86" s="1"/>
  <c r="M31" i="86"/>
  <c r="L37" i="86"/>
  <c r="L38" i="86" s="1"/>
  <c r="H37" i="86"/>
  <c r="E37" i="86"/>
  <c r="D37" i="86"/>
  <c r="D38" i="86" s="1"/>
  <c r="N30" i="86"/>
  <c r="A28" i="86"/>
  <c r="A51" i="86" s="1"/>
  <c r="A74" i="86" s="1"/>
  <c r="A97" i="86" s="1"/>
  <c r="A120" i="86" s="1"/>
  <c r="E20" i="86"/>
  <c r="M16" i="86"/>
  <c r="L16" i="86"/>
  <c r="K16" i="86"/>
  <c r="J16" i="86"/>
  <c r="I16" i="86"/>
  <c r="H16" i="86"/>
  <c r="G16" i="86"/>
  <c r="F16" i="86"/>
  <c r="E16" i="86"/>
  <c r="D16" i="86"/>
  <c r="C16" i="86"/>
  <c r="B16" i="86"/>
  <c r="L14" i="86"/>
  <c r="J14" i="86"/>
  <c r="J15" i="86" s="1"/>
  <c r="H14" i="86"/>
  <c r="F14" i="86"/>
  <c r="D14" i="86"/>
  <c r="B14" i="86"/>
  <c r="B15" i="86" s="1"/>
  <c r="L20" i="86"/>
  <c r="K14" i="86"/>
  <c r="K15" i="86" s="1"/>
  <c r="I20" i="86"/>
  <c r="H20" i="86"/>
  <c r="G14" i="86"/>
  <c r="G15" i="86" s="1"/>
  <c r="G17" i="86" s="1"/>
  <c r="H68" i="48" s="1"/>
  <c r="F15" i="86"/>
  <c r="F17" i="86" s="1"/>
  <c r="G68" i="48" s="1"/>
  <c r="D20" i="86"/>
  <c r="C6" i="86"/>
  <c r="D6" i="86" s="1"/>
  <c r="E6" i="86" s="1"/>
  <c r="F6" i="86" s="1"/>
  <c r="G6" i="86" s="1"/>
  <c r="H6" i="86" s="1"/>
  <c r="I6" i="86" s="1"/>
  <c r="J6" i="86" s="1"/>
  <c r="K6" i="86" s="1"/>
  <c r="L6" i="86" s="1"/>
  <c r="M6" i="86" s="1"/>
  <c r="B4" i="86"/>
  <c r="B3" i="86"/>
  <c r="N149" i="86" l="1"/>
  <c r="C359" i="48"/>
  <c r="O359" i="48" s="1"/>
  <c r="C34" i="86"/>
  <c r="D113" i="48" s="1"/>
  <c r="B57" i="86"/>
  <c r="C159" i="48" s="1"/>
  <c r="J57" i="86"/>
  <c r="K159" i="48" s="1"/>
  <c r="J17" i="86"/>
  <c r="K68" i="48" s="1"/>
  <c r="D34" i="86"/>
  <c r="E113" i="48" s="1"/>
  <c r="I80" i="86"/>
  <c r="J210" i="48" s="1"/>
  <c r="D103" i="86"/>
  <c r="E262" i="48" s="1"/>
  <c r="M80" i="86"/>
  <c r="N210" i="48" s="1"/>
  <c r="F57" i="86"/>
  <c r="G159" i="48" s="1"/>
  <c r="L103" i="86"/>
  <c r="M262" i="48" s="1"/>
  <c r="K17" i="86"/>
  <c r="L68" i="48" s="1"/>
  <c r="L34" i="86"/>
  <c r="M113" i="48" s="1"/>
  <c r="K108" i="86"/>
  <c r="I21" i="86"/>
  <c r="I22" i="86" s="1"/>
  <c r="B17" i="86"/>
  <c r="C68" i="48" s="1"/>
  <c r="D21" i="86"/>
  <c r="D22" i="86" s="1"/>
  <c r="H21" i="86"/>
  <c r="H22" i="86" s="1"/>
  <c r="L21" i="86"/>
  <c r="L22" i="86" s="1"/>
  <c r="G84" i="86"/>
  <c r="G85" i="86" s="1"/>
  <c r="C14" i="86"/>
  <c r="C15" i="86" s="1"/>
  <c r="C20" i="86"/>
  <c r="E21" i="86"/>
  <c r="E22" i="86" s="1"/>
  <c r="E14" i="86"/>
  <c r="E15" i="86" s="1"/>
  <c r="E17" i="86" s="1"/>
  <c r="F68" i="48" s="1"/>
  <c r="I14" i="86"/>
  <c r="I15" i="86" s="1"/>
  <c r="I17" i="86" s="1"/>
  <c r="J68" i="48" s="1"/>
  <c r="M14" i="86"/>
  <c r="M15" i="86" s="1"/>
  <c r="M17" i="86" s="1"/>
  <c r="N68" i="48" s="1"/>
  <c r="M20" i="86"/>
  <c r="E38" i="86"/>
  <c r="E39" i="86" s="1"/>
  <c r="I31" i="86"/>
  <c r="I32" i="86" s="1"/>
  <c r="I34" i="86" s="1"/>
  <c r="J113" i="48" s="1"/>
  <c r="I37" i="86"/>
  <c r="C61" i="86"/>
  <c r="C62" i="86" s="1"/>
  <c r="E107" i="86"/>
  <c r="E108" i="86" s="1"/>
  <c r="N13" i="86"/>
  <c r="D15" i="86"/>
  <c r="D17" i="86" s="1"/>
  <c r="E68" i="48" s="1"/>
  <c r="H15" i="86"/>
  <c r="H17" i="86" s="1"/>
  <c r="I68" i="48" s="1"/>
  <c r="L15" i="86"/>
  <c r="L17" i="86" s="1"/>
  <c r="M68" i="48" s="1"/>
  <c r="B20" i="86"/>
  <c r="F20" i="86"/>
  <c r="J20" i="86"/>
  <c r="F32" i="86"/>
  <c r="F34" i="86" s="1"/>
  <c r="G113" i="48" s="1"/>
  <c r="F37" i="86"/>
  <c r="J37" i="86"/>
  <c r="E31" i="86"/>
  <c r="E32" i="86" s="1"/>
  <c r="E34" i="86" s="1"/>
  <c r="F113" i="48" s="1"/>
  <c r="J31" i="86"/>
  <c r="J32" i="86" s="1"/>
  <c r="J34" i="86" s="1"/>
  <c r="K113" i="48" s="1"/>
  <c r="M32" i="86"/>
  <c r="M34" i="86" s="1"/>
  <c r="N113" i="48" s="1"/>
  <c r="M37" i="86"/>
  <c r="D54" i="86"/>
  <c r="D55" i="86" s="1"/>
  <c r="D57" i="86" s="1"/>
  <c r="E159" i="48" s="1"/>
  <c r="H54" i="86"/>
  <c r="H55" i="86" s="1"/>
  <c r="H57" i="86" s="1"/>
  <c r="I159" i="48" s="1"/>
  <c r="L54" i="86"/>
  <c r="L55" i="86" s="1"/>
  <c r="L57" i="86" s="1"/>
  <c r="M159" i="48" s="1"/>
  <c r="D60" i="86"/>
  <c r="G61" i="86"/>
  <c r="G62" i="86" s="1"/>
  <c r="B130" i="86"/>
  <c r="B131" i="86" s="1"/>
  <c r="J130" i="86"/>
  <c r="J131" i="86" s="1"/>
  <c r="G20" i="86"/>
  <c r="K20" i="86"/>
  <c r="B37" i="86"/>
  <c r="G31" i="86"/>
  <c r="G32" i="86" s="1"/>
  <c r="G34" i="86" s="1"/>
  <c r="H113" i="48" s="1"/>
  <c r="G37" i="86"/>
  <c r="K31" i="86"/>
  <c r="K32" i="86" s="1"/>
  <c r="K34" i="86" s="1"/>
  <c r="L113" i="48" s="1"/>
  <c r="K37" i="86"/>
  <c r="B31" i="86"/>
  <c r="H61" i="86"/>
  <c r="H62" i="86" s="1"/>
  <c r="K61" i="86"/>
  <c r="K62" i="86" s="1"/>
  <c r="F85" i="86"/>
  <c r="J85" i="86"/>
  <c r="C85" i="86"/>
  <c r="D39" i="86"/>
  <c r="L39" i="86"/>
  <c r="H31" i="86"/>
  <c r="H32" i="86" s="1"/>
  <c r="H34" i="86" s="1"/>
  <c r="I113" i="48" s="1"/>
  <c r="H38" i="86"/>
  <c r="H39" i="86" s="1"/>
  <c r="L60" i="86"/>
  <c r="C77" i="86"/>
  <c r="C78" i="86" s="1"/>
  <c r="C80" i="86" s="1"/>
  <c r="D210" i="48" s="1"/>
  <c r="G77" i="86"/>
  <c r="G78" i="86" s="1"/>
  <c r="G80" i="86" s="1"/>
  <c r="H210" i="48" s="1"/>
  <c r="K77" i="86"/>
  <c r="K78" i="86" s="1"/>
  <c r="K80" i="86" s="1"/>
  <c r="L210" i="48" s="1"/>
  <c r="B84" i="86"/>
  <c r="K85" i="86"/>
  <c r="D130" i="86"/>
  <c r="D131" i="86" s="1"/>
  <c r="F131" i="86"/>
  <c r="C55" i="86"/>
  <c r="C57" i="86" s="1"/>
  <c r="D159" i="48" s="1"/>
  <c r="G55" i="86"/>
  <c r="G57" i="86" s="1"/>
  <c r="H159" i="48" s="1"/>
  <c r="K55" i="86"/>
  <c r="K57" i="86" s="1"/>
  <c r="L159" i="48" s="1"/>
  <c r="E60" i="86"/>
  <c r="I60" i="86"/>
  <c r="M60" i="86"/>
  <c r="B78" i="86"/>
  <c r="F78" i="86"/>
  <c r="F80" i="86" s="1"/>
  <c r="G210" i="48" s="1"/>
  <c r="J78" i="86"/>
  <c r="J80" i="86" s="1"/>
  <c r="K210" i="48" s="1"/>
  <c r="D83" i="86"/>
  <c r="H83" i="86"/>
  <c r="L83" i="86"/>
  <c r="E100" i="86"/>
  <c r="E101" i="86" s="1"/>
  <c r="E103" i="86" s="1"/>
  <c r="F262" i="48" s="1"/>
  <c r="I100" i="86"/>
  <c r="I101" i="86" s="1"/>
  <c r="I103" i="86" s="1"/>
  <c r="J262" i="48" s="1"/>
  <c r="M100" i="86"/>
  <c r="M101" i="86" s="1"/>
  <c r="M103" i="86" s="1"/>
  <c r="N262" i="48" s="1"/>
  <c r="I106" i="86"/>
  <c r="C124" i="86"/>
  <c r="C126" i="86" s="1"/>
  <c r="D312" i="48" s="1"/>
  <c r="G126" i="86"/>
  <c r="H312" i="48" s="1"/>
  <c r="K126" i="86"/>
  <c r="L312" i="48" s="1"/>
  <c r="N53" i="86"/>
  <c r="E54" i="86"/>
  <c r="E55" i="86" s="1"/>
  <c r="E57" i="86" s="1"/>
  <c r="F159" i="48" s="1"/>
  <c r="I54" i="86"/>
  <c r="I55" i="86" s="1"/>
  <c r="I57" i="86" s="1"/>
  <c r="J159" i="48" s="1"/>
  <c r="M54" i="86"/>
  <c r="M55" i="86" s="1"/>
  <c r="M57" i="86" s="1"/>
  <c r="N159" i="48" s="1"/>
  <c r="B60" i="86"/>
  <c r="F60" i="86"/>
  <c r="J60" i="86"/>
  <c r="D77" i="86"/>
  <c r="H77" i="86"/>
  <c r="H78" i="86" s="1"/>
  <c r="H80" i="86" s="1"/>
  <c r="I210" i="48" s="1"/>
  <c r="L77" i="86"/>
  <c r="L78" i="86" s="1"/>
  <c r="L80" i="86" s="1"/>
  <c r="M210" i="48" s="1"/>
  <c r="E83" i="86"/>
  <c r="I83" i="86"/>
  <c r="M83" i="86"/>
  <c r="M106" i="86"/>
  <c r="C108" i="86"/>
  <c r="D123" i="86"/>
  <c r="D124" i="86" s="1"/>
  <c r="D126" i="86" s="1"/>
  <c r="E312" i="48" s="1"/>
  <c r="H123" i="86"/>
  <c r="H124" i="86" s="1"/>
  <c r="H126" i="86" s="1"/>
  <c r="I312" i="48" s="1"/>
  <c r="L123" i="86"/>
  <c r="L124" i="86" s="1"/>
  <c r="L126" i="86" s="1"/>
  <c r="M312" i="48" s="1"/>
  <c r="H129" i="86"/>
  <c r="N76" i="86"/>
  <c r="G108" i="86"/>
  <c r="L130" i="86"/>
  <c r="L131" i="86" s="1"/>
  <c r="C100" i="86"/>
  <c r="C101" i="86" s="1"/>
  <c r="C103" i="86" s="1"/>
  <c r="D262" i="48" s="1"/>
  <c r="G100" i="86"/>
  <c r="G101" i="86" s="1"/>
  <c r="G103" i="86" s="1"/>
  <c r="H262" i="48" s="1"/>
  <c r="K100" i="86"/>
  <c r="K101" i="86" s="1"/>
  <c r="K103" i="86" s="1"/>
  <c r="L262" i="48" s="1"/>
  <c r="B101" i="86"/>
  <c r="F101" i="86"/>
  <c r="F103" i="86" s="1"/>
  <c r="G262" i="48" s="1"/>
  <c r="J101" i="86"/>
  <c r="J103" i="86" s="1"/>
  <c r="K262" i="48" s="1"/>
  <c r="D106" i="86"/>
  <c r="H106" i="86"/>
  <c r="L106" i="86"/>
  <c r="B123" i="86"/>
  <c r="F123" i="86"/>
  <c r="F124" i="86" s="1"/>
  <c r="F126" i="86" s="1"/>
  <c r="G312" i="48" s="1"/>
  <c r="J123" i="86"/>
  <c r="J124" i="86" s="1"/>
  <c r="J126" i="86" s="1"/>
  <c r="K312" i="48" s="1"/>
  <c r="E124" i="86"/>
  <c r="E126" i="86" s="1"/>
  <c r="F312" i="48" s="1"/>
  <c r="I124" i="86"/>
  <c r="I126" i="86" s="1"/>
  <c r="J312" i="48" s="1"/>
  <c r="M124" i="86"/>
  <c r="M126" i="86" s="1"/>
  <c r="N312" i="48" s="1"/>
  <c r="C129" i="86"/>
  <c r="G129" i="86"/>
  <c r="K129" i="86"/>
  <c r="N99" i="86"/>
  <c r="B106" i="86"/>
  <c r="F106" i="86"/>
  <c r="J106" i="86"/>
  <c r="E129" i="86"/>
  <c r="I129" i="86"/>
  <c r="M129" i="86"/>
  <c r="N122" i="86"/>
  <c r="O159" i="48" l="1"/>
  <c r="N83" i="86"/>
  <c r="N77" i="86"/>
  <c r="N57" i="86"/>
  <c r="C17" i="86"/>
  <c r="N15" i="86"/>
  <c r="E130" i="86"/>
  <c r="E131" i="86" s="1"/>
  <c r="D107" i="86"/>
  <c r="D108" i="86" s="1"/>
  <c r="H130" i="86"/>
  <c r="H131" i="86" s="1"/>
  <c r="I84" i="86"/>
  <c r="I85" i="86" s="1"/>
  <c r="L84" i="86"/>
  <c r="L85" i="86" s="1"/>
  <c r="E61" i="86"/>
  <c r="E62" i="86" s="1"/>
  <c r="N54" i="86"/>
  <c r="G38" i="86"/>
  <c r="G39" i="86" s="1"/>
  <c r="K21" i="86"/>
  <c r="K22" i="86" s="1"/>
  <c r="D61" i="86"/>
  <c r="D62" i="86" s="1"/>
  <c r="M38" i="86"/>
  <c r="M39" i="86" s="1"/>
  <c r="D78" i="86"/>
  <c r="D80" i="86" s="1"/>
  <c r="E210" i="48" s="1"/>
  <c r="J107" i="86"/>
  <c r="J108" i="86" s="1"/>
  <c r="K130" i="86"/>
  <c r="K131" i="86" s="1"/>
  <c r="N123" i="86"/>
  <c r="B124" i="86"/>
  <c r="M107" i="86"/>
  <c r="M108" i="86" s="1"/>
  <c r="E84" i="86"/>
  <c r="E85" i="86" s="1"/>
  <c r="J61" i="86"/>
  <c r="J62" i="86" s="1"/>
  <c r="I107" i="86"/>
  <c r="I108" i="86" s="1"/>
  <c r="H84" i="86"/>
  <c r="H85" i="86" s="1"/>
  <c r="B80" i="86"/>
  <c r="B85" i="86"/>
  <c r="N31" i="86"/>
  <c r="G21" i="86"/>
  <c r="G22" i="86" s="1"/>
  <c r="N55" i="86"/>
  <c r="J38" i="86"/>
  <c r="J39" i="86" s="1"/>
  <c r="J21" i="86"/>
  <c r="J22" i="86" s="1"/>
  <c r="I38" i="86"/>
  <c r="I39" i="86" s="1"/>
  <c r="N14" i="86"/>
  <c r="M130" i="86"/>
  <c r="M131" i="86" s="1"/>
  <c r="F107" i="86"/>
  <c r="F108" i="86" s="1"/>
  <c r="G130" i="86"/>
  <c r="G131" i="86" s="1"/>
  <c r="L107" i="86"/>
  <c r="L108" i="86" s="1"/>
  <c r="N100" i="86"/>
  <c r="F61" i="86"/>
  <c r="F62" i="86" s="1"/>
  <c r="D84" i="86"/>
  <c r="M61" i="86"/>
  <c r="M62" i="86" s="1"/>
  <c r="K38" i="86"/>
  <c r="K39" i="86" s="1"/>
  <c r="B38" i="86"/>
  <c r="N37" i="86"/>
  <c r="N129" i="86"/>
  <c r="F21" i="86"/>
  <c r="F22" i="86" s="1"/>
  <c r="M21" i="86"/>
  <c r="M22" i="86" s="1"/>
  <c r="I130" i="86"/>
  <c r="I131" i="86" s="1"/>
  <c r="B107" i="86"/>
  <c r="B108" i="86" s="1"/>
  <c r="N106" i="86"/>
  <c r="C130" i="86"/>
  <c r="C131" i="86" s="1"/>
  <c r="H107" i="86"/>
  <c r="H108" i="86" s="1"/>
  <c r="N101" i="86"/>
  <c r="B103" i="86"/>
  <c r="M84" i="86"/>
  <c r="M85" i="86" s="1"/>
  <c r="B61" i="86"/>
  <c r="B62" i="86" s="1"/>
  <c r="N60" i="86"/>
  <c r="I61" i="86"/>
  <c r="I62" i="86" s="1"/>
  <c r="L61" i="86"/>
  <c r="L62" i="86" s="1"/>
  <c r="B32" i="86"/>
  <c r="F38" i="86"/>
  <c r="F39" i="86" s="1"/>
  <c r="B21" i="86"/>
  <c r="B22" i="86" s="1"/>
  <c r="N20" i="86"/>
  <c r="C21" i="86"/>
  <c r="C22" i="86" s="1"/>
  <c r="N17" i="86" l="1"/>
  <c r="D68" i="48"/>
  <c r="O68" i="48" s="1"/>
  <c r="N78" i="86"/>
  <c r="N103" i="86"/>
  <c r="C262" i="48"/>
  <c r="N80" i="86"/>
  <c r="C210" i="48"/>
  <c r="N130" i="86"/>
  <c r="N84" i="86"/>
  <c r="N38" i="86"/>
  <c r="N22" i="86"/>
  <c r="N62" i="86"/>
  <c r="N131" i="86"/>
  <c r="N108" i="86"/>
  <c r="B39" i="86"/>
  <c r="N61" i="86"/>
  <c r="D85" i="86"/>
  <c r="B126" i="86"/>
  <c r="N124" i="86"/>
  <c r="N21" i="86"/>
  <c r="N32" i="86"/>
  <c r="B34" i="86"/>
  <c r="N107" i="86"/>
  <c r="O210" i="48" l="1"/>
  <c r="O262" i="48"/>
  <c r="N126" i="86"/>
  <c r="C312" i="48"/>
  <c r="N34" i="86"/>
  <c r="C113" i="48"/>
  <c r="N85" i="86"/>
  <c r="N39" i="86"/>
  <c r="O312" i="48" l="1"/>
  <c r="O113" i="48"/>
  <c r="G104" i="85"/>
  <c r="H104" i="85"/>
  <c r="I104" i="85"/>
  <c r="J104" i="85"/>
  <c r="K104" i="85"/>
  <c r="L104" i="85"/>
  <c r="M104" i="85"/>
  <c r="F104" i="85"/>
  <c r="G128" i="85" l="1"/>
  <c r="G105" i="85"/>
  <c r="F128" i="85"/>
  <c r="F105" i="85"/>
  <c r="J128" i="85"/>
  <c r="J105" i="85"/>
  <c r="K128" i="85"/>
  <c r="K105" i="85"/>
  <c r="M128" i="85"/>
  <c r="M105" i="85"/>
  <c r="I128" i="85"/>
  <c r="I105" i="85"/>
  <c r="L128" i="85"/>
  <c r="L105" i="85"/>
  <c r="H128" i="85"/>
  <c r="H105" i="85"/>
  <c r="L132" i="85"/>
  <c r="H132" i="85"/>
  <c r="D132" i="85"/>
  <c r="M108" i="85"/>
  <c r="I108" i="85"/>
  <c r="H108" i="85"/>
  <c r="L85" i="85"/>
  <c r="K85" i="85"/>
  <c r="H85" i="85"/>
  <c r="G85" i="85"/>
  <c r="D85" i="85"/>
  <c r="K62" i="85"/>
  <c r="J62" i="85"/>
  <c r="G62" i="85"/>
  <c r="B62" i="85"/>
  <c r="L39" i="85"/>
  <c r="G39" i="85"/>
  <c r="F39" i="85"/>
  <c r="H39" i="85"/>
  <c r="D39" i="85"/>
  <c r="C111" i="85"/>
  <c r="D111" i="85" s="1"/>
  <c r="E111" i="85" s="1"/>
  <c r="E108" i="85"/>
  <c r="E104" i="85"/>
  <c r="D104" i="85"/>
  <c r="C104" i="85"/>
  <c r="B104" i="85"/>
  <c r="C88" i="85"/>
  <c r="D88" i="85" s="1"/>
  <c r="E88" i="85" s="1"/>
  <c r="F88" i="85" s="1"/>
  <c r="G88" i="85" s="1"/>
  <c r="H88" i="85" s="1"/>
  <c r="I88" i="85" s="1"/>
  <c r="J88" i="85" s="1"/>
  <c r="K88" i="85" s="1"/>
  <c r="L88" i="85" s="1"/>
  <c r="M88" i="85" s="1"/>
  <c r="M81" i="85"/>
  <c r="M82" i="85" s="1"/>
  <c r="L81" i="85"/>
  <c r="L82" i="85" s="1"/>
  <c r="K81" i="85"/>
  <c r="K82" i="85" s="1"/>
  <c r="J81" i="85"/>
  <c r="J82" i="85" s="1"/>
  <c r="I81" i="85"/>
  <c r="I82" i="85" s="1"/>
  <c r="H81" i="85"/>
  <c r="H82" i="85" s="1"/>
  <c r="G81" i="85"/>
  <c r="G82" i="85" s="1"/>
  <c r="F81" i="85"/>
  <c r="F82" i="85" s="1"/>
  <c r="E81" i="85"/>
  <c r="E82" i="85" s="1"/>
  <c r="D81" i="85"/>
  <c r="D82" i="85" s="1"/>
  <c r="C81" i="85"/>
  <c r="C82" i="85" s="1"/>
  <c r="B81" i="85"/>
  <c r="B82" i="85" s="1"/>
  <c r="C65" i="85"/>
  <c r="D65" i="85" s="1"/>
  <c r="E65" i="85" s="1"/>
  <c r="F65" i="85" s="1"/>
  <c r="G65" i="85" s="1"/>
  <c r="H65" i="85" s="1"/>
  <c r="I65" i="85" s="1"/>
  <c r="J65" i="85" s="1"/>
  <c r="K65" i="85" s="1"/>
  <c r="L65" i="85" s="1"/>
  <c r="M65" i="85" s="1"/>
  <c r="M58" i="85"/>
  <c r="M59" i="85" s="1"/>
  <c r="L58" i="85"/>
  <c r="L59" i="85" s="1"/>
  <c r="K58" i="85"/>
  <c r="K59" i="85" s="1"/>
  <c r="J58" i="85"/>
  <c r="J59" i="85" s="1"/>
  <c r="I58" i="85"/>
  <c r="I59" i="85" s="1"/>
  <c r="H58" i="85"/>
  <c r="H59" i="85" s="1"/>
  <c r="G58" i="85"/>
  <c r="G59" i="85" s="1"/>
  <c r="F58" i="85"/>
  <c r="F59" i="85" s="1"/>
  <c r="E58" i="85"/>
  <c r="E59" i="85" s="1"/>
  <c r="D58" i="85"/>
  <c r="D59" i="85" s="1"/>
  <c r="C58" i="85"/>
  <c r="C59" i="85" s="1"/>
  <c r="B58" i="85"/>
  <c r="B59" i="85" s="1"/>
  <c r="F62" i="85"/>
  <c r="C42" i="85"/>
  <c r="D42" i="85" s="1"/>
  <c r="E42" i="85" s="1"/>
  <c r="F42" i="85" s="1"/>
  <c r="G42" i="85" s="1"/>
  <c r="H42" i="85" s="1"/>
  <c r="I42" i="85" s="1"/>
  <c r="J42" i="85" s="1"/>
  <c r="K42" i="85" s="1"/>
  <c r="L42" i="85" s="1"/>
  <c r="M42" i="85" s="1"/>
  <c r="K39" i="85"/>
  <c r="C39" i="85"/>
  <c r="M35" i="85"/>
  <c r="M36" i="85" s="1"/>
  <c r="L35" i="85"/>
  <c r="L36" i="85" s="1"/>
  <c r="K35" i="85"/>
  <c r="K36" i="85" s="1"/>
  <c r="J35" i="85"/>
  <c r="J36" i="85" s="1"/>
  <c r="I35" i="85"/>
  <c r="I36" i="85" s="1"/>
  <c r="H35" i="85"/>
  <c r="H36" i="85" s="1"/>
  <c r="G35" i="85"/>
  <c r="G36" i="85" s="1"/>
  <c r="F35" i="85"/>
  <c r="F36" i="85" s="1"/>
  <c r="E35" i="85"/>
  <c r="E36" i="85" s="1"/>
  <c r="D35" i="85"/>
  <c r="D36" i="85" s="1"/>
  <c r="C35" i="85"/>
  <c r="C36" i="85" s="1"/>
  <c r="B35" i="85"/>
  <c r="B36" i="85" s="1"/>
  <c r="A30" i="85"/>
  <c r="A53" i="85" s="1"/>
  <c r="A76" i="85" s="1"/>
  <c r="A99" i="85" s="1"/>
  <c r="A123" i="85" s="1"/>
  <c r="A147" i="85" s="1"/>
  <c r="M18" i="85"/>
  <c r="L18" i="85"/>
  <c r="K18" i="85"/>
  <c r="J18" i="85"/>
  <c r="I18" i="85"/>
  <c r="H18" i="85"/>
  <c r="G18" i="85"/>
  <c r="F18" i="85"/>
  <c r="E18" i="85"/>
  <c r="C18" i="85"/>
  <c r="B18" i="85"/>
  <c r="C8" i="85"/>
  <c r="D8" i="85" s="1"/>
  <c r="E8" i="85" s="1"/>
  <c r="F8" i="85" s="1"/>
  <c r="G8" i="85" s="1"/>
  <c r="H8" i="85" s="1"/>
  <c r="I8" i="85" s="1"/>
  <c r="J8" i="85" s="1"/>
  <c r="K8" i="85" s="1"/>
  <c r="L8" i="85" s="1"/>
  <c r="M8" i="85" s="1"/>
  <c r="B6" i="85"/>
  <c r="B5" i="85"/>
  <c r="K43" i="85" l="1"/>
  <c r="K41" i="85"/>
  <c r="K40" i="85" s="1"/>
  <c r="H43" i="85"/>
  <c r="I107" i="48" s="1"/>
  <c r="H40" i="85"/>
  <c r="H41" i="85"/>
  <c r="B66" i="85"/>
  <c r="B64" i="85"/>
  <c r="B63" i="85" s="1"/>
  <c r="D134" i="85"/>
  <c r="D133" i="85" s="1"/>
  <c r="F43" i="85"/>
  <c r="G107" i="48" s="1"/>
  <c r="F41" i="85"/>
  <c r="F40" i="85" s="1"/>
  <c r="G64" i="85"/>
  <c r="G63" i="85" s="1"/>
  <c r="G66" i="85"/>
  <c r="H153" i="48" s="1"/>
  <c r="H134" i="85"/>
  <c r="H133" i="85" s="1"/>
  <c r="F66" i="85"/>
  <c r="G153" i="48" s="1"/>
  <c r="F64" i="85"/>
  <c r="F63" i="85" s="1"/>
  <c r="G43" i="85"/>
  <c r="H107" i="48" s="1"/>
  <c r="G41" i="85"/>
  <c r="G40" i="85" s="1"/>
  <c r="J66" i="85"/>
  <c r="K153" i="48" s="1"/>
  <c r="J64" i="85"/>
  <c r="J63" i="85" s="1"/>
  <c r="L134" i="85"/>
  <c r="L133" i="85" s="1"/>
  <c r="C41" i="85"/>
  <c r="C40" i="85" s="1"/>
  <c r="C43" i="85"/>
  <c r="D107" i="48" s="1"/>
  <c r="D43" i="85"/>
  <c r="E107" i="48" s="1"/>
  <c r="D41" i="85"/>
  <c r="D40" i="85" s="1"/>
  <c r="L43" i="85"/>
  <c r="M107" i="48" s="1"/>
  <c r="L41" i="85"/>
  <c r="L40" i="85" s="1"/>
  <c r="K64" i="85"/>
  <c r="K63" i="85" s="1"/>
  <c r="K66" i="85"/>
  <c r="L153" i="48" s="1"/>
  <c r="E112" i="85"/>
  <c r="F256" i="48" s="1"/>
  <c r="E110" i="85"/>
  <c r="E109" i="85" s="1"/>
  <c r="H110" i="85"/>
  <c r="H109" i="85" s="1"/>
  <c r="I110" i="85"/>
  <c r="I109" i="85" s="1"/>
  <c r="M110" i="85"/>
  <c r="M109" i="85" s="1"/>
  <c r="L89" i="85"/>
  <c r="L87" i="85"/>
  <c r="L86" i="85" s="1"/>
  <c r="K87" i="85"/>
  <c r="K86" i="85" s="1"/>
  <c r="K89" i="85"/>
  <c r="L204" i="48" s="1"/>
  <c r="G89" i="85"/>
  <c r="H204" i="48" s="1"/>
  <c r="G87" i="85"/>
  <c r="G86" i="85" s="1"/>
  <c r="H89" i="85"/>
  <c r="I204" i="48" s="1"/>
  <c r="H87" i="85"/>
  <c r="H86" i="85" s="1"/>
  <c r="D87" i="85"/>
  <c r="D86" i="85" s="1"/>
  <c r="D89" i="85"/>
  <c r="E204" i="48" s="1"/>
  <c r="D128" i="85"/>
  <c r="D105" i="85"/>
  <c r="E255" i="48" s="1"/>
  <c r="E128" i="85"/>
  <c r="E105" i="85"/>
  <c r="F255" i="48" s="1"/>
  <c r="H152" i="85"/>
  <c r="H129" i="85"/>
  <c r="I305" i="48" s="1"/>
  <c r="I152" i="85"/>
  <c r="I129" i="85"/>
  <c r="J305" i="48" s="1"/>
  <c r="K152" i="85"/>
  <c r="K129" i="85"/>
  <c r="L305" i="48" s="1"/>
  <c r="F152" i="85"/>
  <c r="F129" i="85"/>
  <c r="G305" i="48" s="1"/>
  <c r="B128" i="85"/>
  <c r="B105" i="85"/>
  <c r="C128" i="85"/>
  <c r="C105" i="85"/>
  <c r="D255" i="48" s="1"/>
  <c r="L152" i="85"/>
  <c r="L129" i="85"/>
  <c r="M305" i="48" s="1"/>
  <c r="M152" i="85"/>
  <c r="M129" i="85"/>
  <c r="N305" i="48" s="1"/>
  <c r="J152" i="85"/>
  <c r="J129" i="85"/>
  <c r="K305" i="48" s="1"/>
  <c r="G152" i="85"/>
  <c r="G129" i="85"/>
  <c r="H305" i="48" s="1"/>
  <c r="I111" i="85"/>
  <c r="I112" i="85" s="1"/>
  <c r="M111" i="85"/>
  <c r="M112" i="85" s="1"/>
  <c r="J111" i="85"/>
  <c r="F111" i="85"/>
  <c r="G111" i="85"/>
  <c r="K111" i="85"/>
  <c r="H111" i="85"/>
  <c r="H112" i="85" s="1"/>
  <c r="I256" i="48" s="1"/>
  <c r="L111" i="85"/>
  <c r="L203" i="48"/>
  <c r="H106" i="48"/>
  <c r="M152" i="48"/>
  <c r="E152" i="48"/>
  <c r="E132" i="85"/>
  <c r="I132" i="85"/>
  <c r="M132" i="85"/>
  <c r="N125" i="85"/>
  <c r="B132" i="85"/>
  <c r="F132" i="85"/>
  <c r="J132" i="85"/>
  <c r="C132" i="85"/>
  <c r="G132" i="85"/>
  <c r="K132" i="85"/>
  <c r="J39" i="85"/>
  <c r="L108" i="85"/>
  <c r="D108" i="85"/>
  <c r="C85" i="85"/>
  <c r="G106" i="48"/>
  <c r="D106" i="48"/>
  <c r="L106" i="48"/>
  <c r="K106" i="48"/>
  <c r="L107" i="48"/>
  <c r="F106" i="48"/>
  <c r="E39" i="85"/>
  <c r="J106" i="48"/>
  <c r="I39" i="85"/>
  <c r="N106" i="48"/>
  <c r="M39" i="85"/>
  <c r="F152" i="48"/>
  <c r="E62" i="85"/>
  <c r="J152" i="48"/>
  <c r="I62" i="85"/>
  <c r="N152" i="48"/>
  <c r="M62" i="85"/>
  <c r="B85" i="85"/>
  <c r="G203" i="48"/>
  <c r="F85" i="85"/>
  <c r="K203" i="48"/>
  <c r="J85" i="85"/>
  <c r="N78" i="85"/>
  <c r="E106" i="48"/>
  <c r="M106" i="48"/>
  <c r="D152" i="48"/>
  <c r="H152" i="48"/>
  <c r="L152" i="48"/>
  <c r="M204" i="48"/>
  <c r="C108" i="85"/>
  <c r="H255" i="48"/>
  <c r="G108" i="85"/>
  <c r="L255" i="48"/>
  <c r="K108" i="85"/>
  <c r="I152" i="48"/>
  <c r="C62" i="85"/>
  <c r="N55" i="85"/>
  <c r="G152" i="48"/>
  <c r="K152" i="48"/>
  <c r="D62" i="85"/>
  <c r="H62" i="85"/>
  <c r="L62" i="85"/>
  <c r="E203" i="48"/>
  <c r="I203" i="48"/>
  <c r="M203" i="48"/>
  <c r="D203" i="48"/>
  <c r="H203" i="48"/>
  <c r="E85" i="85"/>
  <c r="I85" i="85"/>
  <c r="M85" i="85"/>
  <c r="J255" i="48"/>
  <c r="N255" i="48"/>
  <c r="I255" i="48"/>
  <c r="M255" i="48"/>
  <c r="B108" i="85"/>
  <c r="F108" i="85"/>
  <c r="J108" i="85"/>
  <c r="F203" i="48"/>
  <c r="J203" i="48"/>
  <c r="N203" i="48"/>
  <c r="G255" i="48"/>
  <c r="K255" i="48"/>
  <c r="N101" i="85"/>
  <c r="C14" i="47"/>
  <c r="D14" i="47"/>
  <c r="E14" i="47"/>
  <c r="F14" i="47"/>
  <c r="G14" i="47"/>
  <c r="H14" i="47"/>
  <c r="I14" i="47"/>
  <c r="J14" i="47"/>
  <c r="K14" i="47"/>
  <c r="L14" i="47"/>
  <c r="M14" i="47"/>
  <c r="D64" i="85" l="1"/>
  <c r="D63" i="85" s="1"/>
  <c r="D66" i="85"/>
  <c r="M43" i="85"/>
  <c r="N107" i="48" s="1"/>
  <c r="M41" i="85"/>
  <c r="M40" i="85" s="1"/>
  <c r="E43" i="85"/>
  <c r="F107" i="48" s="1"/>
  <c r="E41" i="85"/>
  <c r="E40" i="85" s="1"/>
  <c r="C134" i="85"/>
  <c r="C133" i="85" s="1"/>
  <c r="E134" i="85"/>
  <c r="E133" i="85" s="1"/>
  <c r="C64" i="85"/>
  <c r="C63" i="85" s="1"/>
  <c r="C66" i="85"/>
  <c r="J87" i="85"/>
  <c r="J86" i="85" s="1"/>
  <c r="J89" i="85"/>
  <c r="K204" i="48" s="1"/>
  <c r="B89" i="85"/>
  <c r="B87" i="85"/>
  <c r="B86" i="85" s="1"/>
  <c r="I66" i="85"/>
  <c r="J153" i="48" s="1"/>
  <c r="I64" i="85"/>
  <c r="I63" i="85" s="1"/>
  <c r="J43" i="85"/>
  <c r="K107" i="48" s="1"/>
  <c r="J41" i="85"/>
  <c r="J40" i="85" s="1"/>
  <c r="J134" i="85"/>
  <c r="J133" i="85" s="1"/>
  <c r="M89" i="85"/>
  <c r="N204" i="48" s="1"/>
  <c r="M87" i="85"/>
  <c r="M86" i="85" s="1"/>
  <c r="L64" i="85"/>
  <c r="L63" i="85" s="1"/>
  <c r="L66" i="85"/>
  <c r="M153" i="48" s="1"/>
  <c r="I43" i="85"/>
  <c r="J107" i="48" s="1"/>
  <c r="I41" i="85"/>
  <c r="I40" i="85" s="1"/>
  <c r="C87" i="85"/>
  <c r="C86" i="85" s="1"/>
  <c r="C89" i="85"/>
  <c r="D204" i="48" s="1"/>
  <c r="K134" i="85"/>
  <c r="K133" i="85" s="1"/>
  <c r="F134" i="85"/>
  <c r="F133" i="85" s="1"/>
  <c r="M134" i="85"/>
  <c r="M133" i="85"/>
  <c r="H64" i="85"/>
  <c r="H63" i="85" s="1"/>
  <c r="H66" i="85"/>
  <c r="I153" i="48" s="1"/>
  <c r="M66" i="85"/>
  <c r="N153" i="48" s="1"/>
  <c r="M64" i="85"/>
  <c r="M63" i="85" s="1"/>
  <c r="E66" i="85"/>
  <c r="F153" i="48" s="1"/>
  <c r="E64" i="85"/>
  <c r="E63" i="85" s="1"/>
  <c r="G134" i="85"/>
  <c r="G133" i="85" s="1"/>
  <c r="B134" i="85"/>
  <c r="B133" i="85" s="1"/>
  <c r="I134" i="85"/>
  <c r="I133" i="85" s="1"/>
  <c r="J110" i="85"/>
  <c r="J109" i="85" s="1"/>
  <c r="J112" i="85"/>
  <c r="K256" i="48" s="1"/>
  <c r="K110" i="85"/>
  <c r="K109" i="85" s="1"/>
  <c r="K112" i="85"/>
  <c r="L256" i="48" s="1"/>
  <c r="C110" i="85"/>
  <c r="C109" i="85" s="1"/>
  <c r="C112" i="85"/>
  <c r="D110" i="85"/>
  <c r="D109" i="85" s="1"/>
  <c r="D112" i="85"/>
  <c r="E256" i="48" s="1"/>
  <c r="F110" i="85"/>
  <c r="F109" i="85" s="1"/>
  <c r="F112" i="85"/>
  <c r="L110" i="85"/>
  <c r="L109" i="85" s="1"/>
  <c r="L112" i="85"/>
  <c r="M256" i="48" s="1"/>
  <c r="G112" i="85"/>
  <c r="H256" i="48" s="1"/>
  <c r="G110" i="85"/>
  <c r="G109" i="85" s="1"/>
  <c r="B112" i="85"/>
  <c r="B110" i="85"/>
  <c r="B109" i="85" s="1"/>
  <c r="F89" i="85"/>
  <c r="G204" i="48" s="1"/>
  <c r="F87" i="85"/>
  <c r="F86" i="85" s="1"/>
  <c r="I89" i="85"/>
  <c r="J204" i="48" s="1"/>
  <c r="I87" i="85"/>
  <c r="I86" i="85" s="1"/>
  <c r="E89" i="85"/>
  <c r="E87" i="85"/>
  <c r="E86" i="85" s="1"/>
  <c r="G153" i="85"/>
  <c r="H353" i="48" s="1"/>
  <c r="M153" i="85"/>
  <c r="N353" i="48" s="1"/>
  <c r="C152" i="85"/>
  <c r="C129" i="85"/>
  <c r="D305" i="48" s="1"/>
  <c r="F153" i="85"/>
  <c r="G353" i="48" s="1"/>
  <c r="I153" i="85"/>
  <c r="J353" i="48" s="1"/>
  <c r="E152" i="85"/>
  <c r="E129" i="85"/>
  <c r="F305" i="48" s="1"/>
  <c r="J153" i="85"/>
  <c r="K353" i="48" s="1"/>
  <c r="L153" i="85"/>
  <c r="M353" i="48" s="1"/>
  <c r="B152" i="85"/>
  <c r="B153" i="85" s="1"/>
  <c r="B129" i="85"/>
  <c r="K153" i="85"/>
  <c r="L353" i="48" s="1"/>
  <c r="H153" i="85"/>
  <c r="I353" i="48" s="1"/>
  <c r="D152" i="85"/>
  <c r="D129" i="85"/>
  <c r="E305" i="48" s="1"/>
  <c r="N256" i="48"/>
  <c r="N19" i="47"/>
  <c r="J256" i="48"/>
  <c r="N132" i="85"/>
  <c r="N126" i="85"/>
  <c r="C153" i="48"/>
  <c r="N80" i="85"/>
  <c r="N57" i="85"/>
  <c r="N102" i="85"/>
  <c r="E153" i="48"/>
  <c r="G256" i="48"/>
  <c r="N56" i="85"/>
  <c r="I106" i="48"/>
  <c r="F204" i="48"/>
  <c r="N79" i="85"/>
  <c r="N108" i="85"/>
  <c r="D256" i="48"/>
  <c r="N85" i="85"/>
  <c r="N62" i="85"/>
  <c r="D153" i="85" l="1"/>
  <c r="E353" i="48" s="1"/>
  <c r="E153" i="85"/>
  <c r="F353" i="48" s="1"/>
  <c r="C353" i="48"/>
  <c r="C153" i="85"/>
  <c r="N82" i="85"/>
  <c r="C203" i="48"/>
  <c r="O203" i="48" s="1"/>
  <c r="N59" i="85"/>
  <c r="C152" i="48"/>
  <c r="O152" i="48" s="1"/>
  <c r="N134" i="85"/>
  <c r="N127" i="85"/>
  <c r="N133" i="85"/>
  <c r="N86" i="85"/>
  <c r="N64" i="85"/>
  <c r="N63" i="85"/>
  <c r="N109" i="85"/>
  <c r="N103" i="85"/>
  <c r="N153" i="85" l="1"/>
  <c r="D353" i="48"/>
  <c r="O353" i="48" s="1"/>
  <c r="N129" i="85"/>
  <c r="C305" i="48"/>
  <c r="O305" i="48" s="1"/>
  <c r="N105" i="85"/>
  <c r="C255" i="48"/>
  <c r="O255" i="48" s="1"/>
  <c r="N89" i="85"/>
  <c r="C204" i="48"/>
  <c r="O204" i="48" s="1"/>
  <c r="N66" i="85"/>
  <c r="D153" i="48"/>
  <c r="O153" i="48" s="1"/>
  <c r="B81" i="75" s="1"/>
  <c r="N87" i="85"/>
  <c r="N110" i="85"/>
  <c r="D81" i="75" l="1"/>
  <c r="E81" i="75" s="1"/>
  <c r="B113" i="75"/>
  <c r="D113" i="75" s="1"/>
  <c r="E113" i="75" s="1"/>
  <c r="N112" i="85"/>
  <c r="C256" i="48"/>
  <c r="O256" i="48" s="1"/>
  <c r="B145" i="75" s="1"/>
  <c r="D145" i="75" l="1"/>
  <c r="E145" i="75" s="1"/>
  <c r="P10" i="12"/>
  <c r="C97" i="84"/>
  <c r="C98" i="84" s="1"/>
  <c r="C99" i="84" s="1"/>
  <c r="D97" i="84"/>
  <c r="D104" i="84" s="1"/>
  <c r="E97" i="84"/>
  <c r="E104" i="84" s="1"/>
  <c r="F97" i="84"/>
  <c r="G97" i="84"/>
  <c r="G98" i="84" s="1"/>
  <c r="G99" i="84" s="1"/>
  <c r="H97" i="84"/>
  <c r="H104" i="84" s="1"/>
  <c r="I97" i="84"/>
  <c r="J97" i="84"/>
  <c r="K97" i="84"/>
  <c r="K98" i="84" s="1"/>
  <c r="K99" i="84" s="1"/>
  <c r="L97" i="84"/>
  <c r="L104" i="84" s="1"/>
  <c r="M97" i="84"/>
  <c r="B97" i="84"/>
  <c r="G84" i="84"/>
  <c r="G100" i="84" s="1"/>
  <c r="H84" i="84"/>
  <c r="H100" i="84" s="1"/>
  <c r="I84" i="84"/>
  <c r="I100" i="84" s="1"/>
  <c r="J84" i="84"/>
  <c r="J100" i="84" s="1"/>
  <c r="K84" i="84"/>
  <c r="K100" i="84" s="1"/>
  <c r="L84" i="84"/>
  <c r="L100" i="84" s="1"/>
  <c r="M84" i="84"/>
  <c r="M100" i="84" s="1"/>
  <c r="E81" i="84"/>
  <c r="F81" i="84"/>
  <c r="F88" i="84" s="1"/>
  <c r="I81" i="84"/>
  <c r="I82" i="84" s="1"/>
  <c r="J81" i="84"/>
  <c r="J88" i="84" s="1"/>
  <c r="M81" i="84"/>
  <c r="D65" i="84"/>
  <c r="D72" i="84" s="1"/>
  <c r="H65" i="84"/>
  <c r="H66" i="84" s="1"/>
  <c r="L65" i="84"/>
  <c r="L72" i="84" s="1"/>
  <c r="C48" i="84"/>
  <c r="F48" i="84"/>
  <c r="F55" i="84" s="1"/>
  <c r="F56" i="84" s="1"/>
  <c r="F57" i="84" s="1"/>
  <c r="G48" i="84"/>
  <c r="G49" i="84" s="1"/>
  <c r="G50" i="84" s="1"/>
  <c r="J48" i="84"/>
  <c r="J55" i="84" s="1"/>
  <c r="J56" i="84" s="1"/>
  <c r="K48" i="84"/>
  <c r="F31" i="84"/>
  <c r="J31" i="84"/>
  <c r="J38" i="84" s="1"/>
  <c r="L81" i="84"/>
  <c r="L88" i="84" s="1"/>
  <c r="L89" i="84" s="1"/>
  <c r="K81" i="84"/>
  <c r="H81" i="84"/>
  <c r="H88" i="84" s="1"/>
  <c r="H89" i="84" s="1"/>
  <c r="G81" i="84"/>
  <c r="D81" i="84"/>
  <c r="D88" i="84" s="1"/>
  <c r="D89" i="84" s="1"/>
  <c r="C81" i="84"/>
  <c r="B81" i="84"/>
  <c r="B88" i="84" s="1"/>
  <c r="M65" i="84"/>
  <c r="M72" i="84" s="1"/>
  <c r="K65" i="84"/>
  <c r="K72" i="84" s="1"/>
  <c r="K73" i="84" s="1"/>
  <c r="J65" i="84"/>
  <c r="I65" i="84"/>
  <c r="I72" i="84" s="1"/>
  <c r="G65" i="84"/>
  <c r="G72" i="84" s="1"/>
  <c r="G73" i="84" s="1"/>
  <c r="F65" i="84"/>
  <c r="E65" i="84"/>
  <c r="E72" i="84" s="1"/>
  <c r="C65" i="84"/>
  <c r="C66" i="84" s="1"/>
  <c r="B65" i="84"/>
  <c r="M48" i="84"/>
  <c r="L48" i="84"/>
  <c r="L55" i="84" s="1"/>
  <c r="I48" i="84"/>
  <c r="H48" i="84"/>
  <c r="H55" i="84" s="1"/>
  <c r="E48" i="84"/>
  <c r="D48" i="84"/>
  <c r="D55" i="84" s="1"/>
  <c r="B48" i="84"/>
  <c r="B55" i="84" s="1"/>
  <c r="M31" i="84"/>
  <c r="M38" i="84" s="1"/>
  <c r="M39" i="84" s="1"/>
  <c r="L31" i="84"/>
  <c r="L38" i="84" s="1"/>
  <c r="K31" i="84"/>
  <c r="K38" i="84" s="1"/>
  <c r="K39" i="84" s="1"/>
  <c r="I31" i="84"/>
  <c r="I38" i="84" s="1"/>
  <c r="H31" i="84"/>
  <c r="H38" i="84" s="1"/>
  <c r="H39" i="84" s="1"/>
  <c r="G31" i="84"/>
  <c r="G38" i="84" s="1"/>
  <c r="G39" i="84" s="1"/>
  <c r="E31" i="84"/>
  <c r="E32" i="84" s="1"/>
  <c r="D31" i="84"/>
  <c r="D38" i="84" s="1"/>
  <c r="D39" i="84" s="1"/>
  <c r="C31" i="84"/>
  <c r="C38" i="84" s="1"/>
  <c r="C39" i="84" s="1"/>
  <c r="B31" i="84"/>
  <c r="B32" i="84" s="1"/>
  <c r="M14" i="84"/>
  <c r="M21" i="84" s="1"/>
  <c r="M22" i="84" s="1"/>
  <c r="L14" i="84"/>
  <c r="K14" i="84"/>
  <c r="K15" i="84" s="1"/>
  <c r="J14" i="84"/>
  <c r="I14" i="84"/>
  <c r="I21" i="84" s="1"/>
  <c r="I22" i="84" s="1"/>
  <c r="H14" i="84"/>
  <c r="H21" i="84" s="1"/>
  <c r="H22" i="84" s="1"/>
  <c r="G14" i="84"/>
  <c r="G21" i="84" s="1"/>
  <c r="G22" i="84" s="1"/>
  <c r="F14" i="84"/>
  <c r="E14" i="84"/>
  <c r="D14" i="84"/>
  <c r="D15" i="84" s="1"/>
  <c r="C14" i="84"/>
  <c r="C21" i="84" s="1"/>
  <c r="B14" i="84"/>
  <c r="B15" i="84" s="1"/>
  <c r="F84" i="84"/>
  <c r="F100" i="84" s="1"/>
  <c r="E84" i="84"/>
  <c r="E100" i="84" s="1"/>
  <c r="D84" i="84"/>
  <c r="D100" i="84" s="1"/>
  <c r="C84" i="84"/>
  <c r="C100" i="84" s="1"/>
  <c r="B84" i="84"/>
  <c r="B100" i="84" s="1"/>
  <c r="M68" i="84"/>
  <c r="L68" i="84"/>
  <c r="K68" i="84"/>
  <c r="J68" i="84"/>
  <c r="I68" i="84"/>
  <c r="H68" i="84"/>
  <c r="G68" i="84"/>
  <c r="F68" i="84"/>
  <c r="E68" i="84"/>
  <c r="D68" i="84"/>
  <c r="C68" i="84"/>
  <c r="B68" i="84"/>
  <c r="K66" i="84"/>
  <c r="M51" i="84"/>
  <c r="L51" i="84"/>
  <c r="K51" i="84"/>
  <c r="J51" i="84"/>
  <c r="I51" i="84"/>
  <c r="H51" i="84"/>
  <c r="G51" i="84"/>
  <c r="F51" i="84"/>
  <c r="E51" i="84"/>
  <c r="D51" i="84"/>
  <c r="C51" i="84"/>
  <c r="B51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A29" i="84"/>
  <c r="A46" i="84" s="1"/>
  <c r="A63" i="84" s="1"/>
  <c r="A79" i="84" s="1"/>
  <c r="A95" i="84" s="1"/>
  <c r="M17" i="84"/>
  <c r="L17" i="84"/>
  <c r="K17" i="84"/>
  <c r="J17" i="84"/>
  <c r="I17" i="84"/>
  <c r="H17" i="84"/>
  <c r="G17" i="84"/>
  <c r="F17" i="84"/>
  <c r="E17" i="84"/>
  <c r="D17" i="84"/>
  <c r="C17" i="84"/>
  <c r="B17" i="84"/>
  <c r="C7" i="84"/>
  <c r="D7" i="84" s="1"/>
  <c r="E7" i="84" s="1"/>
  <c r="F7" i="84" s="1"/>
  <c r="G7" i="84" s="1"/>
  <c r="H7" i="84" s="1"/>
  <c r="I7" i="84" s="1"/>
  <c r="J7" i="84" s="1"/>
  <c r="K7" i="84" s="1"/>
  <c r="L7" i="84" s="1"/>
  <c r="M7" i="84" s="1"/>
  <c r="B5" i="84"/>
  <c r="Q14" i="83"/>
  <c r="N20" i="91" s="1"/>
  <c r="Q12" i="83"/>
  <c r="D11" i="83"/>
  <c r="D12" i="83" s="1"/>
  <c r="D13" i="83" s="1"/>
  <c r="D14" i="83" s="1"/>
  <c r="Q10" i="83"/>
  <c r="N203" i="16"/>
  <c r="A139" i="16"/>
  <c r="N202" i="4"/>
  <c r="B207" i="4"/>
  <c r="B138" i="4"/>
  <c r="B133" i="4"/>
  <c r="C101" i="84" l="1"/>
  <c r="K101" i="84"/>
  <c r="G101" i="84"/>
  <c r="B134" i="16"/>
  <c r="N134" i="16" s="1"/>
  <c r="B138" i="64"/>
  <c r="N138" i="64" s="1"/>
  <c r="N133" i="4"/>
  <c r="C72" i="84"/>
  <c r="C73" i="84" s="1"/>
  <c r="C74" i="84" s="1"/>
  <c r="E38" i="84"/>
  <c r="E39" i="84" s="1"/>
  <c r="M15" i="84"/>
  <c r="M16" i="84" s="1"/>
  <c r="M18" i="84" s="1"/>
  <c r="G15" i="84"/>
  <c r="G16" i="84" s="1"/>
  <c r="G18" i="84" s="1"/>
  <c r="H15" i="84"/>
  <c r="H16" i="84" s="1"/>
  <c r="H18" i="84" s="1"/>
  <c r="D98" i="84"/>
  <c r="D99" i="84" s="1"/>
  <c r="D101" i="84" s="1"/>
  <c r="H98" i="84"/>
  <c r="H99" i="84" s="1"/>
  <c r="H101" i="84" s="1"/>
  <c r="G52" i="84"/>
  <c r="L98" i="84"/>
  <c r="L99" i="84" s="1"/>
  <c r="L101" i="84" s="1"/>
  <c r="D105" i="84"/>
  <c r="D106" i="84" s="1"/>
  <c r="H105" i="84"/>
  <c r="H106" i="84" s="1"/>
  <c r="L105" i="84"/>
  <c r="L106" i="84" s="1"/>
  <c r="E105" i="84"/>
  <c r="E106" i="84" s="1"/>
  <c r="N97" i="84"/>
  <c r="E98" i="84"/>
  <c r="E99" i="84" s="1"/>
  <c r="E101" i="84" s="1"/>
  <c r="I98" i="84"/>
  <c r="I99" i="84" s="1"/>
  <c r="I101" i="84" s="1"/>
  <c r="M98" i="84"/>
  <c r="M99" i="84" s="1"/>
  <c r="M101" i="84" s="1"/>
  <c r="B104" i="84"/>
  <c r="F104" i="84"/>
  <c r="J104" i="84"/>
  <c r="I104" i="84"/>
  <c r="M104" i="84"/>
  <c r="B98" i="84"/>
  <c r="F98" i="84"/>
  <c r="F99" i="84" s="1"/>
  <c r="F101" i="84" s="1"/>
  <c r="J98" i="84"/>
  <c r="J99" i="84" s="1"/>
  <c r="J101" i="84" s="1"/>
  <c r="C104" i="84"/>
  <c r="G104" i="84"/>
  <c r="K104" i="84"/>
  <c r="M82" i="84"/>
  <c r="M83" i="84" s="1"/>
  <c r="M85" i="84" s="1"/>
  <c r="M88" i="84"/>
  <c r="M89" i="84" s="1"/>
  <c r="E88" i="84"/>
  <c r="E89" i="84" s="1"/>
  <c r="E82" i="84"/>
  <c r="E83" i="84" s="1"/>
  <c r="E85" i="84" s="1"/>
  <c r="Q13" i="83"/>
  <c r="K55" i="84"/>
  <c r="K56" i="84" s="1"/>
  <c r="K57" i="84" s="1"/>
  <c r="K49" i="84"/>
  <c r="K50" i="84" s="1"/>
  <c r="K52" i="84" s="1"/>
  <c r="C49" i="84"/>
  <c r="C50" i="84" s="1"/>
  <c r="C52" i="84" s="1"/>
  <c r="C55" i="84"/>
  <c r="C56" i="84" s="1"/>
  <c r="C57" i="84" s="1"/>
  <c r="B49" i="84"/>
  <c r="B50" i="84" s="1"/>
  <c r="Q11" i="83"/>
  <c r="I32" i="84"/>
  <c r="I33" i="84" s="1"/>
  <c r="I35" i="84" s="1"/>
  <c r="M32" i="84"/>
  <c r="M33" i="84" s="1"/>
  <c r="M35" i="84" s="1"/>
  <c r="L15" i="84"/>
  <c r="L16" i="84" s="1"/>
  <c r="L18" i="84" s="1"/>
  <c r="L21" i="84"/>
  <c r="L22" i="84" s="1"/>
  <c r="J49" i="84"/>
  <c r="J50" i="84" s="1"/>
  <c r="J52" i="84" s="1"/>
  <c r="G55" i="84"/>
  <c r="G56" i="84" s="1"/>
  <c r="I88" i="84"/>
  <c r="I89" i="84" s="1"/>
  <c r="I90" i="84" s="1"/>
  <c r="H67" i="84"/>
  <c r="H69" i="84" s="1"/>
  <c r="D21" i="84"/>
  <c r="D22" i="84" s="1"/>
  <c r="H82" i="84"/>
  <c r="H83" i="84" s="1"/>
  <c r="H85" i="84" s="1"/>
  <c r="B38" i="84"/>
  <c r="B39" i="84" s="1"/>
  <c r="H72" i="84"/>
  <c r="H73" i="84" s="1"/>
  <c r="L39" i="84"/>
  <c r="L40" i="84" s="1"/>
  <c r="K21" i="84"/>
  <c r="C15" i="84"/>
  <c r="C16" i="84" s="1"/>
  <c r="C18" i="84" s="1"/>
  <c r="L66" i="84"/>
  <c r="L67" i="84" s="1"/>
  <c r="L69" i="84" s="1"/>
  <c r="D40" i="84"/>
  <c r="D66" i="84"/>
  <c r="D67" i="84" s="1"/>
  <c r="D69" i="84" s="1"/>
  <c r="K74" i="84"/>
  <c r="H90" i="84"/>
  <c r="C22" i="84"/>
  <c r="C23" i="84" s="1"/>
  <c r="K22" i="84"/>
  <c r="K23" i="84" s="1"/>
  <c r="N14" i="84"/>
  <c r="B16" i="84"/>
  <c r="B21" i="84"/>
  <c r="K32" i="84"/>
  <c r="K33" i="84" s="1"/>
  <c r="K35" i="84" s="1"/>
  <c r="H56" i="84"/>
  <c r="H57" i="84" s="1"/>
  <c r="M23" i="84"/>
  <c r="G32" i="84"/>
  <c r="G33" i="84" s="1"/>
  <c r="G35" i="84" s="1"/>
  <c r="J39" i="84"/>
  <c r="J40" i="84" s="1"/>
  <c r="H40" i="84"/>
  <c r="D73" i="84"/>
  <c r="D74" i="84" s="1"/>
  <c r="L73" i="84"/>
  <c r="L74" i="84" s="1"/>
  <c r="C82" i="84"/>
  <c r="C83" i="84" s="1"/>
  <c r="C85" i="84" s="1"/>
  <c r="C88" i="84"/>
  <c r="G82" i="84"/>
  <c r="G83" i="84" s="1"/>
  <c r="G85" i="84" s="1"/>
  <c r="G88" i="84"/>
  <c r="K82" i="84"/>
  <c r="K83" i="84" s="1"/>
  <c r="K85" i="84" s="1"/>
  <c r="K88" i="84"/>
  <c r="B89" i="84"/>
  <c r="H23" i="84"/>
  <c r="E15" i="84"/>
  <c r="I15" i="84"/>
  <c r="I16" i="84" s="1"/>
  <c r="I18" i="84" s="1"/>
  <c r="D16" i="84"/>
  <c r="D18" i="84" s="1"/>
  <c r="E21" i="84"/>
  <c r="J21" i="84"/>
  <c r="I23" i="84"/>
  <c r="E33" i="84"/>
  <c r="E35" i="84" s="1"/>
  <c r="C32" i="84"/>
  <c r="C33" i="84" s="1"/>
  <c r="C35" i="84" s="1"/>
  <c r="H32" i="84"/>
  <c r="H33" i="84" s="1"/>
  <c r="H35" i="84" s="1"/>
  <c r="M40" i="84"/>
  <c r="C40" i="84"/>
  <c r="K40" i="84"/>
  <c r="G74" i="84"/>
  <c r="E73" i="84"/>
  <c r="E74" i="84" s="1"/>
  <c r="M73" i="84"/>
  <c r="M74" i="84" s="1"/>
  <c r="D90" i="84"/>
  <c r="L90" i="84"/>
  <c r="G40" i="84"/>
  <c r="G23" i="84"/>
  <c r="L32" i="84"/>
  <c r="L33" i="84" s="1"/>
  <c r="L35" i="84" s="1"/>
  <c r="J89" i="84"/>
  <c r="J90" i="84" s="1"/>
  <c r="F15" i="84"/>
  <c r="F16" i="84" s="1"/>
  <c r="F18" i="84" s="1"/>
  <c r="J15" i="84"/>
  <c r="J16" i="84" s="1"/>
  <c r="J18" i="84" s="1"/>
  <c r="K16" i="84"/>
  <c r="K18" i="84" s="1"/>
  <c r="F21" i="84"/>
  <c r="F32" i="84"/>
  <c r="F33" i="84" s="1"/>
  <c r="F35" i="84" s="1"/>
  <c r="J32" i="84"/>
  <c r="J33" i="84" s="1"/>
  <c r="J35" i="84" s="1"/>
  <c r="N31" i="84"/>
  <c r="D32" i="84"/>
  <c r="D33" i="84" s="1"/>
  <c r="D35" i="84" s="1"/>
  <c r="B33" i="84"/>
  <c r="F38" i="84"/>
  <c r="I39" i="84"/>
  <c r="I40" i="84" s="1"/>
  <c r="E49" i="84"/>
  <c r="E50" i="84" s="1"/>
  <c r="E52" i="84" s="1"/>
  <c r="E55" i="84"/>
  <c r="I49" i="84"/>
  <c r="I50" i="84" s="1"/>
  <c r="I52" i="84" s="1"/>
  <c r="I55" i="84"/>
  <c r="M49" i="84"/>
  <c r="M50" i="84" s="1"/>
  <c r="M52" i="84" s="1"/>
  <c r="M55" i="84"/>
  <c r="D56" i="84"/>
  <c r="D57" i="84" s="1"/>
  <c r="L56" i="84"/>
  <c r="L57" i="84" s="1"/>
  <c r="J57" i="84"/>
  <c r="B66" i="84"/>
  <c r="B67" i="84" s="1"/>
  <c r="B72" i="84"/>
  <c r="F66" i="84"/>
  <c r="F67" i="84" s="1"/>
  <c r="F69" i="84" s="1"/>
  <c r="F72" i="84"/>
  <c r="J66" i="84"/>
  <c r="J67" i="84" s="1"/>
  <c r="J69" i="84" s="1"/>
  <c r="J72" i="84"/>
  <c r="N65" i="84"/>
  <c r="G66" i="84"/>
  <c r="G67" i="84" s="1"/>
  <c r="G69" i="84" s="1"/>
  <c r="D82" i="84"/>
  <c r="D83" i="84" s="1"/>
  <c r="D85" i="84" s="1"/>
  <c r="L82" i="84"/>
  <c r="L83" i="84" s="1"/>
  <c r="L85" i="84" s="1"/>
  <c r="N48" i="84"/>
  <c r="F49" i="84"/>
  <c r="B56" i="84"/>
  <c r="C67" i="84"/>
  <c r="C69" i="84" s="1"/>
  <c r="K67" i="84"/>
  <c r="K69" i="84" s="1"/>
  <c r="I73" i="84"/>
  <c r="I74" i="84" s="1"/>
  <c r="I83" i="84"/>
  <c r="I85" i="84" s="1"/>
  <c r="F89" i="84"/>
  <c r="F90" i="84" s="1"/>
  <c r="D49" i="84"/>
  <c r="D50" i="84" s="1"/>
  <c r="D52" i="84" s="1"/>
  <c r="H49" i="84"/>
  <c r="H50" i="84" s="1"/>
  <c r="H52" i="84" s="1"/>
  <c r="L49" i="84"/>
  <c r="L50" i="84" s="1"/>
  <c r="L52" i="84" s="1"/>
  <c r="E66" i="84"/>
  <c r="E67" i="84" s="1"/>
  <c r="E69" i="84" s="1"/>
  <c r="I66" i="84"/>
  <c r="I67" i="84" s="1"/>
  <c r="I69" i="84" s="1"/>
  <c r="M66" i="84"/>
  <c r="M67" i="84" s="1"/>
  <c r="M69" i="84" s="1"/>
  <c r="B82" i="84"/>
  <c r="F82" i="84"/>
  <c r="F83" i="84" s="1"/>
  <c r="F85" i="84" s="1"/>
  <c r="J82" i="84"/>
  <c r="J83" i="84" s="1"/>
  <c r="J85" i="84" s="1"/>
  <c r="N81" i="84"/>
  <c r="N202" i="64"/>
  <c r="M90" i="84" l="1"/>
  <c r="N38" i="84"/>
  <c r="E40" i="84"/>
  <c r="D23" i="84"/>
  <c r="G105" i="84"/>
  <c r="G106" i="84" s="1"/>
  <c r="J105" i="84"/>
  <c r="J106" i="84" s="1"/>
  <c r="K105" i="84"/>
  <c r="K106" i="84" s="1"/>
  <c r="I105" i="84"/>
  <c r="I106" i="84" s="1"/>
  <c r="G57" i="84"/>
  <c r="C105" i="84"/>
  <c r="C106" i="84" s="1"/>
  <c r="N98" i="84"/>
  <c r="F105" i="84"/>
  <c r="F106" i="84" s="1"/>
  <c r="M105" i="84"/>
  <c r="M106" i="84" s="1"/>
  <c r="B105" i="84"/>
  <c r="N104" i="84"/>
  <c r="B99" i="84"/>
  <c r="E90" i="84"/>
  <c r="N88" i="84"/>
  <c r="H74" i="84"/>
  <c r="L23" i="84"/>
  <c r="N32" i="84"/>
  <c r="N15" i="84"/>
  <c r="N49" i="84"/>
  <c r="F50" i="84"/>
  <c r="F52" i="84" s="1"/>
  <c r="N33" i="84"/>
  <c r="B35" i="84"/>
  <c r="F22" i="84"/>
  <c r="F23" i="84" s="1"/>
  <c r="J22" i="84"/>
  <c r="J23" i="84" s="1"/>
  <c r="C89" i="84"/>
  <c r="C90" i="84" s="1"/>
  <c r="N82" i="84"/>
  <c r="B73" i="84"/>
  <c r="B74" i="84" s="1"/>
  <c r="N72" i="84"/>
  <c r="M56" i="84"/>
  <c r="M57" i="84" s="1"/>
  <c r="E22" i="84"/>
  <c r="E23" i="84" s="1"/>
  <c r="E16" i="84"/>
  <c r="E18" i="84" s="1"/>
  <c r="B69" i="84"/>
  <c r="N67" i="84"/>
  <c r="N66" i="84"/>
  <c r="F39" i="84"/>
  <c r="N39" i="84" s="1"/>
  <c r="B52" i="84"/>
  <c r="B90" i="84"/>
  <c r="G89" i="84"/>
  <c r="G90" i="84" s="1"/>
  <c r="B40" i="84"/>
  <c r="B83" i="84"/>
  <c r="B18" i="84"/>
  <c r="J73" i="84"/>
  <c r="J74" i="84" s="1"/>
  <c r="E56" i="84"/>
  <c r="E57" i="84" s="1"/>
  <c r="N55" i="84"/>
  <c r="F73" i="84"/>
  <c r="F74" i="84" s="1"/>
  <c r="I56" i="84"/>
  <c r="I57" i="84" s="1"/>
  <c r="K89" i="84"/>
  <c r="K90" i="84" s="1"/>
  <c r="B57" i="84"/>
  <c r="B22" i="84"/>
  <c r="N21" i="84"/>
  <c r="N35" i="84" l="1"/>
  <c r="N105" i="84"/>
  <c r="N52" i="84"/>
  <c r="N69" i="84"/>
  <c r="B106" i="84"/>
  <c r="N99" i="84"/>
  <c r="B101" i="84"/>
  <c r="N101" i="84" s="1"/>
  <c r="N16" i="84"/>
  <c r="N89" i="84"/>
  <c r="N22" i="84"/>
  <c r="N50" i="84"/>
  <c r="N74" i="84"/>
  <c r="N83" i="84"/>
  <c r="B85" i="84"/>
  <c r="F40" i="84"/>
  <c r="N57" i="84"/>
  <c r="N56" i="84"/>
  <c r="N73" i="84"/>
  <c r="N90" i="84"/>
  <c r="B23" i="84"/>
  <c r="N18" i="84"/>
  <c r="N85" i="84" l="1"/>
  <c r="N106" i="84"/>
  <c r="N23" i="84"/>
  <c r="N40" i="84"/>
  <c r="F77" i="82" l="1"/>
  <c r="E77" i="82"/>
  <c r="D77" i="82"/>
  <c r="C77" i="82"/>
  <c r="B77" i="82"/>
  <c r="M61" i="82"/>
  <c r="L61" i="82"/>
  <c r="K61" i="82"/>
  <c r="J61" i="82"/>
  <c r="I61" i="82"/>
  <c r="H61" i="82"/>
  <c r="G61" i="82"/>
  <c r="F61" i="82"/>
  <c r="E61" i="82"/>
  <c r="D61" i="82"/>
  <c r="C61" i="82"/>
  <c r="B61" i="82"/>
  <c r="M44" i="82"/>
  <c r="L44" i="82"/>
  <c r="K44" i="82"/>
  <c r="J44" i="82"/>
  <c r="I44" i="82"/>
  <c r="H44" i="82"/>
  <c r="G44" i="82"/>
  <c r="F44" i="82"/>
  <c r="E44" i="82"/>
  <c r="D44" i="82"/>
  <c r="C44" i="82"/>
  <c r="B44" i="82"/>
  <c r="M27" i="82"/>
  <c r="L27" i="82"/>
  <c r="K27" i="82"/>
  <c r="J27" i="82"/>
  <c r="I27" i="82"/>
  <c r="H27" i="82"/>
  <c r="G27" i="82"/>
  <c r="F27" i="82"/>
  <c r="E27" i="82"/>
  <c r="D27" i="82"/>
  <c r="C27" i="82"/>
  <c r="B27" i="82"/>
  <c r="A22" i="82"/>
  <c r="A39" i="82" s="1"/>
  <c r="A56" i="82" s="1"/>
  <c r="A72" i="82" s="1"/>
  <c r="A88" i="82" s="1"/>
  <c r="M17" i="82"/>
  <c r="L17" i="82"/>
  <c r="K17" i="82"/>
  <c r="J17" i="82"/>
  <c r="I17" i="82"/>
  <c r="H17" i="82"/>
  <c r="G17" i="82"/>
  <c r="F17" i="82"/>
  <c r="E17" i="82"/>
  <c r="D17" i="82"/>
  <c r="C17" i="82"/>
  <c r="B17" i="82"/>
  <c r="C7" i="82"/>
  <c r="D7" i="82" s="1"/>
  <c r="E7" i="82" s="1"/>
  <c r="F7" i="82" s="1"/>
  <c r="G7" i="82" s="1"/>
  <c r="H7" i="82" s="1"/>
  <c r="I7" i="82" s="1"/>
  <c r="J7" i="82" s="1"/>
  <c r="K7" i="82" s="1"/>
  <c r="L7" i="82" s="1"/>
  <c r="M7" i="82" s="1"/>
  <c r="B5" i="82"/>
  <c r="B4" i="82"/>
  <c r="J74" i="82"/>
  <c r="C74" i="82"/>
  <c r="J58" i="82"/>
  <c r="C58" i="82"/>
  <c r="B58" i="82"/>
  <c r="M41" i="82"/>
  <c r="L41" i="82"/>
  <c r="K41" i="82"/>
  <c r="J41" i="82"/>
  <c r="I41" i="82"/>
  <c r="H41" i="82"/>
  <c r="G41" i="82"/>
  <c r="F41" i="82"/>
  <c r="E41" i="82"/>
  <c r="D41" i="82"/>
  <c r="C41" i="82"/>
  <c r="B41" i="82"/>
  <c r="M24" i="82"/>
  <c r="L24" i="82"/>
  <c r="K24" i="82"/>
  <c r="J24" i="82"/>
  <c r="I24" i="82"/>
  <c r="H24" i="82"/>
  <c r="G24" i="82"/>
  <c r="F24" i="82"/>
  <c r="E24" i="82"/>
  <c r="D24" i="82"/>
  <c r="C24" i="82"/>
  <c r="D12" i="81"/>
  <c r="D13" i="81" s="1"/>
  <c r="D14" i="81" l="1"/>
  <c r="N13" i="81"/>
  <c r="K58" i="82" s="1"/>
  <c r="K62" i="82" s="1"/>
  <c r="L201" i="48" s="1"/>
  <c r="K13" i="81"/>
  <c r="H58" i="82" s="1"/>
  <c r="H62" i="82" s="1"/>
  <c r="I201" i="48" s="1"/>
  <c r="H13" i="81"/>
  <c r="E58" i="82" s="1"/>
  <c r="E65" i="82" s="1"/>
  <c r="L13" i="81"/>
  <c r="I58" i="82" s="1"/>
  <c r="O13" i="81"/>
  <c r="L58" i="82" s="1"/>
  <c r="L65" i="82" s="1"/>
  <c r="I13" i="81"/>
  <c r="F58" i="82" s="1"/>
  <c r="F62" i="82" s="1"/>
  <c r="G201" i="48" s="1"/>
  <c r="G13" i="81"/>
  <c r="P13" i="81"/>
  <c r="M58" i="82" s="1"/>
  <c r="J13" i="81"/>
  <c r="G58" i="82" s="1"/>
  <c r="G62" i="82" s="1"/>
  <c r="H201" i="48" s="1"/>
  <c r="F26" i="82"/>
  <c r="F25" i="82" s="1"/>
  <c r="F28" i="82"/>
  <c r="G104" i="48" s="1"/>
  <c r="J28" i="82"/>
  <c r="J26" i="82"/>
  <c r="J25" i="82" s="1"/>
  <c r="B45" i="82"/>
  <c r="B43" i="82"/>
  <c r="B42" i="82" s="1"/>
  <c r="F43" i="82"/>
  <c r="F42" i="82" s="1"/>
  <c r="F45" i="82"/>
  <c r="G150" i="48" s="1"/>
  <c r="J43" i="82"/>
  <c r="J42" i="82" s="1"/>
  <c r="J45" i="82"/>
  <c r="B65" i="82"/>
  <c r="B60" i="82"/>
  <c r="B59" i="82" s="1"/>
  <c r="B62" i="82"/>
  <c r="J65" i="82"/>
  <c r="J60" i="82"/>
  <c r="J59" i="82" s="1"/>
  <c r="J62" i="82"/>
  <c r="K201" i="48" s="1"/>
  <c r="C81" i="82"/>
  <c r="C78" i="82"/>
  <c r="D253" i="48" s="1"/>
  <c r="C76" i="82"/>
  <c r="C75" i="82" s="1"/>
  <c r="C28" i="82"/>
  <c r="D104" i="48" s="1"/>
  <c r="C26" i="82"/>
  <c r="C25" i="82" s="1"/>
  <c r="G26" i="82"/>
  <c r="G25" i="82" s="1"/>
  <c r="G28" i="82"/>
  <c r="K26" i="82"/>
  <c r="K25" i="82" s="1"/>
  <c r="K28" i="82"/>
  <c r="L104" i="48" s="1"/>
  <c r="C45" i="82"/>
  <c r="C43" i="82"/>
  <c r="C42" i="82"/>
  <c r="G45" i="82"/>
  <c r="H150" i="48" s="1"/>
  <c r="G43" i="82"/>
  <c r="G42" i="82" s="1"/>
  <c r="K45" i="82"/>
  <c r="L150" i="48" s="1"/>
  <c r="K43" i="82"/>
  <c r="K42" i="82" s="1"/>
  <c r="C65" i="82"/>
  <c r="C62" i="82"/>
  <c r="C60" i="82"/>
  <c r="C59" i="82" s="1"/>
  <c r="D28" i="82"/>
  <c r="E104" i="48" s="1"/>
  <c r="D26" i="82"/>
  <c r="D25" i="82" s="1"/>
  <c r="H28" i="82"/>
  <c r="I104" i="48" s="1"/>
  <c r="H26" i="82"/>
  <c r="H25" i="82" s="1"/>
  <c r="L26" i="82"/>
  <c r="L25" i="82" s="1"/>
  <c r="L28" i="82"/>
  <c r="M104" i="48" s="1"/>
  <c r="D45" i="82"/>
  <c r="D43" i="82"/>
  <c r="D42" i="82" s="1"/>
  <c r="H45" i="82"/>
  <c r="I150" i="48" s="1"/>
  <c r="H43" i="82"/>
  <c r="H42" i="82" s="1"/>
  <c r="L45" i="82"/>
  <c r="L43" i="82"/>
  <c r="L42" i="82" s="1"/>
  <c r="E28" i="82"/>
  <c r="E26" i="82"/>
  <c r="E25" i="82" s="1"/>
  <c r="I28" i="82"/>
  <c r="J104" i="48" s="1"/>
  <c r="I26" i="82"/>
  <c r="I25" i="82" s="1"/>
  <c r="M28" i="82"/>
  <c r="N104" i="48" s="1"/>
  <c r="M26" i="82"/>
  <c r="M25" i="82" s="1"/>
  <c r="E43" i="82"/>
  <c r="E42" i="82" s="1"/>
  <c r="E45" i="82"/>
  <c r="I45" i="82"/>
  <c r="J150" i="48" s="1"/>
  <c r="I43" i="82"/>
  <c r="I42" i="82" s="1"/>
  <c r="M45" i="82"/>
  <c r="N150" i="48" s="1"/>
  <c r="M43" i="82"/>
  <c r="M42" i="82"/>
  <c r="J81" i="82"/>
  <c r="J76" i="82"/>
  <c r="J75" i="82" s="1"/>
  <c r="J78" i="82"/>
  <c r="K253" i="48" s="1"/>
  <c r="M65" i="82"/>
  <c r="M60" i="82"/>
  <c r="M59" i="82" s="1"/>
  <c r="M62" i="82"/>
  <c r="N201" i="48" s="1"/>
  <c r="L60" i="82"/>
  <c r="L62" i="82"/>
  <c r="M201" i="48" s="1"/>
  <c r="I65" i="82"/>
  <c r="I60" i="82"/>
  <c r="I59" i="82" s="1"/>
  <c r="I62" i="82"/>
  <c r="J201" i="48" s="1"/>
  <c r="B12" i="89"/>
  <c r="B48" i="82"/>
  <c r="F12" i="89"/>
  <c r="F48" i="82"/>
  <c r="J12" i="89"/>
  <c r="J48" i="82"/>
  <c r="I12" i="89"/>
  <c r="I48" i="82"/>
  <c r="G12" i="89"/>
  <c r="G48" i="82"/>
  <c r="E12" i="89"/>
  <c r="E48" i="82"/>
  <c r="M12" i="89"/>
  <c r="M48" i="82"/>
  <c r="C12" i="89"/>
  <c r="C48" i="82"/>
  <c r="K12" i="89"/>
  <c r="K48" i="82"/>
  <c r="D12" i="89"/>
  <c r="D48" i="82"/>
  <c r="H12" i="89"/>
  <c r="H48" i="82"/>
  <c r="L12" i="89"/>
  <c r="L48" i="82"/>
  <c r="E12" i="94"/>
  <c r="E31" i="82"/>
  <c r="I12" i="94"/>
  <c r="I31" i="82"/>
  <c r="M12" i="94"/>
  <c r="M31" i="82"/>
  <c r="I12" i="91"/>
  <c r="I12" i="90"/>
  <c r="M12" i="91"/>
  <c r="M12" i="90"/>
  <c r="F12" i="94"/>
  <c r="F31" i="82"/>
  <c r="J12" i="94"/>
  <c r="J31" i="82"/>
  <c r="B12" i="91"/>
  <c r="B12" i="90"/>
  <c r="J12" i="91"/>
  <c r="J12" i="90"/>
  <c r="C31" i="82"/>
  <c r="C12" i="94"/>
  <c r="G31" i="82"/>
  <c r="G12" i="94"/>
  <c r="K31" i="82"/>
  <c r="K12" i="94"/>
  <c r="C12" i="91"/>
  <c r="C12" i="90"/>
  <c r="D31" i="82"/>
  <c r="D12" i="94"/>
  <c r="H31" i="82"/>
  <c r="H12" i="94"/>
  <c r="L31" i="82"/>
  <c r="L12" i="94"/>
  <c r="D14" i="82"/>
  <c r="D15" i="82" s="1"/>
  <c r="D16" i="82" s="1"/>
  <c r="D18" i="82" s="1"/>
  <c r="E64" i="48" s="1"/>
  <c r="H14" i="82"/>
  <c r="H15" i="82" s="1"/>
  <c r="H16" i="82" s="1"/>
  <c r="H18" i="82" s="1"/>
  <c r="I64" i="48" s="1"/>
  <c r="L14" i="82"/>
  <c r="L15" i="82" s="1"/>
  <c r="L16" i="82" s="1"/>
  <c r="L18" i="82" s="1"/>
  <c r="M64" i="48" s="1"/>
  <c r="I14" i="82"/>
  <c r="I15" i="82" s="1"/>
  <c r="I16" i="82" s="1"/>
  <c r="I18" i="82" s="1"/>
  <c r="J64" i="48" s="1"/>
  <c r="M14" i="82"/>
  <c r="M15" i="82" s="1"/>
  <c r="M16" i="82" s="1"/>
  <c r="M18" i="82" s="1"/>
  <c r="N64" i="48" s="1"/>
  <c r="B14" i="82"/>
  <c r="B15" i="82" s="1"/>
  <c r="B16" i="82" s="1"/>
  <c r="F14" i="82"/>
  <c r="F15" i="82" s="1"/>
  <c r="J14" i="82"/>
  <c r="J15" i="82" s="1"/>
  <c r="J16" i="82" s="1"/>
  <c r="J18" i="82" s="1"/>
  <c r="K64" i="48" s="1"/>
  <c r="Q11" i="81"/>
  <c r="C14" i="82"/>
  <c r="G14" i="82"/>
  <c r="G15" i="82" s="1"/>
  <c r="G16" i="82" s="1"/>
  <c r="G18" i="82" s="1"/>
  <c r="H64" i="48" s="1"/>
  <c r="K14" i="82"/>
  <c r="K15" i="82" s="1"/>
  <c r="K16" i="82" s="1"/>
  <c r="K18" i="82" s="1"/>
  <c r="L64" i="48" s="1"/>
  <c r="K150" i="48"/>
  <c r="D201" i="48"/>
  <c r="Q12" i="81"/>
  <c r="B24" i="82"/>
  <c r="E14" i="82"/>
  <c r="E15" i="82" s="1"/>
  <c r="E16" i="82" s="1"/>
  <c r="E18" i="82" s="1"/>
  <c r="F64" i="48" s="1"/>
  <c r="F150" i="48"/>
  <c r="N41" i="82"/>
  <c r="E150" i="48"/>
  <c r="M150" i="48"/>
  <c r="L12" i="91" l="1"/>
  <c r="G12" i="90"/>
  <c r="K60" i="82"/>
  <c r="K59" i="82" s="1"/>
  <c r="K12" i="91"/>
  <c r="G65" i="82"/>
  <c r="G67" i="82" s="1"/>
  <c r="G66" i="82" s="1"/>
  <c r="K12" i="90"/>
  <c r="K65" i="82"/>
  <c r="K69" i="82" s="1"/>
  <c r="L202" i="48" s="1"/>
  <c r="E62" i="82"/>
  <c r="F201" i="48" s="1"/>
  <c r="E12" i="90"/>
  <c r="E60" i="82"/>
  <c r="E59" i="82" s="1"/>
  <c r="E12" i="91"/>
  <c r="F35" i="82"/>
  <c r="G105" i="48" s="1"/>
  <c r="F33" i="82"/>
  <c r="F32" i="82" s="1"/>
  <c r="E35" i="82"/>
  <c r="F105" i="48" s="1"/>
  <c r="E33" i="82"/>
  <c r="E32" i="82" s="1"/>
  <c r="E52" i="82"/>
  <c r="F151" i="48" s="1"/>
  <c r="E50" i="82"/>
  <c r="E49" i="82" s="1"/>
  <c r="J52" i="82"/>
  <c r="K151" i="48" s="1"/>
  <c r="J50" i="82"/>
  <c r="J49" i="82" s="1"/>
  <c r="B52" i="82"/>
  <c r="B50" i="82"/>
  <c r="B49" i="82" s="1"/>
  <c r="H60" i="82"/>
  <c r="H59" i="82" s="1"/>
  <c r="F60" i="82"/>
  <c r="F59" i="82" s="1"/>
  <c r="B28" i="82"/>
  <c r="B26" i="82"/>
  <c r="B25" i="82" s="1"/>
  <c r="H12" i="91"/>
  <c r="L33" i="82"/>
  <c r="L32" i="82" s="1"/>
  <c r="L35" i="82"/>
  <c r="M105" i="48" s="1"/>
  <c r="J35" i="82"/>
  <c r="K105" i="48" s="1"/>
  <c r="J33" i="82"/>
  <c r="J32" i="82" s="1"/>
  <c r="L12" i="90"/>
  <c r="G12" i="91"/>
  <c r="K35" i="82"/>
  <c r="L105" i="48" s="1"/>
  <c r="K33" i="82"/>
  <c r="K32" i="82" s="1"/>
  <c r="C35" i="82"/>
  <c r="D105" i="48" s="1"/>
  <c r="C33" i="82"/>
  <c r="C32" i="82" s="1"/>
  <c r="F12" i="91"/>
  <c r="M52" i="82"/>
  <c r="N151" i="48" s="1"/>
  <c r="M50" i="82"/>
  <c r="M49" i="82" s="1"/>
  <c r="G52" i="82"/>
  <c r="G50" i="82"/>
  <c r="G49" i="82" s="1"/>
  <c r="F52" i="82"/>
  <c r="G151" i="48" s="1"/>
  <c r="F50" i="82"/>
  <c r="F49" i="82" s="1"/>
  <c r="H65" i="82"/>
  <c r="H67" i="82" s="1"/>
  <c r="H66" i="82" s="1"/>
  <c r="G60" i="82"/>
  <c r="G59" i="82" s="1"/>
  <c r="F65" i="82"/>
  <c r="F67" i="82" s="1"/>
  <c r="L59" i="82"/>
  <c r="J85" i="82"/>
  <c r="K254" i="48" s="1"/>
  <c r="J83" i="82"/>
  <c r="J82" i="82" s="1"/>
  <c r="C69" i="82"/>
  <c r="D202" i="48" s="1"/>
  <c r="C67" i="82"/>
  <c r="C66" i="82" s="1"/>
  <c r="Q13" i="81"/>
  <c r="D58" i="82"/>
  <c r="H33" i="82"/>
  <c r="H32" i="82" s="1"/>
  <c r="H35" i="82"/>
  <c r="I105" i="48" s="1"/>
  <c r="G35" i="82"/>
  <c r="H105" i="48" s="1"/>
  <c r="G33" i="82"/>
  <c r="G32" i="82" s="1"/>
  <c r="C85" i="82"/>
  <c r="D254" i="48" s="1"/>
  <c r="C83" i="82"/>
  <c r="C82" i="82" s="1"/>
  <c r="J69" i="82"/>
  <c r="K202" i="48" s="1"/>
  <c r="J67" i="82"/>
  <c r="J66" i="82" s="1"/>
  <c r="B67" i="82"/>
  <c r="B66" i="82" s="1"/>
  <c r="B69" i="82"/>
  <c r="M35" i="82"/>
  <c r="N105" i="48" s="1"/>
  <c r="M33" i="82"/>
  <c r="M32" i="82" s="1"/>
  <c r="H52" i="82"/>
  <c r="I151" i="48" s="1"/>
  <c r="H50" i="82"/>
  <c r="H49" i="82" s="1"/>
  <c r="C52" i="82"/>
  <c r="D151" i="48" s="1"/>
  <c r="C50" i="82"/>
  <c r="C49" i="82" s="1"/>
  <c r="H12" i="90"/>
  <c r="D35" i="82"/>
  <c r="E105" i="48" s="1"/>
  <c r="D33" i="82"/>
  <c r="D32" i="82" s="1"/>
  <c r="F12" i="90"/>
  <c r="I35" i="82"/>
  <c r="J105" i="48" s="1"/>
  <c r="I33" i="82"/>
  <c r="I32" i="82" s="1"/>
  <c r="L52" i="82"/>
  <c r="M151" i="48" s="1"/>
  <c r="L50" i="82"/>
  <c r="L49" i="82" s="1"/>
  <c r="D52" i="82"/>
  <c r="E151" i="48" s="1"/>
  <c r="D50" i="82"/>
  <c r="D49" i="82" s="1"/>
  <c r="K52" i="82"/>
  <c r="L151" i="48" s="1"/>
  <c r="K50" i="82"/>
  <c r="K49" i="82" s="1"/>
  <c r="I52" i="82"/>
  <c r="J151" i="48" s="1"/>
  <c r="I50" i="82"/>
  <c r="I49" i="82" s="1"/>
  <c r="D15" i="81"/>
  <c r="O14" i="81"/>
  <c r="L74" i="82" s="1"/>
  <c r="I14" i="81"/>
  <c r="F74" i="82" s="1"/>
  <c r="G14" i="81"/>
  <c r="D74" i="82" s="1"/>
  <c r="P14" i="81"/>
  <c r="M74" i="82" s="1"/>
  <c r="J14" i="81"/>
  <c r="G74" i="82" s="1"/>
  <c r="E14" i="81"/>
  <c r="N14" i="81"/>
  <c r="K74" i="82" s="1"/>
  <c r="K14" i="81"/>
  <c r="H74" i="82" s="1"/>
  <c r="H14" i="81"/>
  <c r="E74" i="82" s="1"/>
  <c r="L14" i="81"/>
  <c r="I74" i="82" s="1"/>
  <c r="L67" i="82"/>
  <c r="L66" i="82" s="1"/>
  <c r="L69" i="82"/>
  <c r="M202" i="48" s="1"/>
  <c r="M69" i="82"/>
  <c r="N202" i="48" s="1"/>
  <c r="M67" i="82"/>
  <c r="M66" i="82" s="1"/>
  <c r="K67" i="82"/>
  <c r="K66" i="82" s="1"/>
  <c r="I69" i="82"/>
  <c r="J202" i="48" s="1"/>
  <c r="I67" i="82"/>
  <c r="I66" i="82" s="1"/>
  <c r="E69" i="82"/>
  <c r="F202" i="48" s="1"/>
  <c r="E67" i="82"/>
  <c r="E66" i="82" s="1"/>
  <c r="N12" i="89"/>
  <c r="N48" i="82"/>
  <c r="O12" i="89"/>
  <c r="H151" i="48"/>
  <c r="K104" i="48"/>
  <c r="F104" i="48"/>
  <c r="N24" i="82"/>
  <c r="B12" i="94"/>
  <c r="B31" i="82"/>
  <c r="H104" i="48"/>
  <c r="C15" i="82"/>
  <c r="C16" i="82" s="1"/>
  <c r="C18" i="82" s="1"/>
  <c r="D64" i="48" s="1"/>
  <c r="F16" i="82"/>
  <c r="F18" i="82" s="1"/>
  <c r="G64" i="48" s="1"/>
  <c r="N14" i="82"/>
  <c r="G23" i="85"/>
  <c r="G24" i="85" s="1"/>
  <c r="G16" i="85"/>
  <c r="G17" i="85" s="1"/>
  <c r="G19" i="85" s="1"/>
  <c r="H66" i="48" s="1"/>
  <c r="B39" i="85"/>
  <c r="N32" i="85"/>
  <c r="F23" i="85"/>
  <c r="F24" i="85" s="1"/>
  <c r="F16" i="85"/>
  <c r="F17" i="85" s="1"/>
  <c r="F19" i="85" s="1"/>
  <c r="G66" i="48" s="1"/>
  <c r="M23" i="85"/>
  <c r="M24" i="85" s="1"/>
  <c r="M16" i="85"/>
  <c r="M17" i="85" s="1"/>
  <c r="M19" i="85" s="1"/>
  <c r="N66" i="48" s="1"/>
  <c r="E16" i="85"/>
  <c r="E17" i="85" s="1"/>
  <c r="E19" i="85" s="1"/>
  <c r="F66" i="48" s="1"/>
  <c r="H16" i="85"/>
  <c r="H17" i="85" s="1"/>
  <c r="H19" i="85" s="1"/>
  <c r="I66" i="48" s="1"/>
  <c r="K23" i="85"/>
  <c r="K24" i="85" s="1"/>
  <c r="K16" i="85"/>
  <c r="K17" i="85" s="1"/>
  <c r="K19" i="85" s="1"/>
  <c r="L66" i="48" s="1"/>
  <c r="C23" i="85"/>
  <c r="C24" i="85" s="1"/>
  <c r="C16" i="85"/>
  <c r="C17" i="85" s="1"/>
  <c r="C19" i="85" s="1"/>
  <c r="D66" i="48" s="1"/>
  <c r="J16" i="85"/>
  <c r="J17" i="85" s="1"/>
  <c r="J19" i="85" s="1"/>
  <c r="K66" i="48" s="1"/>
  <c r="J23" i="85"/>
  <c r="J24" i="85" s="1"/>
  <c r="B16" i="85"/>
  <c r="N15" i="85"/>
  <c r="I23" i="85"/>
  <c r="I24" i="85" s="1"/>
  <c r="I16" i="85"/>
  <c r="I17" i="85" s="1"/>
  <c r="I19" i="85" s="1"/>
  <c r="J66" i="48" s="1"/>
  <c r="L16" i="85"/>
  <c r="L17" i="85" s="1"/>
  <c r="L19" i="85" s="1"/>
  <c r="M66" i="48" s="1"/>
  <c r="D17" i="85"/>
  <c r="D19" i="85" s="1"/>
  <c r="E66" i="48" s="1"/>
  <c r="C150" i="48"/>
  <c r="B18" i="82"/>
  <c r="C64" i="48" s="1"/>
  <c r="N42" i="82"/>
  <c r="D150" i="48"/>
  <c r="G69" i="82" l="1"/>
  <c r="H202" i="48" s="1"/>
  <c r="H69" i="82"/>
  <c r="I202" i="48" s="1"/>
  <c r="F69" i="82"/>
  <c r="G202" i="48" s="1"/>
  <c r="Q14" i="81"/>
  <c r="B74" i="82"/>
  <c r="B41" i="85"/>
  <c r="B40" i="85" s="1"/>
  <c r="N40" i="85" s="1"/>
  <c r="B43" i="85"/>
  <c r="F66" i="82"/>
  <c r="K76" i="82"/>
  <c r="K75" i="82" s="1"/>
  <c r="K81" i="82"/>
  <c r="K78" i="82"/>
  <c r="L253" i="48" s="1"/>
  <c r="D81" i="82"/>
  <c r="D78" i="82"/>
  <c r="E253" i="48" s="1"/>
  <c r="D76" i="82"/>
  <c r="D75" i="82" s="1"/>
  <c r="B35" i="82"/>
  <c r="B33" i="82"/>
  <c r="B32" i="82" s="1"/>
  <c r="N32" i="82" s="1"/>
  <c r="I78" i="82"/>
  <c r="J253" i="48" s="1"/>
  <c r="I76" i="82"/>
  <c r="I75" i="82" s="1"/>
  <c r="I81" i="82"/>
  <c r="E81" i="82"/>
  <c r="E78" i="82"/>
  <c r="F253" i="48" s="1"/>
  <c r="E76" i="82"/>
  <c r="E75" i="82" s="1"/>
  <c r="G76" i="82"/>
  <c r="G75" i="82" s="1"/>
  <c r="G78" i="82"/>
  <c r="H253" i="48" s="1"/>
  <c r="G81" i="82"/>
  <c r="L78" i="82"/>
  <c r="M253" i="48" s="1"/>
  <c r="L76" i="82"/>
  <c r="L75" i="82" s="1"/>
  <c r="L81" i="82"/>
  <c r="F76" i="82"/>
  <c r="F75" i="82" s="1"/>
  <c r="F81" i="82"/>
  <c r="F78" i="82"/>
  <c r="G253" i="48" s="1"/>
  <c r="H81" i="82"/>
  <c r="H76" i="82"/>
  <c r="H75" i="82" s="1"/>
  <c r="H78" i="82"/>
  <c r="I253" i="48" s="1"/>
  <c r="M76" i="82"/>
  <c r="M75" i="82" s="1"/>
  <c r="M78" i="82"/>
  <c r="N253" i="48" s="1"/>
  <c r="M81" i="82"/>
  <c r="N15" i="81"/>
  <c r="K90" i="82" s="1"/>
  <c r="K15" i="81"/>
  <c r="H90" i="82" s="1"/>
  <c r="H15" i="81"/>
  <c r="E90" i="82" s="1"/>
  <c r="L15" i="81"/>
  <c r="I90" i="82" s="1"/>
  <c r="O15" i="81"/>
  <c r="L90" i="82" s="1"/>
  <c r="I15" i="81"/>
  <c r="F90" i="82" s="1"/>
  <c r="G15" i="81"/>
  <c r="D90" i="82" s="1"/>
  <c r="P15" i="81"/>
  <c r="M90" i="82" s="1"/>
  <c r="J15" i="81"/>
  <c r="G90" i="82" s="1"/>
  <c r="E15" i="81"/>
  <c r="D62" i="82"/>
  <c r="E201" i="48" s="1"/>
  <c r="D65" i="82"/>
  <c r="D12" i="91"/>
  <c r="D60" i="82"/>
  <c r="N60" i="82" s="1"/>
  <c r="D12" i="90"/>
  <c r="N58" i="82"/>
  <c r="N31" i="82"/>
  <c r="N49" i="82"/>
  <c r="C202" i="48"/>
  <c r="N25" i="82"/>
  <c r="O12" i="94"/>
  <c r="N12" i="94"/>
  <c r="N15" i="82"/>
  <c r="N26" i="82"/>
  <c r="H23" i="85"/>
  <c r="H24" i="85" s="1"/>
  <c r="N33" i="85"/>
  <c r="N39" i="85"/>
  <c r="L23" i="85"/>
  <c r="L24" i="85" s="1"/>
  <c r="N22" i="85"/>
  <c r="B23" i="85"/>
  <c r="E23" i="85"/>
  <c r="E24" i="85" s="1"/>
  <c r="D23" i="85"/>
  <c r="D24" i="85" s="1"/>
  <c r="B17" i="85"/>
  <c r="N16" i="85"/>
  <c r="O64" i="48"/>
  <c r="O150" i="48"/>
  <c r="C201" i="48"/>
  <c r="N18" i="82"/>
  <c r="N45" i="82"/>
  <c r="N16" i="82"/>
  <c r="N43" i="82"/>
  <c r="O201" i="48" l="1"/>
  <c r="D94" i="82"/>
  <c r="E303" i="48" s="1"/>
  <c r="D12" i="92"/>
  <c r="D97" i="82"/>
  <c r="D92" i="82"/>
  <c r="D91" i="82" s="1"/>
  <c r="H85" i="82"/>
  <c r="I254" i="48" s="1"/>
  <c r="H83" i="82"/>
  <c r="H82" i="82" s="1"/>
  <c r="L85" i="82"/>
  <c r="M254" i="48" s="1"/>
  <c r="L83" i="82"/>
  <c r="L82" i="82" s="1"/>
  <c r="D59" i="82"/>
  <c r="N59" i="82" s="1"/>
  <c r="N12" i="91"/>
  <c r="O12" i="91"/>
  <c r="G94" i="82"/>
  <c r="H303" i="48" s="1"/>
  <c r="G92" i="82"/>
  <c r="G91" i="82" s="1"/>
  <c r="G97" i="82"/>
  <c r="G12" i="92"/>
  <c r="O12" i="90"/>
  <c r="N12" i="90"/>
  <c r="N65" i="82"/>
  <c r="D67" i="82"/>
  <c r="D69" i="82"/>
  <c r="M12" i="92"/>
  <c r="M97" i="82"/>
  <c r="M92" i="82"/>
  <c r="M91" i="82" s="1"/>
  <c r="M94" i="82"/>
  <c r="N303" i="48" s="1"/>
  <c r="I97" i="82"/>
  <c r="I94" i="82"/>
  <c r="J303" i="48" s="1"/>
  <c r="I92" i="82"/>
  <c r="I91" i="82" s="1"/>
  <c r="I12" i="92"/>
  <c r="M85" i="82"/>
  <c r="N254" i="48" s="1"/>
  <c r="M83" i="82"/>
  <c r="M82" i="82" s="1"/>
  <c r="D83" i="82"/>
  <c r="D82" i="82" s="1"/>
  <c r="D85" i="82"/>
  <c r="E254" i="48" s="1"/>
  <c r="Q15" i="81"/>
  <c r="B90" i="82"/>
  <c r="F92" i="82"/>
  <c r="F91" i="82" s="1"/>
  <c r="F12" i="92"/>
  <c r="F97" i="82"/>
  <c r="F94" i="82"/>
  <c r="G303" i="48" s="1"/>
  <c r="H94" i="82"/>
  <c r="I303" i="48" s="1"/>
  <c r="H97" i="82"/>
  <c r="H92" i="82"/>
  <c r="H91" i="82" s="1"/>
  <c r="H12" i="92"/>
  <c r="F83" i="82"/>
  <c r="F82" i="82" s="1"/>
  <c r="F85" i="82"/>
  <c r="G254" i="48" s="1"/>
  <c r="K83" i="82"/>
  <c r="K82" i="82" s="1"/>
  <c r="K85" i="82"/>
  <c r="L254" i="48" s="1"/>
  <c r="N74" i="82"/>
  <c r="B78" i="82"/>
  <c r="N78" i="82" s="1"/>
  <c r="B76" i="82"/>
  <c r="B75" i="82" s="1"/>
  <c r="N75" i="82" s="1"/>
  <c r="B81" i="82"/>
  <c r="E97" i="82"/>
  <c r="E12" i="92"/>
  <c r="E92" i="82"/>
  <c r="E91" i="82" s="1"/>
  <c r="E94" i="82"/>
  <c r="F303" i="48" s="1"/>
  <c r="G85" i="82"/>
  <c r="H254" i="48" s="1"/>
  <c r="G83" i="82"/>
  <c r="G82" i="82" s="1"/>
  <c r="I85" i="82"/>
  <c r="J254" i="48" s="1"/>
  <c r="I83" i="82"/>
  <c r="I82" i="82" s="1"/>
  <c r="N62" i="82"/>
  <c r="L92" i="82"/>
  <c r="L91" i="82" s="1"/>
  <c r="L97" i="82"/>
  <c r="L12" i="92"/>
  <c r="L94" i="82"/>
  <c r="M303" i="48" s="1"/>
  <c r="K94" i="82"/>
  <c r="L303" i="48" s="1"/>
  <c r="K12" i="92"/>
  <c r="K92" i="82"/>
  <c r="K91" i="82" s="1"/>
  <c r="K97" i="82"/>
  <c r="E83" i="82"/>
  <c r="E82" i="82" s="1"/>
  <c r="E85" i="82"/>
  <c r="F254" i="48" s="1"/>
  <c r="N50" i="82"/>
  <c r="N33" i="82"/>
  <c r="N28" i="82"/>
  <c r="N17" i="85"/>
  <c r="B19" i="85"/>
  <c r="B24" i="85"/>
  <c r="N23" i="85"/>
  <c r="N34" i="85"/>
  <c r="C253" i="48" l="1"/>
  <c r="O253" i="48" s="1"/>
  <c r="N76" i="82"/>
  <c r="I99" i="82"/>
  <c r="I98" i="82" s="1"/>
  <c r="I101" i="82"/>
  <c r="J304" i="48" s="1"/>
  <c r="K99" i="82"/>
  <c r="K98" i="82" s="1"/>
  <c r="K101" i="82"/>
  <c r="L304" i="48" s="1"/>
  <c r="H99" i="82"/>
  <c r="H98" i="82" s="1"/>
  <c r="H101" i="82"/>
  <c r="I304" i="48" s="1"/>
  <c r="F101" i="82"/>
  <c r="G304" i="48" s="1"/>
  <c r="F99" i="82"/>
  <c r="F98" i="82"/>
  <c r="E202" i="48"/>
  <c r="O202" i="48" s="1"/>
  <c r="B112" i="75" s="1"/>
  <c r="D112" i="75" s="1"/>
  <c r="E112" i="75" s="1"/>
  <c r="N69" i="82"/>
  <c r="G99" i="82"/>
  <c r="G98" i="82"/>
  <c r="G101" i="82"/>
  <c r="H304" i="48" s="1"/>
  <c r="D101" i="82"/>
  <c r="E304" i="48" s="1"/>
  <c r="D99" i="82"/>
  <c r="D98" i="82" s="1"/>
  <c r="L101" i="82"/>
  <c r="M304" i="48" s="1"/>
  <c r="L99" i="82"/>
  <c r="L98" i="82" s="1"/>
  <c r="N81" i="82"/>
  <c r="B85" i="82"/>
  <c r="B83" i="82"/>
  <c r="N83" i="82" s="1"/>
  <c r="M99" i="82"/>
  <c r="M98" i="82" s="1"/>
  <c r="M101" i="82"/>
  <c r="N304" i="48" s="1"/>
  <c r="E101" i="82"/>
  <c r="F304" i="48" s="1"/>
  <c r="E99" i="82"/>
  <c r="E98" i="82" s="1"/>
  <c r="B94" i="82"/>
  <c r="B97" i="82"/>
  <c r="B92" i="82"/>
  <c r="B12" i="92"/>
  <c r="N90" i="82"/>
  <c r="D66" i="82"/>
  <c r="N66" i="82" s="1"/>
  <c r="N67" i="82"/>
  <c r="C105" i="48"/>
  <c r="O105" i="48" s="1"/>
  <c r="N35" i="82"/>
  <c r="N52" i="82"/>
  <c r="C151" i="48"/>
  <c r="O151" i="48" s="1"/>
  <c r="B80" i="75" s="1"/>
  <c r="D80" i="75" s="1"/>
  <c r="E80" i="75" s="1"/>
  <c r="C104" i="48"/>
  <c r="O104" i="48" s="1"/>
  <c r="N19" i="85"/>
  <c r="C66" i="48"/>
  <c r="O66" i="48" s="1"/>
  <c r="N41" i="85"/>
  <c r="N24" i="85"/>
  <c r="C106" i="48"/>
  <c r="O106" i="48" s="1"/>
  <c r="N36" i="85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 l="1"/>
  <c r="B91" i="82"/>
  <c r="N91" i="82" s="1"/>
  <c r="N92" i="82"/>
  <c r="N85" i="82"/>
  <c r="C254" i="48"/>
  <c r="O254" i="48" s="1"/>
  <c r="B144" i="75" s="1"/>
  <c r="D144" i="75" s="1"/>
  <c r="B82" i="82"/>
  <c r="N82" i="82" s="1"/>
  <c r="O12" i="92"/>
  <c r="N12" i="92"/>
  <c r="B99" i="82"/>
  <c r="N97" i="82"/>
  <c r="B101" i="82"/>
  <c r="B50" i="75"/>
  <c r="D50" i="75" s="1"/>
  <c r="E50" i="75" s="1"/>
  <c r="N94" i="82"/>
  <c r="C303" i="48"/>
  <c r="O303" i="48" s="1"/>
  <c r="N43" i="85"/>
  <c r="C107" i="48"/>
  <c r="O107" i="48" s="1"/>
  <c r="B51" i="75" s="1"/>
  <c r="Q11" i="71"/>
  <c r="D51" i="75" l="1"/>
  <c r="E51" i="75" s="1"/>
  <c r="N101" i="82"/>
  <c r="C304" i="48"/>
  <c r="O304" i="48" s="1"/>
  <c r="B176" i="75" s="1"/>
  <c r="D176" i="75" s="1"/>
  <c r="B98" i="82"/>
  <c r="N98" i="82" s="1"/>
  <c r="N99" i="82"/>
  <c r="B369" i="16"/>
  <c r="B364" i="16"/>
  <c r="B354" i="16"/>
  <c r="C349" i="16"/>
  <c r="D349" i="16"/>
  <c r="E349" i="16"/>
  <c r="F349" i="16"/>
  <c r="G349" i="16"/>
  <c r="H349" i="16"/>
  <c r="I349" i="16"/>
  <c r="J349" i="16"/>
  <c r="K349" i="16"/>
  <c r="L349" i="16"/>
  <c r="M349" i="16"/>
  <c r="B349" i="16"/>
  <c r="C344" i="16"/>
  <c r="D344" i="16"/>
  <c r="E344" i="16"/>
  <c r="F344" i="16"/>
  <c r="G344" i="16"/>
  <c r="H344" i="16"/>
  <c r="I344" i="16"/>
  <c r="J344" i="16"/>
  <c r="K344" i="16"/>
  <c r="L344" i="16"/>
  <c r="M344" i="16"/>
  <c r="B344" i="16"/>
  <c r="C339" i="16"/>
  <c r="D339" i="16"/>
  <c r="E339" i="16"/>
  <c r="F339" i="16"/>
  <c r="G339" i="16"/>
  <c r="H339" i="16"/>
  <c r="I339" i="16"/>
  <c r="J339" i="16"/>
  <c r="K339" i="16"/>
  <c r="L339" i="16"/>
  <c r="M339" i="16"/>
  <c r="B339" i="16"/>
  <c r="C334" i="16"/>
  <c r="D334" i="16"/>
  <c r="E334" i="16"/>
  <c r="F334" i="16"/>
  <c r="G334" i="16"/>
  <c r="H334" i="16"/>
  <c r="I334" i="16"/>
  <c r="J334" i="16"/>
  <c r="K334" i="16"/>
  <c r="L334" i="16"/>
  <c r="M334" i="16"/>
  <c r="B334" i="16"/>
  <c r="C194" i="16"/>
  <c r="D194" i="16"/>
  <c r="E194" i="16"/>
  <c r="F194" i="16"/>
  <c r="G194" i="16"/>
  <c r="H194" i="16"/>
  <c r="I194" i="16"/>
  <c r="J194" i="16"/>
  <c r="K194" i="16"/>
  <c r="L194" i="16"/>
  <c r="M194" i="16"/>
  <c r="B194" i="16"/>
  <c r="C339" i="64"/>
  <c r="D339" i="64"/>
  <c r="E339" i="64"/>
  <c r="F339" i="64"/>
  <c r="G339" i="64"/>
  <c r="H339" i="64"/>
  <c r="I339" i="64"/>
  <c r="J339" i="64"/>
  <c r="K339" i="64"/>
  <c r="L339" i="64"/>
  <c r="M339" i="64"/>
  <c r="B339" i="64"/>
  <c r="C344" i="64"/>
  <c r="D344" i="64"/>
  <c r="E344" i="64"/>
  <c r="F344" i="64"/>
  <c r="G344" i="64"/>
  <c r="H344" i="64"/>
  <c r="I344" i="64"/>
  <c r="J344" i="64"/>
  <c r="K344" i="64"/>
  <c r="L344" i="64"/>
  <c r="M344" i="64"/>
  <c r="B344" i="64"/>
  <c r="C349" i="64"/>
  <c r="D349" i="64"/>
  <c r="E349" i="64"/>
  <c r="F349" i="64"/>
  <c r="G349" i="64"/>
  <c r="H349" i="64"/>
  <c r="I349" i="64"/>
  <c r="J349" i="64"/>
  <c r="K349" i="64"/>
  <c r="L349" i="64"/>
  <c r="M349" i="64"/>
  <c r="B349" i="64"/>
  <c r="C354" i="64"/>
  <c r="D354" i="64"/>
  <c r="E354" i="64"/>
  <c r="F354" i="64"/>
  <c r="G354" i="64"/>
  <c r="H354" i="64"/>
  <c r="I354" i="64"/>
  <c r="J354" i="64"/>
  <c r="K354" i="64"/>
  <c r="L354" i="64"/>
  <c r="M354" i="64"/>
  <c r="B354" i="64"/>
  <c r="B359" i="64"/>
  <c r="B369" i="64"/>
  <c r="B379" i="64"/>
  <c r="K244" i="64"/>
  <c r="B244" i="64"/>
  <c r="M199" i="16"/>
  <c r="M198" i="64" s="1"/>
  <c r="L199" i="16"/>
  <c r="L198" i="64" s="1"/>
  <c r="K199" i="16"/>
  <c r="K198" i="64" s="1"/>
  <c r="J199" i="16"/>
  <c r="J198" i="64" s="1"/>
  <c r="I199" i="16"/>
  <c r="I198" i="64" s="1"/>
  <c r="H199" i="16"/>
  <c r="H198" i="64" s="1"/>
  <c r="G199" i="16"/>
  <c r="G198" i="64" s="1"/>
  <c r="F199" i="16"/>
  <c r="F198" i="64" s="1"/>
  <c r="E199" i="16"/>
  <c r="E198" i="64" s="1"/>
  <c r="D199" i="16"/>
  <c r="D198" i="64" s="1"/>
  <c r="C199" i="16"/>
  <c r="C198" i="64" s="1"/>
  <c r="B199" i="16"/>
  <c r="B198" i="64" s="1"/>
  <c r="C130" i="16"/>
  <c r="D130" i="16"/>
  <c r="E130" i="16"/>
  <c r="F130" i="16"/>
  <c r="G130" i="16"/>
  <c r="H130" i="16"/>
  <c r="I130" i="16"/>
  <c r="J130" i="16"/>
  <c r="K130" i="16"/>
  <c r="L130" i="16"/>
  <c r="M130" i="16"/>
  <c r="B130" i="16"/>
  <c r="C63" i="16"/>
  <c r="C38" i="64" s="1"/>
  <c r="D63" i="16"/>
  <c r="D38" i="64" s="1"/>
  <c r="E63" i="16"/>
  <c r="E38" i="64" s="1"/>
  <c r="F63" i="16"/>
  <c r="F38" i="64" s="1"/>
  <c r="G63" i="16"/>
  <c r="G38" i="64" s="1"/>
  <c r="H63" i="16"/>
  <c r="H38" i="64" s="1"/>
  <c r="I63" i="16"/>
  <c r="I38" i="64" s="1"/>
  <c r="J63" i="16"/>
  <c r="J38" i="64" s="1"/>
  <c r="K63" i="16"/>
  <c r="K38" i="64" s="1"/>
  <c r="L63" i="16"/>
  <c r="L38" i="64" s="1"/>
  <c r="M63" i="16"/>
  <c r="M38" i="64" s="1"/>
  <c r="B63" i="16"/>
  <c r="B38" i="64" s="1"/>
  <c r="B38" i="16"/>
  <c r="B58" i="64" s="1"/>
  <c r="G124" i="64"/>
  <c r="G125" i="16" s="1"/>
  <c r="B124" i="64"/>
  <c r="B125" i="16" s="1"/>
  <c r="C53" i="16"/>
  <c r="C53" i="64" s="1"/>
  <c r="D53" i="16"/>
  <c r="D53" i="64" s="1"/>
  <c r="E53" i="16"/>
  <c r="E53" i="64" s="1"/>
  <c r="F53" i="16"/>
  <c r="F53" i="64" s="1"/>
  <c r="G53" i="16"/>
  <c r="G53" i="64" s="1"/>
  <c r="H53" i="16"/>
  <c r="H53" i="64" s="1"/>
  <c r="I53" i="16"/>
  <c r="I53" i="64" s="1"/>
  <c r="J53" i="16"/>
  <c r="J53" i="64" s="1"/>
  <c r="K53" i="16"/>
  <c r="K53" i="64" s="1"/>
  <c r="L53" i="16"/>
  <c r="L53" i="64" s="1"/>
  <c r="M53" i="16"/>
  <c r="M53" i="64" s="1"/>
  <c r="B53" i="16"/>
  <c r="B53" i="64" s="1"/>
  <c r="L134" i="64" l="1"/>
  <c r="H134" i="64"/>
  <c r="D134" i="64"/>
  <c r="K134" i="64"/>
  <c r="G134" i="64"/>
  <c r="C134" i="64"/>
  <c r="B134" i="64"/>
  <c r="J134" i="64"/>
  <c r="F134" i="64"/>
  <c r="M134" i="64"/>
  <c r="I134" i="64"/>
  <c r="E134" i="64"/>
  <c r="N199" i="16"/>
  <c r="N130" i="16"/>
  <c r="N53" i="64"/>
  <c r="F55" i="64"/>
  <c r="L55" i="64"/>
  <c r="H55" i="64"/>
  <c r="D55" i="64"/>
  <c r="J55" i="64"/>
  <c r="K55" i="64"/>
  <c r="G55" i="64"/>
  <c r="C55" i="64"/>
  <c r="E55" i="64"/>
  <c r="I55" i="64"/>
  <c r="M55" i="64"/>
  <c r="B55" i="64"/>
  <c r="N53" i="16"/>
  <c r="N134" i="64" l="1"/>
  <c r="N55" i="64"/>
  <c r="N63" i="16" l="1"/>
  <c r="B114" i="61" l="1"/>
  <c r="C139" i="61"/>
  <c r="C164" i="61" s="1"/>
  <c r="C165" i="61" s="1"/>
  <c r="D139" i="61"/>
  <c r="D164" i="61" s="1"/>
  <c r="D165" i="61" s="1"/>
  <c r="E139" i="61"/>
  <c r="E164" i="61" s="1"/>
  <c r="E165" i="61" s="1"/>
  <c r="F139" i="61"/>
  <c r="F164" i="61" s="1"/>
  <c r="F165" i="61" s="1"/>
  <c r="G139" i="61"/>
  <c r="G164" i="61" s="1"/>
  <c r="G165" i="61" s="1"/>
  <c r="H139" i="61"/>
  <c r="H164" i="61" s="1"/>
  <c r="H165" i="61" s="1"/>
  <c r="I139" i="61"/>
  <c r="I164" i="61" s="1"/>
  <c r="I165" i="61" s="1"/>
  <c r="J139" i="61"/>
  <c r="J164" i="61" s="1"/>
  <c r="J165" i="61" s="1"/>
  <c r="K139" i="61"/>
  <c r="K164" i="61" s="1"/>
  <c r="K165" i="61" s="1"/>
  <c r="L139" i="61"/>
  <c r="L164" i="61" s="1"/>
  <c r="L165" i="61" s="1"/>
  <c r="M139" i="61"/>
  <c r="M164" i="61" s="1"/>
  <c r="M165" i="61" s="1"/>
  <c r="B139" i="61"/>
  <c r="B164" i="61" s="1"/>
  <c r="B165" i="61" s="1"/>
  <c r="C114" i="61"/>
  <c r="D114" i="61"/>
  <c r="E114" i="61"/>
  <c r="F114" i="61"/>
  <c r="G114" i="61"/>
  <c r="H114" i="61"/>
  <c r="I114" i="61"/>
  <c r="J114" i="61"/>
  <c r="K114" i="61"/>
  <c r="L114" i="61"/>
  <c r="M114" i="61"/>
  <c r="C89" i="61"/>
  <c r="D89" i="61"/>
  <c r="E89" i="61"/>
  <c r="F89" i="61"/>
  <c r="G89" i="61"/>
  <c r="H89" i="61"/>
  <c r="I89" i="61"/>
  <c r="J89" i="61"/>
  <c r="K89" i="61"/>
  <c r="L89" i="61"/>
  <c r="M89" i="61"/>
  <c r="B89" i="61"/>
  <c r="C64" i="61"/>
  <c r="D64" i="61"/>
  <c r="E64" i="61"/>
  <c r="F64" i="61"/>
  <c r="G64" i="61"/>
  <c r="H64" i="61"/>
  <c r="I64" i="61"/>
  <c r="J64" i="61"/>
  <c r="K64" i="61"/>
  <c r="L64" i="61"/>
  <c r="M64" i="61"/>
  <c r="B64" i="61"/>
  <c r="B68" i="61"/>
  <c r="B75" i="61" l="1"/>
  <c r="N75" i="61" s="1"/>
  <c r="N68" i="61"/>
  <c r="L339" i="48"/>
  <c r="H339" i="48"/>
  <c r="K339" i="48"/>
  <c r="G339" i="48"/>
  <c r="N339" i="48"/>
  <c r="J339" i="48"/>
  <c r="M339" i="48"/>
  <c r="I339" i="48"/>
  <c r="E339" i="48"/>
  <c r="D339" i="48"/>
  <c r="C339" i="48"/>
  <c r="N165" i="61"/>
  <c r="F339" i="48"/>
  <c r="B85" i="73"/>
  <c r="M85" i="73"/>
  <c r="L85" i="73"/>
  <c r="K85" i="73"/>
  <c r="J85" i="73"/>
  <c r="I85" i="73"/>
  <c r="H85" i="73"/>
  <c r="G85" i="73"/>
  <c r="F85" i="73"/>
  <c r="E85" i="73"/>
  <c r="D85" i="73"/>
  <c r="C85" i="73"/>
  <c r="C84" i="79"/>
  <c r="D84" i="79"/>
  <c r="E84" i="79"/>
  <c r="F84" i="79"/>
  <c r="B84" i="79"/>
  <c r="M84" i="79"/>
  <c r="L84" i="79"/>
  <c r="K84" i="79"/>
  <c r="J84" i="79"/>
  <c r="I84" i="79"/>
  <c r="H84" i="79"/>
  <c r="G84" i="79"/>
  <c r="O81" i="79"/>
  <c r="G81" i="79"/>
  <c r="G88" i="79" s="1"/>
  <c r="H81" i="79"/>
  <c r="H82" i="79" s="1"/>
  <c r="I81" i="79"/>
  <c r="I82" i="79" s="1"/>
  <c r="J81" i="79"/>
  <c r="J88" i="79" s="1"/>
  <c r="K81" i="79"/>
  <c r="K88" i="79" s="1"/>
  <c r="L81" i="79"/>
  <c r="L82" i="79" s="1"/>
  <c r="M81" i="79"/>
  <c r="Q15" i="78"/>
  <c r="M68" i="79"/>
  <c r="L68" i="79"/>
  <c r="K68" i="79"/>
  <c r="J68" i="79"/>
  <c r="I68" i="79"/>
  <c r="H68" i="79"/>
  <c r="G68" i="79"/>
  <c r="F68" i="79"/>
  <c r="E68" i="79"/>
  <c r="D68" i="79"/>
  <c r="C68" i="79"/>
  <c r="B68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A29" i="79"/>
  <c r="A46" i="79" s="1"/>
  <c r="A63" i="79" s="1"/>
  <c r="A79" i="79" s="1"/>
  <c r="M17" i="79"/>
  <c r="L17" i="79"/>
  <c r="K17" i="79"/>
  <c r="J17" i="79"/>
  <c r="I17" i="79"/>
  <c r="H17" i="79"/>
  <c r="G17" i="79"/>
  <c r="F17" i="79"/>
  <c r="E17" i="79"/>
  <c r="D17" i="79"/>
  <c r="C17" i="79"/>
  <c r="B17" i="79"/>
  <c r="C7" i="79"/>
  <c r="D7" i="79" s="1"/>
  <c r="E7" i="79" s="1"/>
  <c r="F7" i="79" s="1"/>
  <c r="G7" i="79" s="1"/>
  <c r="H7" i="79" s="1"/>
  <c r="I7" i="79" s="1"/>
  <c r="J7" i="79" s="1"/>
  <c r="K7" i="79" s="1"/>
  <c r="L7" i="79" s="1"/>
  <c r="M7" i="79" s="1"/>
  <c r="B5" i="79"/>
  <c r="B4" i="79"/>
  <c r="D11" i="78"/>
  <c r="D12" i="78" s="1"/>
  <c r="D13" i="78" s="1"/>
  <c r="D14" i="78" s="1"/>
  <c r="D15" i="78" s="1"/>
  <c r="O339" i="48" l="1"/>
  <c r="M82" i="79"/>
  <c r="M83" i="79" s="1"/>
  <c r="M85" i="79" s="1"/>
  <c r="M88" i="79"/>
  <c r="M89" i="79" s="1"/>
  <c r="M90" i="79" s="1"/>
  <c r="I88" i="79"/>
  <c r="I89" i="79" s="1"/>
  <c r="I90" i="79" s="1"/>
  <c r="J82" i="79"/>
  <c r="J83" i="79" s="1"/>
  <c r="J85" i="79" s="1"/>
  <c r="H83" i="79"/>
  <c r="H85" i="79" s="1"/>
  <c r="L83" i="79"/>
  <c r="L85" i="79" s="1"/>
  <c r="I83" i="79"/>
  <c r="I85" i="79" s="1"/>
  <c r="J89" i="79"/>
  <c r="J90" i="79" s="1"/>
  <c r="G82" i="79"/>
  <c r="G83" i="79" s="1"/>
  <c r="G85" i="79" s="1"/>
  <c r="K82" i="79"/>
  <c r="H88" i="79"/>
  <c r="L88" i="79"/>
  <c r="G89" i="79"/>
  <c r="G90" i="79" s="1"/>
  <c r="G92" i="79" s="1"/>
  <c r="H252" i="48" s="1"/>
  <c r="K89" i="79"/>
  <c r="K90" i="79" s="1"/>
  <c r="L89" i="79" l="1"/>
  <c r="L90" i="79" s="1"/>
  <c r="K83" i="79"/>
  <c r="K85" i="79" s="1"/>
  <c r="H89" i="79"/>
  <c r="H90" i="79" s="1"/>
  <c r="N384" i="64" l="1"/>
  <c r="N65" i="48"/>
  <c r="M65" i="48"/>
  <c r="L65" i="48"/>
  <c r="K65" i="48"/>
  <c r="J65" i="48"/>
  <c r="I65" i="48"/>
  <c r="H65" i="48"/>
  <c r="F65" i="48"/>
  <c r="E65" i="48"/>
  <c r="D65" i="48"/>
  <c r="C65" i="48"/>
  <c r="C102" i="49"/>
  <c r="C119" i="49" s="1"/>
  <c r="D102" i="49"/>
  <c r="D119" i="49" s="1"/>
  <c r="E102" i="49"/>
  <c r="E119" i="49" s="1"/>
  <c r="F102" i="49"/>
  <c r="F119" i="49" s="1"/>
  <c r="G102" i="49"/>
  <c r="G119" i="49" s="1"/>
  <c r="H102" i="49"/>
  <c r="H119" i="49" s="1"/>
  <c r="I102" i="49"/>
  <c r="I119" i="49" s="1"/>
  <c r="J102" i="49"/>
  <c r="J119" i="49" s="1"/>
  <c r="K102" i="49"/>
  <c r="K119" i="49" s="1"/>
  <c r="L102" i="49"/>
  <c r="L119" i="49" s="1"/>
  <c r="M102" i="49"/>
  <c r="M119" i="49" s="1"/>
  <c r="B102" i="49"/>
  <c r="B119" i="49" s="1"/>
  <c r="B120" i="49" s="1"/>
  <c r="B149" i="18"/>
  <c r="B174" i="18" s="1"/>
  <c r="C139" i="18"/>
  <c r="C164" i="18" s="1"/>
  <c r="C165" i="18" s="1"/>
  <c r="D342" i="48" s="1"/>
  <c r="D139" i="18"/>
  <c r="D164" i="18" s="1"/>
  <c r="D165" i="18" s="1"/>
  <c r="E342" i="48" s="1"/>
  <c r="E139" i="18"/>
  <c r="E164" i="18" s="1"/>
  <c r="E165" i="18" s="1"/>
  <c r="F342" i="48" s="1"/>
  <c r="F139" i="18"/>
  <c r="F164" i="18" s="1"/>
  <c r="F165" i="18" s="1"/>
  <c r="G342" i="48" s="1"/>
  <c r="G139" i="18"/>
  <c r="G164" i="18" s="1"/>
  <c r="G165" i="18" s="1"/>
  <c r="H342" i="48" s="1"/>
  <c r="H139" i="18"/>
  <c r="H164" i="18" s="1"/>
  <c r="H165" i="18" s="1"/>
  <c r="I342" i="48" s="1"/>
  <c r="I139" i="18"/>
  <c r="I164" i="18" s="1"/>
  <c r="I165" i="18" s="1"/>
  <c r="J342" i="48" s="1"/>
  <c r="J139" i="18"/>
  <c r="J164" i="18" s="1"/>
  <c r="J165" i="18" s="1"/>
  <c r="K342" i="48" s="1"/>
  <c r="K139" i="18"/>
  <c r="K164" i="18" s="1"/>
  <c r="K165" i="18" s="1"/>
  <c r="L342" i="48" s="1"/>
  <c r="L139" i="18"/>
  <c r="L164" i="18" s="1"/>
  <c r="L165" i="18" s="1"/>
  <c r="M342" i="48" s="1"/>
  <c r="M139" i="18"/>
  <c r="M164" i="18" s="1"/>
  <c r="M165" i="18" s="1"/>
  <c r="N342" i="48" s="1"/>
  <c r="B139" i="18"/>
  <c r="B164" i="18" s="1"/>
  <c r="B165" i="18" s="1"/>
  <c r="C342" i="48" s="1"/>
  <c r="A14" i="47"/>
  <c r="A15" i="47" s="1"/>
  <c r="A16" i="47" s="1"/>
  <c r="A17" i="47" s="1"/>
  <c r="A18" i="47" s="1"/>
  <c r="E20" i="47"/>
  <c r="F20" i="47"/>
  <c r="I20" i="47"/>
  <c r="J20" i="47"/>
  <c r="M20" i="47"/>
  <c r="C20" i="47"/>
  <c r="G20" i="47"/>
  <c r="K20" i="47"/>
  <c r="D20" i="47"/>
  <c r="H20" i="47"/>
  <c r="L20" i="47"/>
  <c r="B20" i="47"/>
  <c r="C140" i="14"/>
  <c r="C165" i="14" s="1"/>
  <c r="D140" i="14"/>
  <c r="D165" i="14" s="1"/>
  <c r="E140" i="14"/>
  <c r="E165" i="14" s="1"/>
  <c r="F140" i="14"/>
  <c r="F165" i="14" s="1"/>
  <c r="G140" i="14"/>
  <c r="G165" i="14" s="1"/>
  <c r="H140" i="14"/>
  <c r="H165" i="14" s="1"/>
  <c r="I140" i="14"/>
  <c r="I165" i="14" s="1"/>
  <c r="I166" i="14" s="1"/>
  <c r="J140" i="14"/>
  <c r="J165" i="14" s="1"/>
  <c r="K140" i="14"/>
  <c r="K165" i="14" s="1"/>
  <c r="L140" i="14"/>
  <c r="L165" i="14" s="1"/>
  <c r="M140" i="14"/>
  <c r="M165" i="14" s="1"/>
  <c r="B140" i="14"/>
  <c r="B165" i="14" s="1"/>
  <c r="B166" i="14" s="1"/>
  <c r="M154" i="14"/>
  <c r="L154" i="14"/>
  <c r="K154" i="14"/>
  <c r="J154" i="14"/>
  <c r="I154" i="14"/>
  <c r="H154" i="14"/>
  <c r="G154" i="14"/>
  <c r="F154" i="14"/>
  <c r="E154" i="14"/>
  <c r="D154" i="14"/>
  <c r="C154" i="14"/>
  <c r="B154" i="14"/>
  <c r="O137" i="14"/>
  <c r="C20" i="63"/>
  <c r="C21" i="63" s="1"/>
  <c r="C22" i="63" s="1"/>
  <c r="C23" i="63" s="1"/>
  <c r="C24" i="63" s="1"/>
  <c r="C25" i="63" s="1"/>
  <c r="I42" i="63"/>
  <c r="K24" i="63" s="1"/>
  <c r="I41" i="63"/>
  <c r="I40" i="63"/>
  <c r="I39" i="63"/>
  <c r="I38" i="63"/>
  <c r="I37" i="63"/>
  <c r="I36" i="63"/>
  <c r="I35" i="63"/>
  <c r="I34" i="63"/>
  <c r="I33" i="63"/>
  <c r="I32" i="63"/>
  <c r="K19" i="63" s="1"/>
  <c r="I31" i="63"/>
  <c r="J325" i="48"/>
  <c r="I325" i="48"/>
  <c r="H325" i="48"/>
  <c r="G325" i="48"/>
  <c r="F325" i="48"/>
  <c r="E325" i="48"/>
  <c r="D325" i="48"/>
  <c r="C325" i="48"/>
  <c r="N325" i="48"/>
  <c r="M325" i="48"/>
  <c r="K325" i="48"/>
  <c r="L325" i="48"/>
  <c r="K120" i="49" l="1"/>
  <c r="L347" i="48" s="1"/>
  <c r="G120" i="49"/>
  <c r="H347" i="48" s="1"/>
  <c r="C120" i="49"/>
  <c r="D347" i="48" s="1"/>
  <c r="J120" i="49"/>
  <c r="K347" i="48" s="1"/>
  <c r="M120" i="49"/>
  <c r="N347" i="48" s="1"/>
  <c r="I120" i="49"/>
  <c r="J347" i="48" s="1"/>
  <c r="E120" i="49"/>
  <c r="F347" i="48" s="1"/>
  <c r="F120" i="49"/>
  <c r="G347" i="48" s="1"/>
  <c r="L120" i="49"/>
  <c r="M347" i="48" s="1"/>
  <c r="H120" i="49"/>
  <c r="I347" i="48" s="1"/>
  <c r="D120" i="49"/>
  <c r="E347" i="48" s="1"/>
  <c r="J35" i="63"/>
  <c r="J39" i="63"/>
  <c r="D19" i="63"/>
  <c r="J31" i="63"/>
  <c r="J33" i="63"/>
  <c r="J37" i="63"/>
  <c r="D24" i="63"/>
  <c r="B137" i="14" s="1"/>
  <c r="J41" i="63"/>
  <c r="C336" i="48"/>
  <c r="J336" i="48"/>
  <c r="C347" i="48"/>
  <c r="O342" i="48"/>
  <c r="N165" i="18"/>
  <c r="C174" i="18"/>
  <c r="B175" i="18"/>
  <c r="C344" i="48" s="1"/>
  <c r="I137" i="14"/>
  <c r="N344" i="64"/>
  <c r="N354" i="64"/>
  <c r="N339" i="64"/>
  <c r="N349" i="64"/>
  <c r="N13" i="47"/>
  <c r="B15" i="18"/>
  <c r="N17" i="47"/>
  <c r="N16" i="47"/>
  <c r="N15" i="47"/>
  <c r="N14" i="47"/>
  <c r="N18" i="47"/>
  <c r="O19" i="47" s="1"/>
  <c r="N120" i="49" l="1"/>
  <c r="B144" i="14"/>
  <c r="B17" i="92"/>
  <c r="I138" i="14"/>
  <c r="I139" i="14" s="1"/>
  <c r="I141" i="14" s="1"/>
  <c r="J286" i="48" s="1"/>
  <c r="I17" i="92"/>
  <c r="O347" i="48"/>
  <c r="B17" i="24"/>
  <c r="B16" i="24" s="1"/>
  <c r="B151" i="14"/>
  <c r="B152" i="14" s="1"/>
  <c r="B138" i="14"/>
  <c r="B139" i="14" s="1"/>
  <c r="B141" i="14" s="1"/>
  <c r="C286" i="48" s="1"/>
  <c r="D174" i="18"/>
  <c r="C175" i="18"/>
  <c r="D344" i="48" s="1"/>
  <c r="I144" i="14"/>
  <c r="I145" i="14" s="1"/>
  <c r="I146" i="14" s="1"/>
  <c r="I151" i="14"/>
  <c r="I152" i="14" s="1"/>
  <c r="I153" i="14" s="1"/>
  <c r="I155" i="14" s="1"/>
  <c r="N339" i="16"/>
  <c r="O18" i="47"/>
  <c r="O14" i="47"/>
  <c r="N334" i="16"/>
  <c r="N344" i="16"/>
  <c r="N349" i="16"/>
  <c r="O15" i="47"/>
  <c r="O16" i="47"/>
  <c r="O17" i="47"/>
  <c r="B145" i="14"/>
  <c r="B146" i="14" s="1"/>
  <c r="B153" i="14" l="1"/>
  <c r="B155" i="14" s="1"/>
  <c r="C288" i="48" s="1"/>
  <c r="E174" i="18"/>
  <c r="D175" i="18"/>
  <c r="E344" i="48" s="1"/>
  <c r="G324" i="48"/>
  <c r="N324" i="48"/>
  <c r="F324" i="48"/>
  <c r="E324" i="48"/>
  <c r="J324" i="48"/>
  <c r="J288" i="48"/>
  <c r="H324" i="48"/>
  <c r="M324" i="48"/>
  <c r="K324" i="48"/>
  <c r="I324" i="48"/>
  <c r="F174" i="18" l="1"/>
  <c r="E175" i="18"/>
  <c r="F344" i="48" s="1"/>
  <c r="G174" i="18" l="1"/>
  <c r="F175" i="18"/>
  <c r="G344" i="48" s="1"/>
  <c r="L324" i="48"/>
  <c r="H174" i="18" l="1"/>
  <c r="G175" i="18"/>
  <c r="H344" i="48" s="1"/>
  <c r="C68" i="73"/>
  <c r="D68" i="73"/>
  <c r="E68" i="73"/>
  <c r="F68" i="73"/>
  <c r="G68" i="73"/>
  <c r="H68" i="73"/>
  <c r="I68" i="73"/>
  <c r="J68" i="73"/>
  <c r="K68" i="73"/>
  <c r="L68" i="73"/>
  <c r="M68" i="73"/>
  <c r="B68" i="73"/>
  <c r="C51" i="73"/>
  <c r="D51" i="73"/>
  <c r="E51" i="73"/>
  <c r="F51" i="73"/>
  <c r="G51" i="73"/>
  <c r="H51" i="73"/>
  <c r="I51" i="73"/>
  <c r="J51" i="73"/>
  <c r="K51" i="73"/>
  <c r="L51" i="73"/>
  <c r="M51" i="73"/>
  <c r="B51" i="73"/>
  <c r="C34" i="73"/>
  <c r="D34" i="73"/>
  <c r="E34" i="73"/>
  <c r="F34" i="73"/>
  <c r="G34" i="73"/>
  <c r="H34" i="73"/>
  <c r="I34" i="73"/>
  <c r="J34" i="73"/>
  <c r="K34" i="73"/>
  <c r="L34" i="73"/>
  <c r="M34" i="73"/>
  <c r="B34" i="73"/>
  <c r="C17" i="73"/>
  <c r="D17" i="73"/>
  <c r="E17" i="73"/>
  <c r="F17" i="73"/>
  <c r="G17" i="73"/>
  <c r="H17" i="73"/>
  <c r="I17" i="73"/>
  <c r="J17" i="73"/>
  <c r="K17" i="73"/>
  <c r="L17" i="73"/>
  <c r="M17" i="73"/>
  <c r="B17" i="73"/>
  <c r="F14" i="72"/>
  <c r="C82" i="73" s="1"/>
  <c r="C15" i="91" s="1"/>
  <c r="G14" i="72"/>
  <c r="D82" i="73" s="1"/>
  <c r="D15" i="91" s="1"/>
  <c r="H14" i="72"/>
  <c r="E82" i="73" s="1"/>
  <c r="E15" i="91" s="1"/>
  <c r="I14" i="72"/>
  <c r="F82" i="73" s="1"/>
  <c r="F15" i="91" s="1"/>
  <c r="J14" i="72"/>
  <c r="G82" i="73" s="1"/>
  <c r="G15" i="91" s="1"/>
  <c r="K14" i="72"/>
  <c r="H82" i="73" s="1"/>
  <c r="H15" i="91" s="1"/>
  <c r="L14" i="72"/>
  <c r="I82" i="73" s="1"/>
  <c r="I15" i="91" s="1"/>
  <c r="M14" i="72"/>
  <c r="J82" i="73" s="1"/>
  <c r="J15" i="91" s="1"/>
  <c r="N14" i="72"/>
  <c r="K82" i="73" s="1"/>
  <c r="K15" i="91" s="1"/>
  <c r="O14" i="72"/>
  <c r="L82" i="73" s="1"/>
  <c r="L15" i="91" s="1"/>
  <c r="P14" i="72"/>
  <c r="M82" i="73" s="1"/>
  <c r="M15" i="91" s="1"/>
  <c r="I174" i="18" l="1"/>
  <c r="H175" i="18"/>
  <c r="I344" i="48" s="1"/>
  <c r="E83" i="73"/>
  <c r="E84" i="73" s="1"/>
  <c r="E86" i="73" s="1"/>
  <c r="F249" i="48" s="1"/>
  <c r="E89" i="73"/>
  <c r="L83" i="73"/>
  <c r="L84" i="73" s="1"/>
  <c r="L86" i="73" s="1"/>
  <c r="M249" i="48" s="1"/>
  <c r="L89" i="73"/>
  <c r="L90" i="73" s="1"/>
  <c r="L91" i="73" s="1"/>
  <c r="H83" i="73"/>
  <c r="H84" i="73" s="1"/>
  <c r="H86" i="73" s="1"/>
  <c r="I249" i="48" s="1"/>
  <c r="H89" i="73"/>
  <c r="H90" i="73" s="1"/>
  <c r="H91" i="73" s="1"/>
  <c r="D83" i="73"/>
  <c r="D84" i="73" s="1"/>
  <c r="D86" i="73" s="1"/>
  <c r="E249" i="48" s="1"/>
  <c r="D89" i="73"/>
  <c r="D90" i="73" s="1"/>
  <c r="D91" i="73" s="1"/>
  <c r="M83" i="73"/>
  <c r="M84" i="73" s="1"/>
  <c r="M86" i="73" s="1"/>
  <c r="N249" i="48" s="1"/>
  <c r="M89" i="73"/>
  <c r="I83" i="73"/>
  <c r="I84" i="73" s="1"/>
  <c r="I86" i="73" s="1"/>
  <c r="J249" i="48" s="1"/>
  <c r="I89" i="73"/>
  <c r="I90" i="73" s="1"/>
  <c r="I91" i="73" s="1"/>
  <c r="K83" i="73"/>
  <c r="K84" i="73" s="1"/>
  <c r="K86" i="73" s="1"/>
  <c r="L249" i="48" s="1"/>
  <c r="K89" i="73"/>
  <c r="K90" i="73" s="1"/>
  <c r="K91" i="73" s="1"/>
  <c r="G83" i="73"/>
  <c r="G84" i="73" s="1"/>
  <c r="G86" i="73" s="1"/>
  <c r="H249" i="48" s="1"/>
  <c r="G89" i="73"/>
  <c r="G90" i="73" s="1"/>
  <c r="G91" i="73" s="1"/>
  <c r="C83" i="73"/>
  <c r="C84" i="73" s="1"/>
  <c r="C89" i="73"/>
  <c r="J89" i="73"/>
  <c r="J90" i="73" s="1"/>
  <c r="J91" i="73" s="1"/>
  <c r="J83" i="73"/>
  <c r="J84" i="73" s="1"/>
  <c r="J86" i="73" s="1"/>
  <c r="K249" i="48" s="1"/>
  <c r="F89" i="73"/>
  <c r="F90" i="73" s="1"/>
  <c r="F91" i="73" s="1"/>
  <c r="F83" i="73"/>
  <c r="F84" i="73" s="1"/>
  <c r="F86" i="73" s="1"/>
  <c r="G249" i="48" s="1"/>
  <c r="C102" i="70"/>
  <c r="C119" i="70" s="1"/>
  <c r="D102" i="70"/>
  <c r="D119" i="70" s="1"/>
  <c r="E102" i="70"/>
  <c r="E119" i="70" s="1"/>
  <c r="F102" i="70"/>
  <c r="F119" i="70" s="1"/>
  <c r="G102" i="70"/>
  <c r="G119" i="70" s="1"/>
  <c r="H102" i="70"/>
  <c r="H119" i="70" s="1"/>
  <c r="I102" i="70"/>
  <c r="I119" i="70" s="1"/>
  <c r="J102" i="70"/>
  <c r="J119" i="70" s="1"/>
  <c r="K102" i="70"/>
  <c r="K119" i="70" s="1"/>
  <c r="L102" i="70"/>
  <c r="L119" i="70" s="1"/>
  <c r="M102" i="70"/>
  <c r="M119" i="70" s="1"/>
  <c r="B102" i="70"/>
  <c r="B119" i="70" s="1"/>
  <c r="B120" i="70" s="1"/>
  <c r="C99" i="70"/>
  <c r="D99" i="70"/>
  <c r="E99" i="70"/>
  <c r="F99" i="70"/>
  <c r="G99" i="70"/>
  <c r="H99" i="70"/>
  <c r="I99" i="70"/>
  <c r="J99" i="70"/>
  <c r="K99" i="70"/>
  <c r="L99" i="70"/>
  <c r="M99" i="70"/>
  <c r="B99" i="70"/>
  <c r="Q16" i="71"/>
  <c r="C328" i="4"/>
  <c r="D328" i="4"/>
  <c r="E328" i="4"/>
  <c r="F328" i="4"/>
  <c r="G328" i="4"/>
  <c r="H328" i="4"/>
  <c r="I328" i="4"/>
  <c r="J328" i="4"/>
  <c r="K328" i="4"/>
  <c r="L328" i="4"/>
  <c r="M328" i="4"/>
  <c r="B328" i="4"/>
  <c r="D35" i="11"/>
  <c r="E35" i="11"/>
  <c r="F35" i="11"/>
  <c r="G35" i="11"/>
  <c r="H35" i="11"/>
  <c r="C15" i="11"/>
  <c r="C18" i="11" s="1"/>
  <c r="C21" i="11" s="1"/>
  <c r="C24" i="11" s="1"/>
  <c r="C27" i="11" s="1"/>
  <c r="C30" i="11" s="1"/>
  <c r="J14" i="92" l="1"/>
  <c r="J103" i="70"/>
  <c r="J101" i="70"/>
  <c r="J100" i="70" s="1"/>
  <c r="F14" i="92"/>
  <c r="F103" i="70"/>
  <c r="F101" i="70"/>
  <c r="F100" i="70" s="1"/>
  <c r="J120" i="70"/>
  <c r="K349" i="48" s="1"/>
  <c r="L103" i="70"/>
  <c r="M299" i="48" s="1"/>
  <c r="L101" i="70"/>
  <c r="L100" i="70" s="1"/>
  <c r="D101" i="70"/>
  <c r="D100" i="70" s="1"/>
  <c r="D103" i="70"/>
  <c r="E299" i="48" s="1"/>
  <c r="L120" i="70"/>
  <c r="M349" i="48" s="1"/>
  <c r="H120" i="70"/>
  <c r="I349" i="48" s="1"/>
  <c r="D120" i="70"/>
  <c r="E349" i="48" s="1"/>
  <c r="K14" i="92"/>
  <c r="K103" i="70"/>
  <c r="L299" i="48" s="1"/>
  <c r="K101" i="70"/>
  <c r="K100" i="70" s="1"/>
  <c r="G103" i="70"/>
  <c r="H299" i="48" s="1"/>
  <c r="G101" i="70"/>
  <c r="G100" i="70" s="1"/>
  <c r="K120" i="70"/>
  <c r="L349" i="48" s="1"/>
  <c r="G120" i="70"/>
  <c r="H349" i="48" s="1"/>
  <c r="C120" i="70"/>
  <c r="F120" i="70"/>
  <c r="G349" i="48" s="1"/>
  <c r="M101" i="70"/>
  <c r="M100" i="70" s="1"/>
  <c r="M103" i="70"/>
  <c r="N299" i="48" s="1"/>
  <c r="I101" i="70"/>
  <c r="I100" i="70" s="1"/>
  <c r="I103" i="70"/>
  <c r="J299" i="48" s="1"/>
  <c r="E101" i="70"/>
  <c r="E100" i="70" s="1"/>
  <c r="E103" i="70"/>
  <c r="F299" i="48" s="1"/>
  <c r="M120" i="70"/>
  <c r="N349" i="48" s="1"/>
  <c r="I120" i="70"/>
  <c r="J349" i="48" s="1"/>
  <c r="E120" i="70"/>
  <c r="F349" i="48" s="1"/>
  <c r="B14" i="92"/>
  <c r="B103" i="70"/>
  <c r="B101" i="70"/>
  <c r="B100" i="70" s="1"/>
  <c r="H103" i="70"/>
  <c r="I299" i="48" s="1"/>
  <c r="H101" i="70"/>
  <c r="H100" i="70" s="1"/>
  <c r="C14" i="92"/>
  <c r="C103" i="70"/>
  <c r="D299" i="48" s="1"/>
  <c r="C101" i="70"/>
  <c r="C100" i="70" s="1"/>
  <c r="M14" i="92"/>
  <c r="I14" i="92"/>
  <c r="E106" i="70"/>
  <c r="E14" i="92"/>
  <c r="L14" i="92"/>
  <c r="H14" i="92"/>
  <c r="D14" i="92"/>
  <c r="G14" i="92"/>
  <c r="C349" i="48"/>
  <c r="J174" i="18"/>
  <c r="I175" i="18"/>
  <c r="J344" i="48" s="1"/>
  <c r="I106" i="70"/>
  <c r="M106" i="70"/>
  <c r="B99" i="49"/>
  <c r="J99" i="49"/>
  <c r="F99" i="49"/>
  <c r="I99" i="49"/>
  <c r="E99" i="49"/>
  <c r="L99" i="49"/>
  <c r="H99" i="49"/>
  <c r="D99" i="49"/>
  <c r="K99" i="49"/>
  <c r="G99" i="49"/>
  <c r="C99" i="49"/>
  <c r="M99" i="49"/>
  <c r="C90" i="73"/>
  <c r="C91" i="73" s="1"/>
  <c r="M90" i="73"/>
  <c r="M91" i="73" s="1"/>
  <c r="E90" i="73"/>
  <c r="E91" i="73" s="1"/>
  <c r="C86" i="73"/>
  <c r="B106" i="70"/>
  <c r="F106" i="70"/>
  <c r="J106" i="70"/>
  <c r="G299" i="48"/>
  <c r="K299" i="48"/>
  <c r="C106" i="70"/>
  <c r="G106" i="70"/>
  <c r="K106" i="70"/>
  <c r="N99" i="70"/>
  <c r="D106" i="70"/>
  <c r="H106" i="70"/>
  <c r="L106" i="70"/>
  <c r="N120" i="70" l="1"/>
  <c r="M13" i="92"/>
  <c r="M101" i="49"/>
  <c r="M100" i="49" s="1"/>
  <c r="M103" i="49"/>
  <c r="J13" i="92"/>
  <c r="J101" i="49"/>
  <c r="J100" i="49" s="1"/>
  <c r="J103" i="49"/>
  <c r="K297" i="48" s="1"/>
  <c r="J108" i="70"/>
  <c r="J107" i="70" s="1"/>
  <c r="L108" i="70"/>
  <c r="L107" i="70" s="1"/>
  <c r="D13" i="92"/>
  <c r="D103" i="49"/>
  <c r="E297" i="48" s="1"/>
  <c r="D101" i="49"/>
  <c r="D100" i="49" s="1"/>
  <c r="H108" i="70"/>
  <c r="H107" i="70" s="1"/>
  <c r="G108" i="70"/>
  <c r="G107" i="70" s="1"/>
  <c r="B108" i="70"/>
  <c r="B107" i="70" s="1"/>
  <c r="C13" i="92"/>
  <c r="C103" i="49"/>
  <c r="C101" i="49"/>
  <c r="C100" i="49" s="1"/>
  <c r="H103" i="49"/>
  <c r="I297" i="48" s="1"/>
  <c r="H101" i="49"/>
  <c r="H100" i="49" s="1"/>
  <c r="F103" i="49"/>
  <c r="G297" i="48" s="1"/>
  <c r="F101" i="49"/>
  <c r="F100" i="49" s="1"/>
  <c r="D108" i="70"/>
  <c r="D107" i="70" s="1"/>
  <c r="L13" i="92"/>
  <c r="L103" i="49"/>
  <c r="M297" i="48" s="1"/>
  <c r="L101" i="49"/>
  <c r="L100" i="49" s="1"/>
  <c r="I108" i="70"/>
  <c r="I107" i="70" s="1"/>
  <c r="K103" i="49"/>
  <c r="L297" i="48" s="1"/>
  <c r="K101" i="49"/>
  <c r="K100" i="49" s="1"/>
  <c r="E13" i="92"/>
  <c r="E101" i="49"/>
  <c r="E100" i="49" s="1"/>
  <c r="E103" i="49"/>
  <c r="F297" i="48" s="1"/>
  <c r="B13" i="92"/>
  <c r="B101" i="49"/>
  <c r="B100" i="49" s="1"/>
  <c r="B103" i="49"/>
  <c r="C297" i="48" s="1"/>
  <c r="E108" i="70"/>
  <c r="E107" i="70" s="1"/>
  <c r="D349" i="48"/>
  <c r="O349" i="48" s="1"/>
  <c r="G13" i="92"/>
  <c r="G101" i="49"/>
  <c r="G100" i="49" s="1"/>
  <c r="G103" i="49"/>
  <c r="H297" i="48" s="1"/>
  <c r="K108" i="70"/>
  <c r="K107" i="70" s="1"/>
  <c r="F108" i="70"/>
  <c r="F107" i="70" s="1"/>
  <c r="I13" i="92"/>
  <c r="I103" i="49"/>
  <c r="J297" i="48" s="1"/>
  <c r="I101" i="49"/>
  <c r="I100" i="49" s="1"/>
  <c r="M108" i="70"/>
  <c r="M107" i="70"/>
  <c r="C108" i="70"/>
  <c r="C107" i="70" s="1"/>
  <c r="O14" i="92"/>
  <c r="K106" i="49"/>
  <c r="K13" i="92"/>
  <c r="H106" i="49"/>
  <c r="H13" i="92"/>
  <c r="F106" i="49"/>
  <c r="F13" i="92"/>
  <c r="N14" i="92"/>
  <c r="K174" i="18"/>
  <c r="J175" i="18"/>
  <c r="K344" i="48" s="1"/>
  <c r="B106" i="49"/>
  <c r="I106" i="49"/>
  <c r="G106" i="49"/>
  <c r="D106" i="49"/>
  <c r="C106" i="49"/>
  <c r="E106" i="49"/>
  <c r="L106" i="49"/>
  <c r="I20" i="68"/>
  <c r="N99" i="49"/>
  <c r="J106" i="49"/>
  <c r="N297" i="48"/>
  <c r="M106" i="49"/>
  <c r="D249" i="48"/>
  <c r="N100" i="70"/>
  <c r="N106" i="70"/>
  <c r="N198" i="4"/>
  <c r="N129" i="4"/>
  <c r="N63" i="4"/>
  <c r="H119" i="4"/>
  <c r="C119" i="4"/>
  <c r="I108" i="49" l="1"/>
  <c r="I107" i="49" s="1"/>
  <c r="J108" i="49"/>
  <c r="J107" i="49" s="1"/>
  <c r="M108" i="49"/>
  <c r="M107" i="49" s="1"/>
  <c r="C108" i="49"/>
  <c r="C107" i="49" s="1"/>
  <c r="B108" i="49"/>
  <c r="B107" i="49" s="1"/>
  <c r="H124" i="64"/>
  <c r="H125" i="16" s="1"/>
  <c r="H29" i="94"/>
  <c r="D108" i="49"/>
  <c r="D107" i="49" s="1"/>
  <c r="H108" i="49"/>
  <c r="H107" i="49" s="1"/>
  <c r="E108" i="49"/>
  <c r="E107" i="49" s="1"/>
  <c r="F108" i="49"/>
  <c r="F107" i="49"/>
  <c r="K108" i="49"/>
  <c r="K107" i="49" s="1"/>
  <c r="C124" i="64"/>
  <c r="C125" i="16" s="1"/>
  <c r="C29" i="94"/>
  <c r="L108" i="49"/>
  <c r="L107" i="49" s="1"/>
  <c r="G108" i="49"/>
  <c r="G107" i="49" s="1"/>
  <c r="N13" i="92"/>
  <c r="O13" i="92"/>
  <c r="L174" i="18"/>
  <c r="K175" i="18"/>
  <c r="N100" i="49"/>
  <c r="N106" i="49"/>
  <c r="N107" i="70"/>
  <c r="N101" i="70"/>
  <c r="N101" i="49"/>
  <c r="D119" i="4"/>
  <c r="I119" i="4"/>
  <c r="C372" i="4"/>
  <c r="C31" i="92" s="1"/>
  <c r="C357" i="4"/>
  <c r="C352" i="4"/>
  <c r="C29" i="92" s="1"/>
  <c r="N347" i="4"/>
  <c r="N342" i="4"/>
  <c r="N337" i="4"/>
  <c r="N332" i="4"/>
  <c r="M333" i="4"/>
  <c r="L333" i="4"/>
  <c r="L334" i="4" s="1"/>
  <c r="K333" i="4"/>
  <c r="J333" i="4"/>
  <c r="I333" i="4"/>
  <c r="H333" i="4"/>
  <c r="H334" i="4" s="1"/>
  <c r="G333" i="4"/>
  <c r="F333" i="4"/>
  <c r="F338" i="4" s="1"/>
  <c r="F339" i="4" s="1"/>
  <c r="E333" i="4"/>
  <c r="D333" i="4"/>
  <c r="D334" i="4" s="1"/>
  <c r="C333" i="4"/>
  <c r="N85" i="53"/>
  <c r="N86" i="53"/>
  <c r="N72" i="53"/>
  <c r="N73" i="53"/>
  <c r="N58" i="53"/>
  <c r="N44" i="53"/>
  <c r="N26" i="53"/>
  <c r="N27" i="53"/>
  <c r="N11" i="53"/>
  <c r="N107" i="49" l="1"/>
  <c r="I124" i="64"/>
  <c r="I125" i="16" s="1"/>
  <c r="I29" i="94"/>
  <c r="D124" i="64"/>
  <c r="D125" i="16" s="1"/>
  <c r="D29" i="94"/>
  <c r="C30" i="92"/>
  <c r="C359" i="16"/>
  <c r="C364" i="64"/>
  <c r="L344" i="48"/>
  <c r="M174" i="18"/>
  <c r="M175" i="18" s="1"/>
  <c r="N344" i="48" s="1"/>
  <c r="L175" i="18"/>
  <c r="M344" i="48" s="1"/>
  <c r="N108" i="49"/>
  <c r="D352" i="4"/>
  <c r="D29" i="92" s="1"/>
  <c r="C359" i="64"/>
  <c r="C354" i="16"/>
  <c r="C369" i="16"/>
  <c r="C379" i="64"/>
  <c r="C364" i="16"/>
  <c r="C369" i="64"/>
  <c r="B374" i="16"/>
  <c r="B374" i="64"/>
  <c r="N103" i="70"/>
  <c r="C299" i="48"/>
  <c r="N103" i="49"/>
  <c r="D297" i="48"/>
  <c r="N108" i="70"/>
  <c r="E119" i="4"/>
  <c r="J119" i="4"/>
  <c r="B333" i="4"/>
  <c r="B338" i="4" s="1"/>
  <c r="B339" i="4" s="1"/>
  <c r="J338" i="4"/>
  <c r="J334" i="4"/>
  <c r="H338" i="4"/>
  <c r="H343" i="4" s="1"/>
  <c r="H344" i="4" s="1"/>
  <c r="K334" i="4"/>
  <c r="K338" i="4"/>
  <c r="F334" i="4"/>
  <c r="D338" i="4"/>
  <c r="F343" i="4"/>
  <c r="C334" i="4"/>
  <c r="C338" i="4"/>
  <c r="L338" i="4"/>
  <c r="G334" i="4"/>
  <c r="G338" i="4"/>
  <c r="D372" i="4"/>
  <c r="D31" i="92" s="1"/>
  <c r="E338" i="4"/>
  <c r="E334" i="4"/>
  <c r="I338" i="4"/>
  <c r="I334" i="4"/>
  <c r="M338" i="4"/>
  <c r="M334" i="4"/>
  <c r="D357" i="4"/>
  <c r="N59" i="53"/>
  <c r="N14" i="53"/>
  <c r="N31" i="53"/>
  <c r="N30" i="53"/>
  <c r="E124" i="64" l="1"/>
  <c r="E125" i="16" s="1"/>
  <c r="E29" i="94"/>
  <c r="D30" i="92"/>
  <c r="D359" i="16"/>
  <c r="D364" i="64"/>
  <c r="J124" i="64"/>
  <c r="J125" i="16" s="1"/>
  <c r="J29" i="94"/>
  <c r="O344" i="48"/>
  <c r="B200" i="75" s="1"/>
  <c r="D200" i="75" s="1"/>
  <c r="E200" i="75" s="1"/>
  <c r="N175" i="18"/>
  <c r="C374" i="16"/>
  <c r="C374" i="64"/>
  <c r="D364" i="16"/>
  <c r="D369" i="64"/>
  <c r="D369" i="16"/>
  <c r="D379" i="64"/>
  <c r="D359" i="64"/>
  <c r="D354" i="16"/>
  <c r="E352" i="4"/>
  <c r="B334" i="4"/>
  <c r="N334" i="4" s="1"/>
  <c r="K119" i="4"/>
  <c r="F119" i="4"/>
  <c r="B343" i="4"/>
  <c r="B344" i="4" s="1"/>
  <c r="H339" i="4"/>
  <c r="H348" i="4"/>
  <c r="H349" i="4" s="1"/>
  <c r="J339" i="4"/>
  <c r="J343" i="4"/>
  <c r="C343" i="4"/>
  <c r="C339" i="4"/>
  <c r="I339" i="4"/>
  <c r="I343" i="4"/>
  <c r="E372" i="4"/>
  <c r="E31" i="92" s="1"/>
  <c r="L343" i="4"/>
  <c r="L339" i="4"/>
  <c r="K343" i="4"/>
  <c r="K339" i="4"/>
  <c r="M339" i="4"/>
  <c r="M343" i="4"/>
  <c r="E339" i="4"/>
  <c r="E343" i="4"/>
  <c r="G343" i="4"/>
  <c r="G339" i="4"/>
  <c r="F348" i="4"/>
  <c r="F344" i="4"/>
  <c r="E357" i="4"/>
  <c r="D343" i="4"/>
  <c r="D339" i="4"/>
  <c r="E30" i="92" l="1"/>
  <c r="E359" i="16"/>
  <c r="E364" i="64"/>
  <c r="F352" i="4"/>
  <c r="F29" i="92" s="1"/>
  <c r="E29" i="92"/>
  <c r="F124" i="64"/>
  <c r="F125" i="16" s="1"/>
  <c r="F29" i="94"/>
  <c r="K124" i="64"/>
  <c r="K125" i="16" s="1"/>
  <c r="K29" i="94"/>
  <c r="H353" i="4"/>
  <c r="H358" i="4" s="1"/>
  <c r="B348" i="4"/>
  <c r="B349" i="4" s="1"/>
  <c r="F354" i="16"/>
  <c r="E369" i="16"/>
  <c r="E379" i="64"/>
  <c r="E364" i="16"/>
  <c r="E369" i="64"/>
  <c r="E359" i="64"/>
  <c r="E354" i="16"/>
  <c r="D374" i="16"/>
  <c r="D374" i="64"/>
  <c r="L119" i="4"/>
  <c r="J348" i="4"/>
  <c r="J344" i="4"/>
  <c r="M348" i="4"/>
  <c r="M344" i="4"/>
  <c r="K344" i="4"/>
  <c r="K348" i="4"/>
  <c r="L344" i="4"/>
  <c r="L348" i="4"/>
  <c r="G344" i="4"/>
  <c r="G348" i="4"/>
  <c r="F372" i="4"/>
  <c r="F31" i="92" s="1"/>
  <c r="F357" i="4"/>
  <c r="G352" i="4"/>
  <c r="G29" i="92" s="1"/>
  <c r="F349" i="4"/>
  <c r="F353" i="4"/>
  <c r="E348" i="4"/>
  <c r="E344" i="4"/>
  <c r="N339" i="4"/>
  <c r="D344" i="4"/>
  <c r="D348" i="4"/>
  <c r="I348" i="4"/>
  <c r="I344" i="4"/>
  <c r="C344" i="4"/>
  <c r="C348" i="4"/>
  <c r="F354" i="4" l="1"/>
  <c r="F359" i="64"/>
  <c r="F30" i="92"/>
  <c r="F359" i="16"/>
  <c r="F364" i="64"/>
  <c r="L124" i="64"/>
  <c r="L125" i="16" s="1"/>
  <c r="L29" i="94"/>
  <c r="B353" i="4"/>
  <c r="B354" i="4" s="1"/>
  <c r="H363" i="4"/>
  <c r="H368" i="4" s="1"/>
  <c r="H373" i="4" s="1"/>
  <c r="E374" i="16"/>
  <c r="E374" i="64"/>
  <c r="F369" i="64"/>
  <c r="F364" i="16"/>
  <c r="G359" i="64"/>
  <c r="G354" i="16"/>
  <c r="F369" i="16"/>
  <c r="F379" i="64"/>
  <c r="M119" i="4"/>
  <c r="N344" i="4"/>
  <c r="J349" i="4"/>
  <c r="J353" i="4"/>
  <c r="G372" i="4"/>
  <c r="G31" i="92" s="1"/>
  <c r="H352" i="4"/>
  <c r="H29" i="92" s="1"/>
  <c r="G357" i="4"/>
  <c r="L353" i="4"/>
  <c r="L349" i="4"/>
  <c r="C349" i="4"/>
  <c r="C353" i="4"/>
  <c r="D353" i="4"/>
  <c r="D349" i="4"/>
  <c r="E353" i="4"/>
  <c r="E349" i="4"/>
  <c r="G349" i="4"/>
  <c r="G353" i="4"/>
  <c r="G354" i="4" s="1"/>
  <c r="M353" i="4"/>
  <c r="M349" i="4"/>
  <c r="I353" i="4"/>
  <c r="I349" i="4"/>
  <c r="F363" i="4"/>
  <c r="F368" i="4" s="1"/>
  <c r="F373" i="4" s="1"/>
  <c r="F374" i="4" s="1"/>
  <c r="F358" i="4"/>
  <c r="F359" i="4" s="1"/>
  <c r="B363" i="4"/>
  <c r="K349" i="4"/>
  <c r="K353" i="4"/>
  <c r="B358" i="4" l="1"/>
  <c r="B359" i="4" s="1"/>
  <c r="G30" i="92"/>
  <c r="G359" i="16"/>
  <c r="G364" i="64"/>
  <c r="M124" i="64"/>
  <c r="M125" i="16" s="1"/>
  <c r="N125" i="16" s="1"/>
  <c r="M29" i="94"/>
  <c r="N29" i="94" s="1"/>
  <c r="H359" i="64"/>
  <c r="H354" i="16"/>
  <c r="G364" i="16"/>
  <c r="G369" i="64"/>
  <c r="N124" i="64"/>
  <c r="F374" i="64"/>
  <c r="F374" i="16"/>
  <c r="G369" i="16"/>
  <c r="G379" i="64"/>
  <c r="N119" i="4"/>
  <c r="J363" i="4"/>
  <c r="J368" i="4" s="1"/>
  <c r="J373" i="4" s="1"/>
  <c r="J358" i="4"/>
  <c r="M358" i="4"/>
  <c r="M363" i="4"/>
  <c r="M368" i="4" s="1"/>
  <c r="M373" i="4" s="1"/>
  <c r="E358" i="4"/>
  <c r="E359" i="4" s="1"/>
  <c r="E363" i="4"/>
  <c r="E354" i="4"/>
  <c r="H372" i="4"/>
  <c r="H31" i="92" s="1"/>
  <c r="C363" i="4"/>
  <c r="C358" i="4"/>
  <c r="C359" i="4" s="1"/>
  <c r="C354" i="4"/>
  <c r="L358" i="4"/>
  <c r="L363" i="4"/>
  <c r="L368" i="4" s="1"/>
  <c r="L373" i="4" s="1"/>
  <c r="H357" i="4"/>
  <c r="K363" i="4"/>
  <c r="K368" i="4" s="1"/>
  <c r="K373" i="4" s="1"/>
  <c r="K358" i="4"/>
  <c r="B364" i="4"/>
  <c r="B368" i="4"/>
  <c r="I358" i="4"/>
  <c r="I363" i="4"/>
  <c r="I368" i="4" s="1"/>
  <c r="I373" i="4" s="1"/>
  <c r="F369" i="4"/>
  <c r="H354" i="4"/>
  <c r="I352" i="4"/>
  <c r="I29" i="92" s="1"/>
  <c r="N349" i="4"/>
  <c r="G363" i="4"/>
  <c r="G368" i="4" s="1"/>
  <c r="G373" i="4" s="1"/>
  <c r="G374" i="4" s="1"/>
  <c r="G358" i="4"/>
  <c r="G359" i="4" s="1"/>
  <c r="D358" i="4"/>
  <c r="D359" i="4" s="1"/>
  <c r="D363" i="4"/>
  <c r="D354" i="4"/>
  <c r="F364" i="4"/>
  <c r="H30" i="92" l="1"/>
  <c r="H359" i="16"/>
  <c r="H364" i="64"/>
  <c r="O29" i="94"/>
  <c r="G374" i="16"/>
  <c r="G374" i="64"/>
  <c r="H369" i="16"/>
  <c r="H379" i="64"/>
  <c r="H364" i="16"/>
  <c r="H369" i="64"/>
  <c r="I359" i="64"/>
  <c r="I354" i="16"/>
  <c r="H374" i="4"/>
  <c r="I372" i="4"/>
  <c r="I31" i="92" s="1"/>
  <c r="G369" i="4"/>
  <c r="C368" i="4"/>
  <c r="C364" i="4"/>
  <c r="H364" i="4"/>
  <c r="B373" i="4"/>
  <c r="B374" i="4" s="1"/>
  <c r="B369" i="4"/>
  <c r="H359" i="4"/>
  <c r="I357" i="4"/>
  <c r="D368" i="4"/>
  <c r="D364" i="4"/>
  <c r="I354" i="4"/>
  <c r="J352" i="4"/>
  <c r="J29" i="92" s="1"/>
  <c r="G364" i="4"/>
  <c r="E368" i="4"/>
  <c r="E364" i="4"/>
  <c r="I30" i="92" l="1"/>
  <c r="I359" i="16"/>
  <c r="I364" i="64"/>
  <c r="J354" i="16"/>
  <c r="J359" i="64"/>
  <c r="I364" i="16"/>
  <c r="I369" i="64"/>
  <c r="H374" i="16"/>
  <c r="H374" i="64"/>
  <c r="I369" i="16"/>
  <c r="I379" i="64"/>
  <c r="D373" i="4"/>
  <c r="D374" i="4" s="1"/>
  <c r="D369" i="4"/>
  <c r="J354" i="4"/>
  <c r="K352" i="4"/>
  <c r="K29" i="92" s="1"/>
  <c r="I359" i="4"/>
  <c r="J357" i="4"/>
  <c r="H369" i="4"/>
  <c r="E373" i="4"/>
  <c r="E374" i="4" s="1"/>
  <c r="E369" i="4"/>
  <c r="C373" i="4"/>
  <c r="C374" i="4" s="1"/>
  <c r="C369" i="4"/>
  <c r="I374" i="4"/>
  <c r="J372" i="4"/>
  <c r="J31" i="92" s="1"/>
  <c r="I364" i="4"/>
  <c r="A23" i="53"/>
  <c r="A38" i="53" s="1"/>
  <c r="A52" i="53" s="1"/>
  <c r="A66" i="53" s="1"/>
  <c r="A79" i="53" s="1"/>
  <c r="A91" i="53" s="1"/>
  <c r="M83" i="53"/>
  <c r="M89" i="53" s="1"/>
  <c r="N296" i="48" s="1"/>
  <c r="L83" i="53"/>
  <c r="L89" i="53" s="1"/>
  <c r="M296" i="48" s="1"/>
  <c r="K83" i="53"/>
  <c r="K89" i="53" s="1"/>
  <c r="L296" i="48" s="1"/>
  <c r="J83" i="53"/>
  <c r="J89" i="53" s="1"/>
  <c r="K296" i="48" s="1"/>
  <c r="I83" i="53"/>
  <c r="I89" i="53" s="1"/>
  <c r="J296" i="48" s="1"/>
  <c r="H83" i="53"/>
  <c r="H89" i="53" s="1"/>
  <c r="I296" i="48" s="1"/>
  <c r="G83" i="53"/>
  <c r="G89" i="53" s="1"/>
  <c r="H296" i="48" s="1"/>
  <c r="F83" i="53"/>
  <c r="F89" i="53" s="1"/>
  <c r="G296" i="48" s="1"/>
  <c r="E83" i="53"/>
  <c r="E89" i="53" s="1"/>
  <c r="F296" i="48" s="1"/>
  <c r="D83" i="53"/>
  <c r="D89" i="53" s="1"/>
  <c r="E296" i="48" s="1"/>
  <c r="C83" i="53"/>
  <c r="C89" i="53" s="1"/>
  <c r="D296" i="48" s="1"/>
  <c r="B83" i="53"/>
  <c r="N82" i="53"/>
  <c r="N81" i="53"/>
  <c r="M70" i="53"/>
  <c r="M77" i="53" s="1"/>
  <c r="N244" i="48" s="1"/>
  <c r="L70" i="53"/>
  <c r="L77" i="53" s="1"/>
  <c r="M244" i="48" s="1"/>
  <c r="K70" i="53"/>
  <c r="K77" i="53" s="1"/>
  <c r="L244" i="48" s="1"/>
  <c r="J70" i="53"/>
  <c r="J77" i="53" s="1"/>
  <c r="K244" i="48" s="1"/>
  <c r="I70" i="53"/>
  <c r="I77" i="53" s="1"/>
  <c r="J244" i="48" s="1"/>
  <c r="H70" i="53"/>
  <c r="H77" i="53" s="1"/>
  <c r="I244" i="48" s="1"/>
  <c r="G70" i="53"/>
  <c r="G77" i="53" s="1"/>
  <c r="H244" i="48" s="1"/>
  <c r="F70" i="53"/>
  <c r="F77" i="53" s="1"/>
  <c r="G244" i="48" s="1"/>
  <c r="E70" i="53"/>
  <c r="E77" i="53" s="1"/>
  <c r="F244" i="48" s="1"/>
  <c r="D70" i="53"/>
  <c r="D77" i="53" s="1"/>
  <c r="E244" i="48" s="1"/>
  <c r="C70" i="53"/>
  <c r="C77" i="53" s="1"/>
  <c r="D244" i="48" s="1"/>
  <c r="B70" i="53"/>
  <c r="N69" i="53"/>
  <c r="N68" i="53"/>
  <c r="M56" i="53"/>
  <c r="M63" i="53" s="1"/>
  <c r="N192" i="48" s="1"/>
  <c r="L56" i="53"/>
  <c r="L63" i="53" s="1"/>
  <c r="M192" i="48" s="1"/>
  <c r="K56" i="53"/>
  <c r="K63" i="53" s="1"/>
  <c r="L192" i="48" s="1"/>
  <c r="J56" i="53"/>
  <c r="J63" i="53" s="1"/>
  <c r="K192" i="48" s="1"/>
  <c r="I56" i="53"/>
  <c r="I63" i="53" s="1"/>
  <c r="J192" i="48" s="1"/>
  <c r="H56" i="53"/>
  <c r="H63" i="53" s="1"/>
  <c r="I192" i="48" s="1"/>
  <c r="G56" i="53"/>
  <c r="G63" i="53" s="1"/>
  <c r="H192" i="48" s="1"/>
  <c r="F56" i="53"/>
  <c r="F63" i="53" s="1"/>
  <c r="G192" i="48" s="1"/>
  <c r="E56" i="53"/>
  <c r="E63" i="53" s="1"/>
  <c r="F192" i="48" s="1"/>
  <c r="D56" i="53"/>
  <c r="D63" i="53" s="1"/>
  <c r="E192" i="48" s="1"/>
  <c r="C56" i="53"/>
  <c r="C63" i="53" s="1"/>
  <c r="D192" i="48" s="1"/>
  <c r="B56" i="53"/>
  <c r="N55" i="53"/>
  <c r="N54" i="53"/>
  <c r="N45" i="53"/>
  <c r="M42" i="53"/>
  <c r="M49" i="53" s="1"/>
  <c r="N141" i="48" s="1"/>
  <c r="L42" i="53"/>
  <c r="L49" i="53" s="1"/>
  <c r="M141" i="48" s="1"/>
  <c r="K42" i="53"/>
  <c r="K49" i="53" s="1"/>
  <c r="L141" i="48" s="1"/>
  <c r="J42" i="53"/>
  <c r="J49" i="53" s="1"/>
  <c r="K141" i="48" s="1"/>
  <c r="I42" i="53"/>
  <c r="I49" i="53" s="1"/>
  <c r="J141" i="48" s="1"/>
  <c r="H42" i="53"/>
  <c r="H49" i="53" s="1"/>
  <c r="I141" i="48" s="1"/>
  <c r="G42" i="53"/>
  <c r="G49" i="53" s="1"/>
  <c r="H141" i="48" s="1"/>
  <c r="F42" i="53"/>
  <c r="F49" i="53" s="1"/>
  <c r="G141" i="48" s="1"/>
  <c r="E42" i="53"/>
  <c r="E49" i="53" s="1"/>
  <c r="F141" i="48" s="1"/>
  <c r="D42" i="53"/>
  <c r="D49" i="53" s="1"/>
  <c r="E141" i="48" s="1"/>
  <c r="C42" i="53"/>
  <c r="C49" i="53" s="1"/>
  <c r="D141" i="48" s="1"/>
  <c r="B42" i="53"/>
  <c r="N41" i="53"/>
  <c r="N40" i="53"/>
  <c r="M28" i="53"/>
  <c r="M35" i="53" s="1"/>
  <c r="N95" i="48" s="1"/>
  <c r="L28" i="53"/>
  <c r="L35" i="53" s="1"/>
  <c r="M95" i="48" s="1"/>
  <c r="K28" i="53"/>
  <c r="K35" i="53" s="1"/>
  <c r="L95" i="48" s="1"/>
  <c r="J28" i="53"/>
  <c r="J35" i="53" s="1"/>
  <c r="K95" i="48" s="1"/>
  <c r="I28" i="53"/>
  <c r="I35" i="53" s="1"/>
  <c r="J95" i="48" s="1"/>
  <c r="H28" i="53"/>
  <c r="H35" i="53" s="1"/>
  <c r="I95" i="48" s="1"/>
  <c r="G28" i="53"/>
  <c r="G35" i="53" s="1"/>
  <c r="H95" i="48" s="1"/>
  <c r="F28" i="53"/>
  <c r="F35" i="53" s="1"/>
  <c r="G95" i="48" s="1"/>
  <c r="E28" i="53"/>
  <c r="E35" i="53" s="1"/>
  <c r="F95" i="48" s="1"/>
  <c r="D28" i="53"/>
  <c r="D35" i="53" s="1"/>
  <c r="E95" i="48" s="1"/>
  <c r="C28" i="53"/>
  <c r="C35" i="53" s="1"/>
  <c r="D95" i="48" s="1"/>
  <c r="B28" i="53"/>
  <c r="N25" i="53"/>
  <c r="J30" i="92" l="1"/>
  <c r="J359" i="16"/>
  <c r="J364" i="64"/>
  <c r="I374" i="16"/>
  <c r="I374" i="64"/>
  <c r="J364" i="16"/>
  <c r="J369" i="64"/>
  <c r="J379" i="64"/>
  <c r="J369" i="16"/>
  <c r="K359" i="64"/>
  <c r="K354" i="16"/>
  <c r="J364" i="4"/>
  <c r="K372" i="4"/>
  <c r="K31" i="92" s="1"/>
  <c r="J374" i="4"/>
  <c r="J359" i="4"/>
  <c r="K357" i="4"/>
  <c r="I369" i="4"/>
  <c r="K354" i="4"/>
  <c r="L352" i="4"/>
  <c r="L29" i="92" s="1"/>
  <c r="N83" i="53"/>
  <c r="N89" i="53" s="1"/>
  <c r="B89" i="53"/>
  <c r="C296" i="48" s="1"/>
  <c r="N28" i="53"/>
  <c r="N35" i="53" s="1"/>
  <c r="B35" i="53"/>
  <c r="C95" i="48" s="1"/>
  <c r="B77" i="53"/>
  <c r="C244" i="48" s="1"/>
  <c r="N70" i="53"/>
  <c r="N77" i="53" s="1"/>
  <c r="N42" i="53"/>
  <c r="N49" i="53" s="1"/>
  <c r="B49" i="53"/>
  <c r="C141" i="48" s="1"/>
  <c r="N56" i="53"/>
  <c r="N63" i="53" s="1"/>
  <c r="B63" i="53"/>
  <c r="C192" i="48" s="1"/>
  <c r="K30" i="92" l="1"/>
  <c r="K359" i="16"/>
  <c r="K364" i="64"/>
  <c r="K369" i="16"/>
  <c r="K379" i="64"/>
  <c r="J374" i="64"/>
  <c r="J374" i="16"/>
  <c r="L359" i="64"/>
  <c r="L354" i="16"/>
  <c r="K364" i="16"/>
  <c r="K369" i="64"/>
  <c r="J369" i="4"/>
  <c r="K359" i="4"/>
  <c r="L357" i="4"/>
  <c r="K364" i="4"/>
  <c r="L354" i="4"/>
  <c r="M352" i="4"/>
  <c r="M29" i="92" s="1"/>
  <c r="K374" i="4"/>
  <c r="L372" i="4"/>
  <c r="L31" i="92" s="1"/>
  <c r="N29" i="92" l="1"/>
  <c r="O29" i="92"/>
  <c r="L30" i="92"/>
  <c r="L359" i="16"/>
  <c r="L364" i="64"/>
  <c r="L364" i="16"/>
  <c r="L369" i="64"/>
  <c r="K374" i="16"/>
  <c r="K374" i="64"/>
  <c r="L369" i="16"/>
  <c r="L379" i="64"/>
  <c r="M354" i="16"/>
  <c r="N354" i="16" s="1"/>
  <c r="M359" i="64"/>
  <c r="L374" i="4"/>
  <c r="M372" i="4"/>
  <c r="M31" i="92" s="1"/>
  <c r="K369" i="4"/>
  <c r="L364" i="4"/>
  <c r="L359" i="4"/>
  <c r="M357" i="4"/>
  <c r="M354" i="4"/>
  <c r="N352" i="4"/>
  <c r="N31" i="92" l="1"/>
  <c r="O31" i="92"/>
  <c r="M30" i="92"/>
  <c r="M359" i="16"/>
  <c r="N359" i="16" s="1"/>
  <c r="M364" i="64"/>
  <c r="N364" i="64" s="1"/>
  <c r="M364" i="4"/>
  <c r="N364" i="4" s="1"/>
  <c r="M364" i="16"/>
  <c r="N364" i="16" s="1"/>
  <c r="M369" i="64"/>
  <c r="N369" i="64" s="1"/>
  <c r="M369" i="16"/>
  <c r="N369" i="16" s="1"/>
  <c r="M379" i="64"/>
  <c r="N379" i="64" s="1"/>
  <c r="L374" i="16"/>
  <c r="L374" i="64"/>
  <c r="N359" i="64"/>
  <c r="N354" i="4"/>
  <c r="M374" i="4"/>
  <c r="N374" i="4" s="1"/>
  <c r="N372" i="4"/>
  <c r="M359" i="4"/>
  <c r="N359" i="4" s="1"/>
  <c r="N357" i="4"/>
  <c r="N362" i="4"/>
  <c r="L369" i="4"/>
  <c r="N30" i="92" l="1"/>
  <c r="O30" i="92"/>
  <c r="M374" i="16"/>
  <c r="N374" i="16" s="1"/>
  <c r="M374" i="64"/>
  <c r="M369" i="4"/>
  <c r="N367" i="4"/>
  <c r="N374" i="64" l="1"/>
  <c r="N369" i="4"/>
  <c r="N302" i="48"/>
  <c r="M302" i="48"/>
  <c r="L302" i="48"/>
  <c r="K302" i="48"/>
  <c r="J302" i="48"/>
  <c r="I302" i="48"/>
  <c r="H302" i="48"/>
  <c r="G302" i="48"/>
  <c r="F302" i="48"/>
  <c r="E302" i="48"/>
  <c r="D302" i="48"/>
  <c r="C302" i="48"/>
  <c r="N301" i="48"/>
  <c r="M301" i="48"/>
  <c r="L301" i="48"/>
  <c r="K301" i="48"/>
  <c r="J301" i="48"/>
  <c r="I301" i="48"/>
  <c r="H301" i="48"/>
  <c r="G301" i="48"/>
  <c r="F301" i="48"/>
  <c r="E301" i="48"/>
  <c r="D301" i="48"/>
  <c r="C301" i="48"/>
  <c r="O297" i="48" l="1"/>
  <c r="O299" i="48"/>
  <c r="O308" i="48"/>
  <c r="B178" i="75" s="1"/>
  <c r="D178" i="75" s="1"/>
  <c r="E178" i="75" s="1"/>
  <c r="O325" i="48"/>
  <c r="O301" i="48"/>
  <c r="O302" i="48"/>
  <c r="O296" i="48"/>
  <c r="B171" i="75" s="1"/>
  <c r="D171" i="75" s="1"/>
  <c r="E171" i="75" s="1"/>
  <c r="N15" i="53"/>
  <c r="C12" i="53"/>
  <c r="C19" i="53" s="1"/>
  <c r="D12" i="53"/>
  <c r="D19" i="53" s="1"/>
  <c r="E12" i="53"/>
  <c r="E19" i="53" s="1"/>
  <c r="F12" i="53"/>
  <c r="F19" i="53" s="1"/>
  <c r="G12" i="53"/>
  <c r="G19" i="53" s="1"/>
  <c r="H12" i="53"/>
  <c r="H19" i="53" s="1"/>
  <c r="I12" i="53"/>
  <c r="I19" i="53" s="1"/>
  <c r="J12" i="53"/>
  <c r="J19" i="53" s="1"/>
  <c r="K12" i="53"/>
  <c r="K19" i="53" s="1"/>
  <c r="L12" i="53"/>
  <c r="L19" i="53" s="1"/>
  <c r="M12" i="53"/>
  <c r="M19" i="53" s="1"/>
  <c r="B12" i="53"/>
  <c r="B19" i="53" s="1"/>
  <c r="E136" i="18"/>
  <c r="I136" i="18"/>
  <c r="M136" i="18"/>
  <c r="C149" i="18"/>
  <c r="D149" i="18" s="1"/>
  <c r="E149" i="18" s="1"/>
  <c r="F149" i="18" s="1"/>
  <c r="G149" i="18" s="1"/>
  <c r="H149" i="18" s="1"/>
  <c r="I149" i="18" s="1"/>
  <c r="J149" i="18" s="1"/>
  <c r="K149" i="18" s="1"/>
  <c r="L149" i="18" s="1"/>
  <c r="M149" i="18" s="1"/>
  <c r="A148" i="18"/>
  <c r="A143" i="18"/>
  <c r="N134" i="18"/>
  <c r="C136" i="18"/>
  <c r="C18" i="92" s="1"/>
  <c r="D136" i="18"/>
  <c r="D18" i="92" s="1"/>
  <c r="F136" i="18"/>
  <c r="F18" i="92" s="1"/>
  <c r="G136" i="18"/>
  <c r="G18" i="92" s="1"/>
  <c r="H136" i="18"/>
  <c r="H18" i="92" s="1"/>
  <c r="J136" i="18"/>
  <c r="J18" i="92" s="1"/>
  <c r="K136" i="18"/>
  <c r="K18" i="92" s="1"/>
  <c r="L136" i="18"/>
  <c r="L18" i="92" s="1"/>
  <c r="E135" i="18" l="1"/>
  <c r="E138" i="18" s="1"/>
  <c r="E18" i="92"/>
  <c r="M88" i="24"/>
  <c r="M18" i="92"/>
  <c r="I88" i="24"/>
  <c r="I18" i="92"/>
  <c r="I24" i="92" s="1"/>
  <c r="B174" i="75"/>
  <c r="D174" i="75" s="1"/>
  <c r="M135" i="18"/>
  <c r="M138" i="18" s="1"/>
  <c r="M137" i="18" s="1"/>
  <c r="K88" i="24"/>
  <c r="K135" i="18"/>
  <c r="K138" i="18" s="1"/>
  <c r="K140" i="18" s="1"/>
  <c r="L292" i="48" s="1"/>
  <c r="G88" i="24"/>
  <c r="G135" i="18"/>
  <c r="G138" i="18" s="1"/>
  <c r="G140" i="18" s="1"/>
  <c r="H292" i="48" s="1"/>
  <c r="C135" i="18"/>
  <c r="C138" i="18" s="1"/>
  <c r="C148" i="18" s="1"/>
  <c r="C150" i="18" s="1"/>
  <c r="D294" i="48" s="1"/>
  <c r="C88" i="24"/>
  <c r="L135" i="18"/>
  <c r="L138" i="18" s="1"/>
  <c r="L140" i="18" s="1"/>
  <c r="M292" i="48" s="1"/>
  <c r="L88" i="24"/>
  <c r="H135" i="18"/>
  <c r="H138" i="18" s="1"/>
  <c r="H137" i="18" s="1"/>
  <c r="H88" i="24"/>
  <c r="D135" i="18"/>
  <c r="D138" i="18" s="1"/>
  <c r="D140" i="18" s="1"/>
  <c r="E292" i="48" s="1"/>
  <c r="D88" i="24"/>
  <c r="J135" i="18"/>
  <c r="J138" i="18" s="1"/>
  <c r="J148" i="18" s="1"/>
  <c r="J150" i="18" s="1"/>
  <c r="K294" i="48" s="1"/>
  <c r="J88" i="24"/>
  <c r="F135" i="18"/>
  <c r="F138" i="18" s="1"/>
  <c r="F143" i="18" s="1"/>
  <c r="F88" i="24"/>
  <c r="I135" i="18"/>
  <c r="I138" i="18" s="1"/>
  <c r="I137" i="18" s="1"/>
  <c r="B136" i="18"/>
  <c r="E88" i="24"/>
  <c r="N12" i="53"/>
  <c r="E140" i="18"/>
  <c r="F292" i="48" s="1"/>
  <c r="E143" i="18"/>
  <c r="E148" i="18"/>
  <c r="E150" i="18" s="1"/>
  <c r="F294" i="48" s="1"/>
  <c r="E137" i="18"/>
  <c r="N136" i="18" l="1"/>
  <c r="B18" i="92"/>
  <c r="H140" i="18"/>
  <c r="I292" i="48" s="1"/>
  <c r="H148" i="18"/>
  <c r="H150" i="18" s="1"/>
  <c r="I294" i="48" s="1"/>
  <c r="C143" i="18"/>
  <c r="C140" i="18"/>
  <c r="G143" i="18"/>
  <c r="M143" i="18"/>
  <c r="M140" i="18"/>
  <c r="N292" i="48" s="1"/>
  <c r="M148" i="18"/>
  <c r="M150" i="18" s="1"/>
  <c r="N294" i="48" s="1"/>
  <c r="G148" i="18"/>
  <c r="G150" i="18" s="1"/>
  <c r="H294" i="48" s="1"/>
  <c r="F140" i="18"/>
  <c r="G292" i="48" s="1"/>
  <c r="C137" i="18"/>
  <c r="H143" i="18"/>
  <c r="I148" i="18"/>
  <c r="I150" i="18" s="1"/>
  <c r="J294" i="48" s="1"/>
  <c r="L143" i="18"/>
  <c r="K137" i="18"/>
  <c r="D137" i="18"/>
  <c r="K148" i="18"/>
  <c r="K150" i="18" s="1"/>
  <c r="L294" i="48" s="1"/>
  <c r="J140" i="18"/>
  <c r="K292" i="48" s="1"/>
  <c r="G137" i="18"/>
  <c r="F148" i="18"/>
  <c r="F150" i="18" s="1"/>
  <c r="G294" i="48" s="1"/>
  <c r="I140" i="18"/>
  <c r="J292" i="48" s="1"/>
  <c r="F137" i="18"/>
  <c r="D143" i="18"/>
  <c r="L148" i="18"/>
  <c r="L150" i="18" s="1"/>
  <c r="M294" i="48" s="1"/>
  <c r="D148" i="18"/>
  <c r="D150" i="18" s="1"/>
  <c r="E294" i="48" s="1"/>
  <c r="K143" i="18"/>
  <c r="J137" i="18"/>
  <c r="L137" i="18"/>
  <c r="J143" i="18"/>
  <c r="I143" i="18"/>
  <c r="B88" i="24"/>
  <c r="B135" i="18"/>
  <c r="N135" i="18" s="1"/>
  <c r="N18" i="92" l="1"/>
  <c r="O18" i="92"/>
  <c r="B24" i="92"/>
  <c r="D292" i="48"/>
  <c r="N88" i="24"/>
  <c r="B138" i="18"/>
  <c r="B140" i="18" s="1"/>
  <c r="B66" i="75"/>
  <c r="B98" i="75" s="1"/>
  <c r="B130" i="75" s="1"/>
  <c r="B162" i="75" s="1"/>
  <c r="B193" i="75" s="1"/>
  <c r="C85" i="56"/>
  <c r="C33" i="48"/>
  <c r="C33" i="56"/>
  <c r="H93" i="61"/>
  <c r="H94" i="61" s="1"/>
  <c r="H95" i="61" s="1"/>
  <c r="F87" i="61"/>
  <c r="F88" i="61" s="1"/>
  <c r="M76" i="61"/>
  <c r="M77" i="61" s="1"/>
  <c r="L62" i="61"/>
  <c r="L63" i="61" s="1"/>
  <c r="K62" i="61"/>
  <c r="K63" i="61" s="1"/>
  <c r="I69" i="61"/>
  <c r="I70" i="61" s="1"/>
  <c r="H76" i="61"/>
  <c r="G69" i="61"/>
  <c r="G70" i="61" s="1"/>
  <c r="D62" i="61"/>
  <c r="D63" i="61" s="1"/>
  <c r="C62" i="61"/>
  <c r="C63" i="61" s="1"/>
  <c r="M50" i="61"/>
  <c r="M51" i="61" s="1"/>
  <c r="M52" i="61" s="1"/>
  <c r="L43" i="61"/>
  <c r="L44" i="61" s="1"/>
  <c r="L45" i="61" s="1"/>
  <c r="J50" i="61"/>
  <c r="J51" i="61" s="1"/>
  <c r="J52" i="61" s="1"/>
  <c r="I43" i="61"/>
  <c r="I44" i="61" s="1"/>
  <c r="I45" i="61" s="1"/>
  <c r="H37" i="61"/>
  <c r="H38" i="61" s="1"/>
  <c r="V36" i="61" s="1"/>
  <c r="F43" i="61"/>
  <c r="F44" i="61" s="1"/>
  <c r="F45" i="61" s="1"/>
  <c r="E50" i="61"/>
  <c r="E51" i="61" s="1"/>
  <c r="E52" i="61" s="1"/>
  <c r="B50" i="61"/>
  <c r="B51" i="61" s="1"/>
  <c r="B52" i="61" s="1"/>
  <c r="L12" i="61"/>
  <c r="L19" i="61" s="1"/>
  <c r="J12" i="61"/>
  <c r="J19" i="61" s="1"/>
  <c r="I12" i="61"/>
  <c r="I19" i="61" s="1"/>
  <c r="F18" i="61"/>
  <c r="E12" i="61"/>
  <c r="E19" i="61" s="1"/>
  <c r="B18" i="61"/>
  <c r="B25" i="61" s="1"/>
  <c r="C273" i="4"/>
  <c r="C278" i="4" s="1"/>
  <c r="D273" i="4"/>
  <c r="E273" i="4"/>
  <c r="F273" i="4"/>
  <c r="F278" i="4" s="1"/>
  <c r="F283" i="4" s="1"/>
  <c r="F288" i="4" s="1"/>
  <c r="G273" i="4"/>
  <c r="G278" i="4" s="1"/>
  <c r="H273" i="4"/>
  <c r="H278" i="4" s="1"/>
  <c r="H283" i="4" s="1"/>
  <c r="H288" i="4" s="1"/>
  <c r="I273" i="4"/>
  <c r="I278" i="4" s="1"/>
  <c r="J273" i="4"/>
  <c r="J278" i="4" s="1"/>
  <c r="K273" i="4"/>
  <c r="K278" i="4" s="1"/>
  <c r="L273" i="4"/>
  <c r="L278" i="4" s="1"/>
  <c r="L283" i="4" s="1"/>
  <c r="L284" i="4" s="1"/>
  <c r="M273" i="4"/>
  <c r="M278" i="4" s="1"/>
  <c r="M283" i="4" s="1"/>
  <c r="M288" i="4" s="1"/>
  <c r="M293" i="4" s="1"/>
  <c r="B273" i="4"/>
  <c r="B278" i="4" s="1"/>
  <c r="B283" i="4" s="1"/>
  <c r="B284" i="4" s="1"/>
  <c r="H213" i="4"/>
  <c r="H218" i="4" s="1"/>
  <c r="H223" i="4" s="1"/>
  <c r="D144" i="4"/>
  <c r="D149" i="4" s="1"/>
  <c r="L144" i="4"/>
  <c r="L14" i="4"/>
  <c r="L19" i="4" s="1"/>
  <c r="L20" i="4" s="1"/>
  <c r="C75" i="4"/>
  <c r="C80" i="4" s="1"/>
  <c r="D75" i="4"/>
  <c r="D80" i="4" s="1"/>
  <c r="E75" i="4"/>
  <c r="E80" i="4" s="1"/>
  <c r="F75" i="4"/>
  <c r="G75" i="4"/>
  <c r="G80" i="4" s="1"/>
  <c r="H75" i="4"/>
  <c r="H80" i="4" s="1"/>
  <c r="I75" i="4"/>
  <c r="I80" i="4" s="1"/>
  <c r="J75" i="4"/>
  <c r="J80" i="4" s="1"/>
  <c r="K75" i="4"/>
  <c r="K80" i="4" s="1"/>
  <c r="L75" i="4"/>
  <c r="M75" i="4"/>
  <c r="M80" i="4" s="1"/>
  <c r="B75" i="4"/>
  <c r="C8" i="67"/>
  <c r="C14" i="4" s="1"/>
  <c r="C19" i="4" s="1"/>
  <c r="C20" i="4" s="1"/>
  <c r="D8" i="67"/>
  <c r="D14" i="4" s="1"/>
  <c r="D19" i="4" s="1"/>
  <c r="E8" i="67"/>
  <c r="E14" i="4" s="1"/>
  <c r="E19" i="4" s="1"/>
  <c r="E24" i="4" s="1"/>
  <c r="E29" i="4" s="1"/>
  <c r="E34" i="4" s="1"/>
  <c r="F8" i="67"/>
  <c r="G8" i="67"/>
  <c r="G14" i="4" s="1"/>
  <c r="G19" i="4" s="1"/>
  <c r="G24" i="4" s="1"/>
  <c r="H8" i="67"/>
  <c r="I8" i="67"/>
  <c r="I14" i="4" s="1"/>
  <c r="I19" i="4" s="1"/>
  <c r="I20" i="4" s="1"/>
  <c r="J8" i="67"/>
  <c r="K8" i="67"/>
  <c r="K14" i="4" s="1"/>
  <c r="K19" i="4" s="1"/>
  <c r="L8" i="67"/>
  <c r="M8" i="67"/>
  <c r="M14" i="4" s="1"/>
  <c r="M19" i="4" s="1"/>
  <c r="M20" i="4" s="1"/>
  <c r="B8" i="67"/>
  <c r="C85" i="49"/>
  <c r="D85" i="49"/>
  <c r="E85" i="49"/>
  <c r="F85" i="49"/>
  <c r="G85" i="49"/>
  <c r="H85" i="49"/>
  <c r="I85" i="49"/>
  <c r="J85" i="49"/>
  <c r="K85" i="49"/>
  <c r="L85" i="49"/>
  <c r="M85" i="49"/>
  <c r="B85" i="49"/>
  <c r="C85" i="70"/>
  <c r="D85" i="70"/>
  <c r="E85" i="70"/>
  <c r="F85" i="70"/>
  <c r="G85" i="70"/>
  <c r="H85" i="70"/>
  <c r="I85" i="70"/>
  <c r="J85" i="70"/>
  <c r="K85" i="70"/>
  <c r="L85" i="70"/>
  <c r="M85" i="70"/>
  <c r="B85" i="70"/>
  <c r="C115" i="14"/>
  <c r="D115" i="14"/>
  <c r="E115" i="14"/>
  <c r="F115" i="14"/>
  <c r="G115" i="14"/>
  <c r="H115" i="14"/>
  <c r="I115" i="14"/>
  <c r="J115" i="14"/>
  <c r="K115" i="14"/>
  <c r="L115" i="14"/>
  <c r="M115" i="14"/>
  <c r="B115" i="14"/>
  <c r="C114" i="18"/>
  <c r="D114" i="18"/>
  <c r="E114" i="18"/>
  <c r="F114" i="18"/>
  <c r="G114" i="18"/>
  <c r="H114" i="18"/>
  <c r="I114" i="18"/>
  <c r="J114" i="18"/>
  <c r="K114" i="18"/>
  <c r="L114" i="18"/>
  <c r="M114" i="18"/>
  <c r="B114" i="18"/>
  <c r="C213" i="4"/>
  <c r="C90" i="18"/>
  <c r="D213" i="4"/>
  <c r="D218" i="4" s="1"/>
  <c r="D219" i="4" s="1"/>
  <c r="D68" i="49"/>
  <c r="E213" i="4"/>
  <c r="E218" i="4" s="1"/>
  <c r="E223" i="4" s="1"/>
  <c r="E228" i="4" s="1"/>
  <c r="E68" i="49"/>
  <c r="F213" i="4"/>
  <c r="F218" i="4" s="1"/>
  <c r="F68" i="49"/>
  <c r="G213" i="4"/>
  <c r="G218" i="4" s="1"/>
  <c r="G90" i="18"/>
  <c r="H68" i="49"/>
  <c r="I213" i="4"/>
  <c r="I68" i="49"/>
  <c r="J213" i="4"/>
  <c r="J218" i="4" s="1"/>
  <c r="J68" i="49"/>
  <c r="K213" i="4"/>
  <c r="K218" i="4" s="1"/>
  <c r="K90" i="18"/>
  <c r="L213" i="4"/>
  <c r="L68" i="49"/>
  <c r="M213" i="4"/>
  <c r="M218" i="4" s="1"/>
  <c r="M68" i="49"/>
  <c r="D90" i="18"/>
  <c r="L90" i="18"/>
  <c r="B213" i="4"/>
  <c r="B68" i="49"/>
  <c r="C144" i="4"/>
  <c r="C149" i="4" s="1"/>
  <c r="C66" i="18"/>
  <c r="D51" i="49"/>
  <c r="E144" i="4"/>
  <c r="E149" i="4" s="1"/>
  <c r="E51" i="49"/>
  <c r="F144" i="4"/>
  <c r="F51" i="49"/>
  <c r="G144" i="4"/>
  <c r="G149" i="4" s="1"/>
  <c r="G66" i="18"/>
  <c r="H144" i="4"/>
  <c r="H51" i="49"/>
  <c r="I144" i="4"/>
  <c r="I51" i="49"/>
  <c r="J144" i="4"/>
  <c r="J149" i="4" s="1"/>
  <c r="J51" i="49"/>
  <c r="K144" i="4"/>
  <c r="K149" i="4" s="1"/>
  <c r="K150" i="4" s="1"/>
  <c r="K66" i="18"/>
  <c r="L51" i="49"/>
  <c r="M144" i="4"/>
  <c r="M149" i="4" s="1"/>
  <c r="M51" i="49"/>
  <c r="B144" i="4"/>
  <c r="B149" i="4" s="1"/>
  <c r="B51" i="49"/>
  <c r="C32" i="56"/>
  <c r="C279" i="48"/>
  <c r="C11" i="69"/>
  <c r="D11" i="69"/>
  <c r="E11" i="69"/>
  <c r="F11" i="69"/>
  <c r="G11" i="69"/>
  <c r="H11" i="69"/>
  <c r="I11" i="69"/>
  <c r="J11" i="69"/>
  <c r="K11" i="69"/>
  <c r="L11" i="69"/>
  <c r="M11" i="69"/>
  <c r="I223" i="48"/>
  <c r="D223" i="48"/>
  <c r="E172" i="48"/>
  <c r="G75" i="48"/>
  <c r="H223" i="48"/>
  <c r="C121" i="48"/>
  <c r="F120" i="48"/>
  <c r="C120" i="48"/>
  <c r="C110" i="56"/>
  <c r="C103" i="56"/>
  <c r="C109" i="56" s="1"/>
  <c r="C84" i="56"/>
  <c r="C77" i="56"/>
  <c r="C83" i="56" s="1"/>
  <c r="C57" i="56"/>
  <c r="C58" i="56"/>
  <c r="C51" i="56"/>
  <c r="C25" i="56"/>
  <c r="C31" i="56" s="1"/>
  <c r="C82" i="70"/>
  <c r="D82" i="70"/>
  <c r="E82" i="70"/>
  <c r="F82" i="70"/>
  <c r="G82" i="70"/>
  <c r="H82" i="70"/>
  <c r="I82" i="70"/>
  <c r="J82" i="70"/>
  <c r="K82" i="70"/>
  <c r="L82" i="70"/>
  <c r="M82" i="70"/>
  <c r="B82" i="70"/>
  <c r="C65" i="70"/>
  <c r="D65" i="70"/>
  <c r="E65" i="70"/>
  <c r="F65" i="70"/>
  <c r="G65" i="70"/>
  <c r="H65" i="70"/>
  <c r="I65" i="70"/>
  <c r="J65" i="70"/>
  <c r="K65" i="70"/>
  <c r="L65" i="70"/>
  <c r="M65" i="70"/>
  <c r="B65" i="70"/>
  <c r="C48" i="70"/>
  <c r="D48" i="70"/>
  <c r="E48" i="70"/>
  <c r="F48" i="70"/>
  <c r="G48" i="70"/>
  <c r="H48" i="70"/>
  <c r="I48" i="70"/>
  <c r="J48" i="70"/>
  <c r="K48" i="70"/>
  <c r="L48" i="70"/>
  <c r="M48" i="70"/>
  <c r="B48" i="70"/>
  <c r="C31" i="70"/>
  <c r="D31" i="70"/>
  <c r="E31" i="70"/>
  <c r="F31" i="70"/>
  <c r="G31" i="70"/>
  <c r="H31" i="70"/>
  <c r="I31" i="70"/>
  <c r="J31" i="70"/>
  <c r="K31" i="70"/>
  <c r="L31" i="70"/>
  <c r="M31" i="70"/>
  <c r="B31" i="70"/>
  <c r="C14" i="70"/>
  <c r="C21" i="70" s="1"/>
  <c r="C22" i="70" s="1"/>
  <c r="C23" i="70" s="1"/>
  <c r="D14" i="70"/>
  <c r="D21" i="70" s="1"/>
  <c r="D22" i="70" s="1"/>
  <c r="D23" i="70" s="1"/>
  <c r="E14" i="70"/>
  <c r="E15" i="70" s="1"/>
  <c r="E16" i="70" s="1"/>
  <c r="F14" i="70"/>
  <c r="F15" i="70" s="1"/>
  <c r="F16" i="70" s="1"/>
  <c r="G14" i="70"/>
  <c r="G21" i="70" s="1"/>
  <c r="G22" i="70" s="1"/>
  <c r="G23" i="70" s="1"/>
  <c r="H14" i="70"/>
  <c r="H15" i="70" s="1"/>
  <c r="H16" i="70" s="1"/>
  <c r="I14" i="70"/>
  <c r="J14" i="70"/>
  <c r="J15" i="70" s="1"/>
  <c r="J16" i="70" s="1"/>
  <c r="K14" i="70"/>
  <c r="K21" i="70" s="1"/>
  <c r="L14" i="70"/>
  <c r="L21" i="70" s="1"/>
  <c r="M14" i="70"/>
  <c r="M21" i="70" s="1"/>
  <c r="M22" i="70" s="1"/>
  <c r="M23" i="70" s="1"/>
  <c r="B14" i="70"/>
  <c r="B15" i="70" s="1"/>
  <c r="D12" i="71"/>
  <c r="D13" i="71" s="1"/>
  <c r="D14" i="71" s="1"/>
  <c r="D15" i="71" s="1"/>
  <c r="D16" i="71" s="1"/>
  <c r="D17" i="71" s="1"/>
  <c r="Q12" i="71"/>
  <c r="Q13" i="71"/>
  <c r="Q14" i="71"/>
  <c r="Q15" i="71"/>
  <c r="D11" i="72"/>
  <c r="D12" i="72" s="1"/>
  <c r="D13" i="72" s="1"/>
  <c r="D14" i="72" s="1"/>
  <c r="A29" i="73"/>
  <c r="A46" i="73" s="1"/>
  <c r="A63" i="73" s="1"/>
  <c r="A80" i="73" s="1"/>
  <c r="C7" i="73"/>
  <c r="D7" i="73" s="1"/>
  <c r="E7" i="73" s="1"/>
  <c r="F7" i="73" s="1"/>
  <c r="G7" i="73" s="1"/>
  <c r="H7" i="73" s="1"/>
  <c r="I7" i="73" s="1"/>
  <c r="J7" i="73" s="1"/>
  <c r="K7" i="73" s="1"/>
  <c r="L7" i="73" s="1"/>
  <c r="M7" i="73" s="1"/>
  <c r="B5" i="73"/>
  <c r="B4" i="73"/>
  <c r="G65" i="48"/>
  <c r="M24" i="48"/>
  <c r="C36" i="11"/>
  <c r="C35" i="11"/>
  <c r="C38" i="11"/>
  <c r="B28" i="61" s="1"/>
  <c r="C28" i="61" s="1"/>
  <c r="D28" i="61" s="1"/>
  <c r="E28" i="61" s="1"/>
  <c r="F28" i="61" s="1"/>
  <c r="G28" i="61" s="1"/>
  <c r="H28" i="61" s="1"/>
  <c r="I28" i="61" s="1"/>
  <c r="J28" i="61" s="1"/>
  <c r="K28" i="61" s="1"/>
  <c r="L28" i="61" s="1"/>
  <c r="M28" i="61" s="1"/>
  <c r="C323" i="48"/>
  <c r="E15" i="49"/>
  <c r="J15" i="49"/>
  <c r="K18" i="18"/>
  <c r="I21" i="48"/>
  <c r="L21" i="48"/>
  <c r="M21" i="48"/>
  <c r="M82" i="49"/>
  <c r="J82" i="49"/>
  <c r="D82" i="49"/>
  <c r="E7" i="68"/>
  <c r="F7" i="68" s="1"/>
  <c r="G7" i="68" s="1"/>
  <c r="H7" i="68" s="1"/>
  <c r="I7" i="68" s="1"/>
  <c r="J7" i="68" s="1"/>
  <c r="E31" i="49"/>
  <c r="B279" i="64"/>
  <c r="B279" i="16" s="1"/>
  <c r="C279" i="64"/>
  <c r="C279" i="16" s="1"/>
  <c r="D279" i="64"/>
  <c r="D279" i="16" s="1"/>
  <c r="E279" i="64"/>
  <c r="E279" i="16" s="1"/>
  <c r="F279" i="64"/>
  <c r="F279" i="16" s="1"/>
  <c r="G279" i="64"/>
  <c r="G279" i="16" s="1"/>
  <c r="H279" i="64"/>
  <c r="H279" i="16" s="1"/>
  <c r="I279" i="64"/>
  <c r="I279" i="16" s="1"/>
  <c r="J279" i="64"/>
  <c r="J279" i="16" s="1"/>
  <c r="K279" i="64"/>
  <c r="K279" i="16" s="1"/>
  <c r="L279" i="64"/>
  <c r="L279" i="16" s="1"/>
  <c r="M279" i="64"/>
  <c r="M279" i="16" s="1"/>
  <c r="B284" i="64"/>
  <c r="B284" i="16" s="1"/>
  <c r="C284" i="64"/>
  <c r="C284" i="16" s="1"/>
  <c r="D284" i="64"/>
  <c r="D284" i="16" s="1"/>
  <c r="E284" i="64"/>
  <c r="E284" i="16" s="1"/>
  <c r="F284" i="64"/>
  <c r="F284" i="16" s="1"/>
  <c r="G284" i="64"/>
  <c r="G284" i="16" s="1"/>
  <c r="H284" i="64"/>
  <c r="H284" i="16" s="1"/>
  <c r="I284" i="64"/>
  <c r="I284" i="16" s="1"/>
  <c r="J284" i="64"/>
  <c r="J284" i="16" s="1"/>
  <c r="K284" i="64"/>
  <c r="K284" i="16" s="1"/>
  <c r="L284" i="64"/>
  <c r="L284" i="16" s="1"/>
  <c r="M284" i="64"/>
  <c r="M284" i="16" s="1"/>
  <c r="B289" i="64"/>
  <c r="B289" i="16" s="1"/>
  <c r="C289" i="64"/>
  <c r="C289" i="16" s="1"/>
  <c r="D289" i="64"/>
  <c r="D289" i="16" s="1"/>
  <c r="E289" i="64"/>
  <c r="E289" i="16" s="1"/>
  <c r="F289" i="64"/>
  <c r="F289" i="16" s="1"/>
  <c r="G289" i="64"/>
  <c r="G289" i="16" s="1"/>
  <c r="H289" i="64"/>
  <c r="H289" i="16" s="1"/>
  <c r="I289" i="64"/>
  <c r="I289" i="16" s="1"/>
  <c r="J289" i="64"/>
  <c r="J289" i="16" s="1"/>
  <c r="K289" i="64"/>
  <c r="K289" i="16" s="1"/>
  <c r="L289" i="64"/>
  <c r="L289" i="16" s="1"/>
  <c r="M289" i="64"/>
  <c r="M289" i="16" s="1"/>
  <c r="B294" i="64"/>
  <c r="B294" i="16" s="1"/>
  <c r="C294" i="64"/>
  <c r="C294" i="16" s="1"/>
  <c r="D294" i="64"/>
  <c r="D294" i="16" s="1"/>
  <c r="E294" i="64"/>
  <c r="E294" i="16" s="1"/>
  <c r="F294" i="64"/>
  <c r="F294" i="16" s="1"/>
  <c r="G294" i="64"/>
  <c r="G294" i="16" s="1"/>
  <c r="H294" i="64"/>
  <c r="H294" i="16" s="1"/>
  <c r="I294" i="64"/>
  <c r="I294" i="16" s="1"/>
  <c r="J294" i="64"/>
  <c r="J294" i="16" s="1"/>
  <c r="K294" i="64"/>
  <c r="K294" i="16" s="1"/>
  <c r="L294" i="64"/>
  <c r="L294" i="16" s="1"/>
  <c r="M294" i="64"/>
  <c r="M294" i="16" s="1"/>
  <c r="B299" i="64"/>
  <c r="B299" i="16" s="1"/>
  <c r="B304" i="64"/>
  <c r="B304" i="16" s="1"/>
  <c r="B309" i="64"/>
  <c r="B309" i="16" s="1"/>
  <c r="B319" i="64"/>
  <c r="B314" i="16" s="1"/>
  <c r="N324" i="64"/>
  <c r="B120" i="16"/>
  <c r="B115" i="16"/>
  <c r="B129" i="64" s="1"/>
  <c r="C58" i="16"/>
  <c r="D58" i="16" s="1"/>
  <c r="E58" i="16" s="1"/>
  <c r="C264" i="64"/>
  <c r="C264" i="16" s="1"/>
  <c r="D264" i="64"/>
  <c r="D264" i="16" s="1"/>
  <c r="E264" i="64"/>
  <c r="E264" i="16" s="1"/>
  <c r="F264" i="64"/>
  <c r="F264" i="16" s="1"/>
  <c r="G264" i="64"/>
  <c r="G264" i="16" s="1"/>
  <c r="H264" i="64"/>
  <c r="H264" i="16" s="1"/>
  <c r="I264" i="64"/>
  <c r="I264" i="16" s="1"/>
  <c r="J264" i="64"/>
  <c r="J264" i="16" s="1"/>
  <c r="K264" i="64"/>
  <c r="K264" i="16" s="1"/>
  <c r="L264" i="64"/>
  <c r="L264" i="16" s="1"/>
  <c r="M264" i="64"/>
  <c r="M264" i="16" s="1"/>
  <c r="B264" i="64"/>
  <c r="B259" i="64"/>
  <c r="B259" i="16" s="1"/>
  <c r="G254" i="64"/>
  <c r="G254" i="16" s="1"/>
  <c r="B254" i="64"/>
  <c r="B254" i="16" s="1"/>
  <c r="B249" i="64"/>
  <c r="B249" i="16" s="1"/>
  <c r="B239" i="64"/>
  <c r="B239" i="16" s="1"/>
  <c r="C234" i="64"/>
  <c r="C234" i="16" s="1"/>
  <c r="D234" i="64"/>
  <c r="D234" i="16" s="1"/>
  <c r="E234" i="64"/>
  <c r="E234" i="16" s="1"/>
  <c r="F234" i="64"/>
  <c r="F234" i="16" s="1"/>
  <c r="G234" i="64"/>
  <c r="G234" i="16" s="1"/>
  <c r="H234" i="64"/>
  <c r="H234" i="16" s="1"/>
  <c r="I234" i="64"/>
  <c r="I234" i="16" s="1"/>
  <c r="J234" i="64"/>
  <c r="J234" i="16" s="1"/>
  <c r="K234" i="64"/>
  <c r="K234" i="16" s="1"/>
  <c r="L234" i="64"/>
  <c r="L234" i="16" s="1"/>
  <c r="M234" i="64"/>
  <c r="M234" i="16" s="1"/>
  <c r="B234" i="64"/>
  <c r="B234" i="16" s="1"/>
  <c r="C229" i="64"/>
  <c r="C229" i="16" s="1"/>
  <c r="D229" i="64"/>
  <c r="D229" i="16" s="1"/>
  <c r="E229" i="64"/>
  <c r="E229" i="16" s="1"/>
  <c r="F229" i="64"/>
  <c r="G229" i="64"/>
  <c r="G229" i="16" s="1"/>
  <c r="H229" i="64"/>
  <c r="H229" i="16" s="1"/>
  <c r="I229" i="64"/>
  <c r="I229" i="16" s="1"/>
  <c r="J229" i="64"/>
  <c r="J229" i="16" s="1"/>
  <c r="K229" i="64"/>
  <c r="K229" i="16" s="1"/>
  <c r="L229" i="64"/>
  <c r="L229" i="16" s="1"/>
  <c r="M229" i="64"/>
  <c r="M229" i="16" s="1"/>
  <c r="B229" i="64"/>
  <c r="B229" i="16" s="1"/>
  <c r="C224" i="64"/>
  <c r="C224" i="16" s="1"/>
  <c r="D224" i="64"/>
  <c r="D224" i="16" s="1"/>
  <c r="E224" i="64"/>
  <c r="F224" i="64"/>
  <c r="F224" i="16" s="1"/>
  <c r="G224" i="64"/>
  <c r="G224" i="16" s="1"/>
  <c r="H224" i="64"/>
  <c r="H224" i="16" s="1"/>
  <c r="I224" i="64"/>
  <c r="I224" i="16" s="1"/>
  <c r="J224" i="64"/>
  <c r="J224" i="16" s="1"/>
  <c r="K224" i="64"/>
  <c r="K224" i="16" s="1"/>
  <c r="L224" i="64"/>
  <c r="L224" i="16" s="1"/>
  <c r="M224" i="64"/>
  <c r="M224" i="16" s="1"/>
  <c r="B224" i="64"/>
  <c r="B224" i="16" s="1"/>
  <c r="C219" i="64"/>
  <c r="C219" i="16" s="1"/>
  <c r="D219" i="64"/>
  <c r="D219" i="16" s="1"/>
  <c r="E219" i="64"/>
  <c r="F219" i="64"/>
  <c r="F219" i="16" s="1"/>
  <c r="G219" i="64"/>
  <c r="G219" i="16" s="1"/>
  <c r="H219" i="64"/>
  <c r="H219" i="16" s="1"/>
  <c r="I219" i="64"/>
  <c r="I219" i="16" s="1"/>
  <c r="J219" i="64"/>
  <c r="J219" i="16" s="1"/>
  <c r="K219" i="64"/>
  <c r="K219" i="16" s="1"/>
  <c r="L219" i="64"/>
  <c r="L219" i="16" s="1"/>
  <c r="M219" i="64"/>
  <c r="M219" i="16" s="1"/>
  <c r="B219" i="64"/>
  <c r="B219" i="16" s="1"/>
  <c r="C193" i="64"/>
  <c r="C189" i="16" s="1"/>
  <c r="D193" i="64"/>
  <c r="D189" i="16" s="1"/>
  <c r="E193" i="64"/>
  <c r="E189" i="16" s="1"/>
  <c r="F193" i="64"/>
  <c r="F189" i="16" s="1"/>
  <c r="G193" i="64"/>
  <c r="G189" i="16" s="1"/>
  <c r="H193" i="64"/>
  <c r="H189" i="16" s="1"/>
  <c r="I193" i="64"/>
  <c r="I189" i="16" s="1"/>
  <c r="J193" i="64"/>
  <c r="J189" i="16" s="1"/>
  <c r="K193" i="64"/>
  <c r="K189" i="16" s="1"/>
  <c r="L193" i="64"/>
  <c r="L189" i="16" s="1"/>
  <c r="M193" i="64"/>
  <c r="M189" i="16" s="1"/>
  <c r="B193" i="64"/>
  <c r="G188" i="64"/>
  <c r="G184" i="16" s="1"/>
  <c r="B188" i="64"/>
  <c r="B184" i="16" s="1"/>
  <c r="B183" i="64"/>
  <c r="B179" i="16" s="1"/>
  <c r="B173" i="64"/>
  <c r="B169" i="16" s="1"/>
  <c r="C168" i="64"/>
  <c r="C164" i="16" s="1"/>
  <c r="D168" i="64"/>
  <c r="D164" i="16" s="1"/>
  <c r="E168" i="64"/>
  <c r="E164" i="16" s="1"/>
  <c r="F168" i="64"/>
  <c r="F164" i="16" s="1"/>
  <c r="G168" i="64"/>
  <c r="G164" i="16" s="1"/>
  <c r="H168" i="64"/>
  <c r="H164" i="16" s="1"/>
  <c r="I168" i="64"/>
  <c r="I164" i="16" s="1"/>
  <c r="J168" i="64"/>
  <c r="J164" i="16" s="1"/>
  <c r="K168" i="64"/>
  <c r="K164" i="16" s="1"/>
  <c r="L168" i="64"/>
  <c r="M168" i="64"/>
  <c r="M164" i="16" s="1"/>
  <c r="B168" i="64"/>
  <c r="B164" i="16" s="1"/>
  <c r="C163" i="64"/>
  <c r="D163" i="64"/>
  <c r="E163" i="64"/>
  <c r="F163" i="64"/>
  <c r="G163" i="64"/>
  <c r="H163" i="64"/>
  <c r="I163" i="64"/>
  <c r="J163" i="64"/>
  <c r="K163" i="64"/>
  <c r="L163" i="64"/>
  <c r="M163" i="64"/>
  <c r="B163" i="64"/>
  <c r="C158" i="64"/>
  <c r="C154" i="16" s="1"/>
  <c r="D158" i="64"/>
  <c r="D154" i="16" s="1"/>
  <c r="E158" i="64"/>
  <c r="E154" i="16" s="1"/>
  <c r="F158" i="64"/>
  <c r="F154" i="16" s="1"/>
  <c r="G158" i="64"/>
  <c r="G154" i="16" s="1"/>
  <c r="H158" i="64"/>
  <c r="H154" i="16" s="1"/>
  <c r="I158" i="64"/>
  <c r="I154" i="16" s="1"/>
  <c r="J158" i="64"/>
  <c r="J154" i="16" s="1"/>
  <c r="K158" i="64"/>
  <c r="K154" i="16" s="1"/>
  <c r="L158" i="64"/>
  <c r="L154" i="16" s="1"/>
  <c r="M158" i="64"/>
  <c r="M154" i="16" s="1"/>
  <c r="B158" i="64"/>
  <c r="B154" i="16" s="1"/>
  <c r="C153" i="64"/>
  <c r="C149" i="16" s="1"/>
  <c r="D153" i="64"/>
  <c r="D149" i="16" s="1"/>
  <c r="E153" i="64"/>
  <c r="F153" i="64"/>
  <c r="G153" i="64"/>
  <c r="G149" i="16" s="1"/>
  <c r="H153" i="64"/>
  <c r="H149" i="16" s="1"/>
  <c r="I153" i="64"/>
  <c r="I149" i="16" s="1"/>
  <c r="J153" i="64"/>
  <c r="J149" i="16" s="1"/>
  <c r="K153" i="64"/>
  <c r="L153" i="64"/>
  <c r="L149" i="16" s="1"/>
  <c r="M153" i="64"/>
  <c r="B153" i="64"/>
  <c r="B148" i="64"/>
  <c r="C63" i="64"/>
  <c r="D63" i="64" s="1"/>
  <c r="E63" i="64" s="1"/>
  <c r="F63" i="64" s="1"/>
  <c r="G63" i="64" s="1"/>
  <c r="H63" i="64" s="1"/>
  <c r="I63" i="64" s="1"/>
  <c r="J63" i="64" s="1"/>
  <c r="K63" i="64" s="1"/>
  <c r="L63" i="64" s="1"/>
  <c r="B119" i="64"/>
  <c r="D110" i="16"/>
  <c r="E110" i="16"/>
  <c r="F110" i="16"/>
  <c r="G110" i="16"/>
  <c r="H110" i="16"/>
  <c r="I110" i="16"/>
  <c r="J110" i="16"/>
  <c r="K110" i="16"/>
  <c r="L110" i="16"/>
  <c r="M110" i="16"/>
  <c r="B109" i="64"/>
  <c r="B110" i="16" s="1"/>
  <c r="C104" i="64"/>
  <c r="C105" i="16" s="1"/>
  <c r="D104" i="64"/>
  <c r="D105" i="16" s="1"/>
  <c r="E104" i="64"/>
  <c r="E105" i="16" s="1"/>
  <c r="F104" i="64"/>
  <c r="F105" i="16" s="1"/>
  <c r="G104" i="64"/>
  <c r="G105" i="16" s="1"/>
  <c r="H104" i="64"/>
  <c r="H105" i="16" s="1"/>
  <c r="I104" i="64"/>
  <c r="I105" i="16" s="1"/>
  <c r="J104" i="64"/>
  <c r="J105" i="16" s="1"/>
  <c r="K104" i="64"/>
  <c r="K105" i="16" s="1"/>
  <c r="L104" i="64"/>
  <c r="L105" i="16" s="1"/>
  <c r="M104" i="64"/>
  <c r="M105" i="16" s="1"/>
  <c r="B104" i="64"/>
  <c r="B105" i="16" s="1"/>
  <c r="C99" i="64"/>
  <c r="C100" i="16" s="1"/>
  <c r="D99" i="64"/>
  <c r="D100" i="16" s="1"/>
  <c r="E99" i="64"/>
  <c r="E100" i="16" s="1"/>
  <c r="F99" i="64"/>
  <c r="F100" i="16" s="1"/>
  <c r="G99" i="64"/>
  <c r="G100" i="16" s="1"/>
  <c r="H99" i="64"/>
  <c r="H100" i="16" s="1"/>
  <c r="I99" i="64"/>
  <c r="I100" i="16" s="1"/>
  <c r="J99" i="64"/>
  <c r="J100" i="16" s="1"/>
  <c r="K99" i="64"/>
  <c r="L99" i="64"/>
  <c r="L100" i="16" s="1"/>
  <c r="M99" i="64"/>
  <c r="M100" i="16" s="1"/>
  <c r="B99" i="64"/>
  <c r="B100" i="16" s="1"/>
  <c r="C94" i="64"/>
  <c r="C95" i="16" s="1"/>
  <c r="D94" i="64"/>
  <c r="D95" i="16" s="1"/>
  <c r="E94" i="64"/>
  <c r="E95" i="16" s="1"/>
  <c r="F94" i="64"/>
  <c r="G94" i="64"/>
  <c r="G95" i="16" s="1"/>
  <c r="H94" i="64"/>
  <c r="H95" i="16" s="1"/>
  <c r="I94" i="64"/>
  <c r="I95" i="16" s="1"/>
  <c r="J94" i="64"/>
  <c r="J95" i="16" s="1"/>
  <c r="K94" i="64"/>
  <c r="K95" i="16" s="1"/>
  <c r="L94" i="64"/>
  <c r="L95" i="16" s="1"/>
  <c r="M94" i="64"/>
  <c r="M95" i="16" s="1"/>
  <c r="B94" i="64"/>
  <c r="B95" i="16" s="1"/>
  <c r="C89" i="64"/>
  <c r="C90" i="16" s="1"/>
  <c r="D89" i="64"/>
  <c r="E89" i="64"/>
  <c r="E90" i="16" s="1"/>
  <c r="F89" i="64"/>
  <c r="F90" i="16" s="1"/>
  <c r="G89" i="64"/>
  <c r="G90" i="16" s="1"/>
  <c r="H89" i="64"/>
  <c r="H90" i="16" s="1"/>
  <c r="I89" i="64"/>
  <c r="I90" i="16" s="1"/>
  <c r="J89" i="64"/>
  <c r="J90" i="16" s="1"/>
  <c r="K89" i="64"/>
  <c r="K90" i="16" s="1"/>
  <c r="L89" i="64"/>
  <c r="L90" i="16" s="1"/>
  <c r="M89" i="64"/>
  <c r="M90" i="16" s="1"/>
  <c r="B89" i="64"/>
  <c r="B90" i="16" s="1"/>
  <c r="C84" i="64"/>
  <c r="C85" i="16" s="1"/>
  <c r="D84" i="64"/>
  <c r="D85" i="16" s="1"/>
  <c r="E84" i="64"/>
  <c r="E85" i="16" s="1"/>
  <c r="F84" i="64"/>
  <c r="F85" i="16" s="1"/>
  <c r="G84" i="64"/>
  <c r="G85" i="16" s="1"/>
  <c r="H84" i="64"/>
  <c r="H85" i="16" s="1"/>
  <c r="I84" i="64"/>
  <c r="I85" i="16" s="1"/>
  <c r="J84" i="64"/>
  <c r="J85" i="16" s="1"/>
  <c r="K84" i="64"/>
  <c r="K85" i="16" s="1"/>
  <c r="L84" i="64"/>
  <c r="L85" i="16" s="1"/>
  <c r="M84" i="64"/>
  <c r="M85" i="16" s="1"/>
  <c r="B84" i="64"/>
  <c r="C79" i="64"/>
  <c r="C80" i="16" s="1"/>
  <c r="D79" i="64"/>
  <c r="D80" i="16" s="1"/>
  <c r="E79" i="64"/>
  <c r="E80" i="16" s="1"/>
  <c r="F79" i="64"/>
  <c r="F80" i="16" s="1"/>
  <c r="G79" i="64"/>
  <c r="G80" i="16" s="1"/>
  <c r="H79" i="64"/>
  <c r="H80" i="16" s="1"/>
  <c r="I79" i="64"/>
  <c r="I80" i="16" s="1"/>
  <c r="J79" i="64"/>
  <c r="J80" i="16" s="1"/>
  <c r="K79" i="64"/>
  <c r="K80" i="16" s="1"/>
  <c r="L79" i="64"/>
  <c r="L80" i="16" s="1"/>
  <c r="M79" i="64"/>
  <c r="M80" i="16" s="1"/>
  <c r="B79" i="64"/>
  <c r="L74" i="64"/>
  <c r="M74" i="64"/>
  <c r="B74" i="64"/>
  <c r="B48" i="64"/>
  <c r="B48" i="16" s="1"/>
  <c r="C43" i="64"/>
  <c r="C43" i="16" s="1"/>
  <c r="D43" i="64"/>
  <c r="D43" i="16" s="1"/>
  <c r="E43" i="64"/>
  <c r="E43" i="16" s="1"/>
  <c r="F43" i="64"/>
  <c r="F43" i="16" s="1"/>
  <c r="G43" i="64"/>
  <c r="G43" i="16" s="1"/>
  <c r="H43" i="64"/>
  <c r="H43" i="16" s="1"/>
  <c r="I43" i="64"/>
  <c r="I43" i="16" s="1"/>
  <c r="J43" i="64"/>
  <c r="J43" i="16" s="1"/>
  <c r="K43" i="64"/>
  <c r="K43" i="16" s="1"/>
  <c r="L43" i="64"/>
  <c r="L43" i="16" s="1"/>
  <c r="M43" i="64"/>
  <c r="M43" i="16" s="1"/>
  <c r="B43" i="64"/>
  <c r="B43" i="16" s="1"/>
  <c r="C33" i="64"/>
  <c r="C33" i="16" s="1"/>
  <c r="D33" i="64"/>
  <c r="D33" i="16" s="1"/>
  <c r="E33" i="64"/>
  <c r="E33" i="16" s="1"/>
  <c r="F33" i="64"/>
  <c r="F33" i="16" s="1"/>
  <c r="G33" i="64"/>
  <c r="G33" i="16" s="1"/>
  <c r="H33" i="64"/>
  <c r="H33" i="16" s="1"/>
  <c r="I33" i="64"/>
  <c r="I33" i="16" s="1"/>
  <c r="J33" i="64"/>
  <c r="J33" i="16" s="1"/>
  <c r="K33" i="64"/>
  <c r="K33" i="16" s="1"/>
  <c r="L33" i="64"/>
  <c r="L33" i="16" s="1"/>
  <c r="M33" i="64"/>
  <c r="M33" i="16" s="1"/>
  <c r="B33" i="64"/>
  <c r="B33" i="16" s="1"/>
  <c r="C28" i="64"/>
  <c r="D28" i="64"/>
  <c r="D28" i="16" s="1"/>
  <c r="E28" i="64"/>
  <c r="E28" i="16" s="1"/>
  <c r="F28" i="64"/>
  <c r="F28" i="16" s="1"/>
  <c r="G28" i="64"/>
  <c r="G28" i="16" s="1"/>
  <c r="H28" i="64"/>
  <c r="H28" i="16" s="1"/>
  <c r="I28" i="64"/>
  <c r="I28" i="16" s="1"/>
  <c r="J28" i="64"/>
  <c r="J28" i="16" s="1"/>
  <c r="K28" i="64"/>
  <c r="K28" i="16" s="1"/>
  <c r="L28" i="64"/>
  <c r="L28" i="16" s="1"/>
  <c r="M28" i="64"/>
  <c r="M28" i="16" s="1"/>
  <c r="B28" i="64"/>
  <c r="B28" i="16" s="1"/>
  <c r="C23" i="64"/>
  <c r="C23" i="16" s="1"/>
  <c r="D23" i="64"/>
  <c r="D23" i="16" s="1"/>
  <c r="E23" i="64"/>
  <c r="E23" i="16" s="1"/>
  <c r="F23" i="64"/>
  <c r="F23" i="16" s="1"/>
  <c r="G23" i="64"/>
  <c r="G23" i="16" s="1"/>
  <c r="H23" i="64"/>
  <c r="H23" i="16" s="1"/>
  <c r="I23" i="64"/>
  <c r="I23" i="16" s="1"/>
  <c r="J23" i="64"/>
  <c r="J23" i="16" s="1"/>
  <c r="K23" i="64"/>
  <c r="K23" i="16" s="1"/>
  <c r="L23" i="64"/>
  <c r="L23" i="16" s="1"/>
  <c r="M23" i="64"/>
  <c r="M23" i="16" s="1"/>
  <c r="B23" i="64"/>
  <c r="C18" i="64"/>
  <c r="C18" i="16" s="1"/>
  <c r="D18" i="64"/>
  <c r="D18" i="16" s="1"/>
  <c r="E18" i="64"/>
  <c r="F18" i="64"/>
  <c r="F18" i="16" s="1"/>
  <c r="G18" i="64"/>
  <c r="G18" i="16" s="1"/>
  <c r="H18" i="64"/>
  <c r="H18" i="16" s="1"/>
  <c r="I18" i="64"/>
  <c r="I18" i="16" s="1"/>
  <c r="J18" i="64"/>
  <c r="J18" i="16" s="1"/>
  <c r="K18" i="64"/>
  <c r="K18" i="16" s="1"/>
  <c r="L18" i="64"/>
  <c r="L18" i="16" s="1"/>
  <c r="M18" i="64"/>
  <c r="M18" i="16" s="1"/>
  <c r="B18" i="64"/>
  <c r="B18" i="16" s="1"/>
  <c r="N124" i="4"/>
  <c r="H188" i="4"/>
  <c r="C188" i="4"/>
  <c r="C48" i="4"/>
  <c r="D48" i="4" s="1"/>
  <c r="E48" i="4" s="1"/>
  <c r="F48" i="4" s="1"/>
  <c r="G48" i="4" s="1"/>
  <c r="H48" i="4" s="1"/>
  <c r="I48" i="4" s="1"/>
  <c r="C53" i="4"/>
  <c r="C109" i="4"/>
  <c r="D109" i="4" s="1"/>
  <c r="C183" i="64"/>
  <c r="C179" i="16" s="1"/>
  <c r="C302" i="4"/>
  <c r="C43" i="4"/>
  <c r="B25" i="67"/>
  <c r="B26" i="67"/>
  <c r="D21" i="24" s="1"/>
  <c r="D35" i="24" s="1"/>
  <c r="D49" i="24" s="1"/>
  <c r="D63" i="24" s="1"/>
  <c r="D77" i="24" s="1"/>
  <c r="D92" i="24" s="1"/>
  <c r="A33" i="18"/>
  <c r="A58" i="18" s="1"/>
  <c r="A81" i="18" s="1"/>
  <c r="A106" i="18" s="1"/>
  <c r="A131" i="18" s="1"/>
  <c r="A156" i="18" s="1"/>
  <c r="M111" i="18"/>
  <c r="K111" i="18"/>
  <c r="J111" i="18"/>
  <c r="I111" i="18"/>
  <c r="H111" i="18"/>
  <c r="G111" i="18"/>
  <c r="F111" i="18"/>
  <c r="E111" i="18"/>
  <c r="D111" i="18"/>
  <c r="C111" i="18"/>
  <c r="K63" i="18"/>
  <c r="K18" i="89" s="1"/>
  <c r="B39" i="18"/>
  <c r="B18" i="94" s="1"/>
  <c r="E16" i="63"/>
  <c r="D16" i="63"/>
  <c r="A29" i="70"/>
  <c r="A46" i="70" s="1"/>
  <c r="A63" i="70" s="1"/>
  <c r="A80" i="70" s="1"/>
  <c r="A97" i="70" s="1"/>
  <c r="A114" i="70" s="1"/>
  <c r="C7" i="70"/>
  <c r="D7" i="70" s="1"/>
  <c r="E7" i="70" s="1"/>
  <c r="F7" i="70" s="1"/>
  <c r="G7" i="70" s="1"/>
  <c r="H7" i="70" s="1"/>
  <c r="I7" i="70" s="1"/>
  <c r="J7" i="70" s="1"/>
  <c r="K7" i="70" s="1"/>
  <c r="L7" i="70" s="1"/>
  <c r="M7" i="70" s="1"/>
  <c r="B5" i="70"/>
  <c r="B4" i="70"/>
  <c r="E87" i="61"/>
  <c r="E88" i="61" s="1"/>
  <c r="J87" i="61"/>
  <c r="J88" i="61" s="1"/>
  <c r="F62" i="61"/>
  <c r="F63" i="61" s="1"/>
  <c r="J62" i="61"/>
  <c r="J63" i="61" s="1"/>
  <c r="B62" i="61"/>
  <c r="B63" i="61" s="1"/>
  <c r="C43" i="61"/>
  <c r="C44" i="61" s="1"/>
  <c r="C45" i="61" s="1"/>
  <c r="L18" i="61"/>
  <c r="L25" i="61" s="1"/>
  <c r="L26" i="61" s="1"/>
  <c r="L27" i="61" s="1"/>
  <c r="B28" i="18"/>
  <c r="C28" i="18" s="1"/>
  <c r="D28" i="18" s="1"/>
  <c r="E28" i="18" s="1"/>
  <c r="F28" i="18" s="1"/>
  <c r="G28" i="18" s="1"/>
  <c r="H28" i="18" s="1"/>
  <c r="I28" i="18" s="1"/>
  <c r="J28" i="18" s="1"/>
  <c r="K28" i="18" s="1"/>
  <c r="L28" i="18" s="1"/>
  <c r="M28" i="18" s="1"/>
  <c r="I34" i="48"/>
  <c r="J34" i="48"/>
  <c r="K34" i="48"/>
  <c r="L34" i="48"/>
  <c r="M34" i="48"/>
  <c r="N34" i="48"/>
  <c r="I35" i="48"/>
  <c r="J35" i="48"/>
  <c r="K35" i="48"/>
  <c r="L35" i="48"/>
  <c r="M35" i="48"/>
  <c r="N35" i="48"/>
  <c r="C274" i="48"/>
  <c r="B280" i="16"/>
  <c r="B290" i="16"/>
  <c r="B295" i="16"/>
  <c r="B300" i="16" s="1"/>
  <c r="B305" i="16" s="1"/>
  <c r="B34" i="16"/>
  <c r="B19" i="16"/>
  <c r="B29" i="16"/>
  <c r="B87" i="18"/>
  <c r="B71" i="24"/>
  <c r="C71" i="24"/>
  <c r="D71" i="24"/>
  <c r="E87" i="18"/>
  <c r="E71" i="24"/>
  <c r="F87" i="18"/>
  <c r="F71" i="24"/>
  <c r="G87" i="18"/>
  <c r="G71" i="24"/>
  <c r="H87" i="18"/>
  <c r="H71" i="24"/>
  <c r="I71" i="24"/>
  <c r="J87" i="18"/>
  <c r="J18" i="90" s="1"/>
  <c r="J71" i="24"/>
  <c r="K87" i="18"/>
  <c r="K71" i="24"/>
  <c r="L87" i="18"/>
  <c r="L71" i="24"/>
  <c r="M71" i="24"/>
  <c r="B124" i="18"/>
  <c r="B129" i="14"/>
  <c r="C129" i="14"/>
  <c r="D129" i="14"/>
  <c r="E129" i="14"/>
  <c r="F129" i="14"/>
  <c r="G129" i="14"/>
  <c r="H129" i="14"/>
  <c r="I129" i="14"/>
  <c r="J129" i="14"/>
  <c r="K129" i="14"/>
  <c r="L129" i="14"/>
  <c r="M129" i="14"/>
  <c r="M63" i="18"/>
  <c r="L63" i="18"/>
  <c r="J63" i="18"/>
  <c r="I63" i="18"/>
  <c r="H63" i="18"/>
  <c r="G63" i="18"/>
  <c r="F63" i="18"/>
  <c r="E63" i="18"/>
  <c r="D63" i="18"/>
  <c r="C63" i="18"/>
  <c r="B63" i="18"/>
  <c r="M39" i="18"/>
  <c r="L39" i="18"/>
  <c r="K39" i="18"/>
  <c r="K18" i="94" s="1"/>
  <c r="J39" i="18"/>
  <c r="I39" i="18"/>
  <c r="G39" i="18"/>
  <c r="F39" i="18"/>
  <c r="E39" i="18"/>
  <c r="C39" i="18"/>
  <c r="C18" i="94" s="1"/>
  <c r="M57" i="24"/>
  <c r="L57" i="24"/>
  <c r="K57" i="24"/>
  <c r="J57" i="24"/>
  <c r="I57" i="24"/>
  <c r="H57" i="24"/>
  <c r="G57" i="24"/>
  <c r="F57" i="24"/>
  <c r="E57" i="24"/>
  <c r="D57" i="24"/>
  <c r="C57" i="24"/>
  <c r="B57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33" i="48"/>
  <c r="M33" i="48"/>
  <c r="J33" i="48"/>
  <c r="I33" i="48"/>
  <c r="B220" i="16"/>
  <c r="B230" i="16"/>
  <c r="B235" i="16"/>
  <c r="B150" i="16"/>
  <c r="B160" i="16"/>
  <c r="B165" i="16"/>
  <c r="B81" i="16"/>
  <c r="B91" i="16"/>
  <c r="B96" i="16"/>
  <c r="N262" i="4"/>
  <c r="C168" i="4"/>
  <c r="N193" i="4"/>
  <c r="C104" i="4"/>
  <c r="C138" i="4" s="1"/>
  <c r="N58" i="4"/>
  <c r="C7" i="49"/>
  <c r="D7" i="49" s="1"/>
  <c r="E7" i="49" s="1"/>
  <c r="F7" i="49" s="1"/>
  <c r="G7" i="49" s="1"/>
  <c r="H7" i="49" s="1"/>
  <c r="I7" i="49" s="1"/>
  <c r="J7" i="49" s="1"/>
  <c r="K7" i="49" s="1"/>
  <c r="L7" i="49" s="1"/>
  <c r="M7" i="49" s="1"/>
  <c r="A9" i="68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M65" i="49"/>
  <c r="K65" i="49"/>
  <c r="I65" i="49"/>
  <c r="G65" i="49"/>
  <c r="C65" i="49"/>
  <c r="K23" i="63"/>
  <c r="D23" i="63"/>
  <c r="B112" i="14" s="1"/>
  <c r="B17" i="91" s="1"/>
  <c r="K22" i="63"/>
  <c r="D22" i="63"/>
  <c r="B87" i="14" s="1"/>
  <c r="K21" i="63"/>
  <c r="D21" i="63"/>
  <c r="B62" i="14" s="1"/>
  <c r="K20" i="63"/>
  <c r="D20" i="63"/>
  <c r="B12" i="14"/>
  <c r="B26" i="14" s="1"/>
  <c r="A34" i="63"/>
  <c r="A33" i="63"/>
  <c r="I16" i="63"/>
  <c r="K16" i="63"/>
  <c r="J16" i="63"/>
  <c r="L16" i="63"/>
  <c r="M16" i="63"/>
  <c r="N16" i="63"/>
  <c r="N17" i="63" s="1"/>
  <c r="O16" i="63"/>
  <c r="F16" i="63"/>
  <c r="G16" i="63"/>
  <c r="H16" i="63"/>
  <c r="B29" i="14"/>
  <c r="C29" i="14"/>
  <c r="D29" i="14"/>
  <c r="E29" i="14"/>
  <c r="F29" i="14"/>
  <c r="G29" i="14"/>
  <c r="H29" i="14"/>
  <c r="I29" i="14"/>
  <c r="J29" i="14"/>
  <c r="K29" i="14"/>
  <c r="L29" i="14"/>
  <c r="M29" i="14"/>
  <c r="C74" i="48"/>
  <c r="D74" i="48"/>
  <c r="K33" i="48"/>
  <c r="L33" i="48"/>
  <c r="F14" i="61"/>
  <c r="L14" i="61"/>
  <c r="H14" i="61"/>
  <c r="G15" i="11"/>
  <c r="G18" i="11" s="1"/>
  <c r="G21" i="11" s="1"/>
  <c r="G24" i="11" s="1"/>
  <c r="G27" i="11" s="1"/>
  <c r="B104" i="14"/>
  <c r="C104" i="14"/>
  <c r="D104" i="14"/>
  <c r="E104" i="14"/>
  <c r="F104" i="14"/>
  <c r="G104" i="14"/>
  <c r="H104" i="14"/>
  <c r="I104" i="14"/>
  <c r="J104" i="14"/>
  <c r="K104" i="14"/>
  <c r="L104" i="14"/>
  <c r="M104" i="14"/>
  <c r="D38" i="11"/>
  <c r="B100" i="18"/>
  <c r="C100" i="18" s="1"/>
  <c r="D100" i="18" s="1"/>
  <c r="E100" i="18" s="1"/>
  <c r="F100" i="18" s="1"/>
  <c r="G100" i="18" s="1"/>
  <c r="H100" i="18" s="1"/>
  <c r="I100" i="18" s="1"/>
  <c r="J100" i="18" s="1"/>
  <c r="K100" i="18" s="1"/>
  <c r="L100" i="18" s="1"/>
  <c r="M100" i="18" s="1"/>
  <c r="B212" i="4"/>
  <c r="C237" i="4"/>
  <c r="C257" i="4"/>
  <c r="C254" i="64" s="1"/>
  <c r="C254" i="16" s="1"/>
  <c r="C259" i="64"/>
  <c r="C259" i="16" s="1"/>
  <c r="H257" i="4"/>
  <c r="H254" i="64" s="1"/>
  <c r="H254" i="16" s="1"/>
  <c r="G20" i="11"/>
  <c r="G23" i="11" s="1"/>
  <c r="B285" i="16" s="1"/>
  <c r="C20" i="11"/>
  <c r="B14" i="16" s="1"/>
  <c r="I215" i="16" s="1"/>
  <c r="C222" i="48"/>
  <c r="F15" i="11"/>
  <c r="F18" i="11" s="1"/>
  <c r="B79" i="14"/>
  <c r="C79" i="14"/>
  <c r="D79" i="14"/>
  <c r="E79" i="14"/>
  <c r="F79" i="14"/>
  <c r="G79" i="14"/>
  <c r="H79" i="14"/>
  <c r="I79" i="14"/>
  <c r="J79" i="14"/>
  <c r="K79" i="14"/>
  <c r="L79" i="14"/>
  <c r="M79" i="14"/>
  <c r="B76" i="18"/>
  <c r="C76" i="18" s="1"/>
  <c r="D76" i="18" s="1"/>
  <c r="E76" i="18" s="1"/>
  <c r="F76" i="18" s="1"/>
  <c r="G76" i="18" s="1"/>
  <c r="H76" i="18" s="1"/>
  <c r="I76" i="18" s="1"/>
  <c r="J76" i="18" s="1"/>
  <c r="K76" i="18" s="1"/>
  <c r="L76" i="18" s="1"/>
  <c r="M76" i="18" s="1"/>
  <c r="F20" i="11"/>
  <c r="C171" i="48"/>
  <c r="D171" i="48"/>
  <c r="D54" i="14"/>
  <c r="H54" i="14"/>
  <c r="E15" i="11"/>
  <c r="E18" i="11" s="1"/>
  <c r="E21" i="11" s="1"/>
  <c r="B54" i="14"/>
  <c r="C54" i="14"/>
  <c r="E54" i="14"/>
  <c r="F54" i="14"/>
  <c r="G54" i="14"/>
  <c r="I54" i="14"/>
  <c r="J54" i="14"/>
  <c r="K54" i="14"/>
  <c r="L54" i="14"/>
  <c r="M54" i="14"/>
  <c r="B52" i="18"/>
  <c r="C52" i="18" s="1"/>
  <c r="D52" i="18" s="1"/>
  <c r="E52" i="18" s="1"/>
  <c r="F52" i="18" s="1"/>
  <c r="G52" i="18" s="1"/>
  <c r="H52" i="18" s="1"/>
  <c r="I52" i="18" s="1"/>
  <c r="J52" i="18" s="1"/>
  <c r="K52" i="18" s="1"/>
  <c r="L52" i="18" s="1"/>
  <c r="M52" i="18" s="1"/>
  <c r="E20" i="11"/>
  <c r="D20" i="11"/>
  <c r="D15" i="11"/>
  <c r="H15" i="11"/>
  <c r="H18" i="11" s="1"/>
  <c r="H21" i="11" s="1"/>
  <c r="H24" i="11" s="1"/>
  <c r="H27" i="11" s="1"/>
  <c r="C33" i="11"/>
  <c r="B25" i="85" s="1"/>
  <c r="K24" i="48"/>
  <c r="N38" i="64"/>
  <c r="C297" i="4"/>
  <c r="B4" i="64"/>
  <c r="B5" i="64"/>
  <c r="A69" i="64"/>
  <c r="A144" i="64" s="1"/>
  <c r="A210" i="64" s="1"/>
  <c r="A270" i="64" s="1"/>
  <c r="A330" i="64" s="1"/>
  <c r="A390" i="64" s="1"/>
  <c r="N12" i="47"/>
  <c r="N11" i="47"/>
  <c r="N10" i="47"/>
  <c r="A118" i="18"/>
  <c r="A94" i="18"/>
  <c r="A70" i="18"/>
  <c r="A46" i="18"/>
  <c r="A22" i="18"/>
  <c r="G19" i="48"/>
  <c r="A29" i="49"/>
  <c r="A46" i="49" s="1"/>
  <c r="A63" i="49" s="1"/>
  <c r="A80" i="49" s="1"/>
  <c r="A97" i="49" s="1"/>
  <c r="A114" i="49" s="1"/>
  <c r="A194" i="48"/>
  <c r="A20" i="61"/>
  <c r="A42" i="61"/>
  <c r="A67" i="61" s="1"/>
  <c r="A92" i="61" s="1"/>
  <c r="A117" i="61" s="1"/>
  <c r="A142" i="61" s="1"/>
  <c r="A167" i="61" s="1"/>
  <c r="B33" i="56"/>
  <c r="B59" i="56" s="1"/>
  <c r="B85" i="56" s="1"/>
  <c r="B111" i="56" s="1"/>
  <c r="I39" i="48"/>
  <c r="J39" i="48"/>
  <c r="K39" i="48"/>
  <c r="L39" i="48"/>
  <c r="M39" i="48"/>
  <c r="N39" i="48"/>
  <c r="C10" i="60"/>
  <c r="C11" i="60"/>
  <c r="D11" i="60" s="1"/>
  <c r="E11" i="60" s="1"/>
  <c r="F11" i="60" s="1"/>
  <c r="G11" i="60" s="1"/>
  <c r="H11" i="60" s="1"/>
  <c r="I11" i="60" s="1"/>
  <c r="J11" i="60" s="1"/>
  <c r="K11" i="60" s="1"/>
  <c r="L11" i="60" s="1"/>
  <c r="M11" i="60" s="1"/>
  <c r="C12" i="60"/>
  <c r="D12" i="60" s="1"/>
  <c r="E12" i="60" s="1"/>
  <c r="F12" i="60" s="1"/>
  <c r="G12" i="60" s="1"/>
  <c r="H12" i="60" s="1"/>
  <c r="I12" i="60" s="1"/>
  <c r="J12" i="60" s="1"/>
  <c r="K12" i="60" s="1"/>
  <c r="L12" i="60" s="1"/>
  <c r="M12" i="60" s="1"/>
  <c r="C13" i="60"/>
  <c r="D13" i="60" s="1"/>
  <c r="E13" i="60" s="1"/>
  <c r="F13" i="60" s="1"/>
  <c r="G13" i="60" s="1"/>
  <c r="H13" i="60" s="1"/>
  <c r="I13" i="60" s="1"/>
  <c r="J13" i="60" s="1"/>
  <c r="K13" i="60" s="1"/>
  <c r="L13" i="60" s="1"/>
  <c r="M13" i="60" s="1"/>
  <c r="C14" i="60"/>
  <c r="D14" i="60" s="1"/>
  <c r="B4" i="61"/>
  <c r="B5" i="61"/>
  <c r="A33" i="61"/>
  <c r="A58" i="61" s="1"/>
  <c r="A83" i="61" s="1"/>
  <c r="A108" i="61" s="1"/>
  <c r="A133" i="61" s="1"/>
  <c r="A158" i="61" s="1"/>
  <c r="N99" i="4"/>
  <c r="N38" i="4"/>
  <c r="H20" i="11"/>
  <c r="H23" i="11" s="1"/>
  <c r="D8" i="11"/>
  <c r="E8" i="11" s="1"/>
  <c r="F8" i="11" s="1"/>
  <c r="G8" i="11" s="1"/>
  <c r="H8" i="11" s="1"/>
  <c r="A209" i="16"/>
  <c r="A269" i="16" s="1"/>
  <c r="A324" i="16" s="1"/>
  <c r="A379" i="16" s="1"/>
  <c r="A434" i="16" s="1"/>
  <c r="A70" i="16"/>
  <c r="A140" i="16" s="1"/>
  <c r="A210" i="16" s="1"/>
  <c r="A270" i="16" s="1"/>
  <c r="A325" i="16" s="1"/>
  <c r="A380" i="16" s="1"/>
  <c r="N292" i="4"/>
  <c r="N287" i="4"/>
  <c r="N282" i="4"/>
  <c r="N277" i="4"/>
  <c r="A70" i="4"/>
  <c r="A139" i="4" s="1"/>
  <c r="A208" i="4" s="1"/>
  <c r="A268" i="4" s="1"/>
  <c r="A323" i="4" s="1"/>
  <c r="A378" i="4" s="1"/>
  <c r="A25" i="24"/>
  <c r="A39" i="24" s="1"/>
  <c r="A53" i="24" s="1"/>
  <c r="A67" i="24" s="1"/>
  <c r="A82" i="24" s="1"/>
  <c r="A97" i="24" s="1"/>
  <c r="A123" i="18"/>
  <c r="N109" i="18"/>
  <c r="A34" i="14"/>
  <c r="A59" i="14" s="1"/>
  <c r="A84" i="14" s="1"/>
  <c r="A109" i="14" s="1"/>
  <c r="A134" i="14" s="1"/>
  <c r="A159" i="14" s="1"/>
  <c r="N10" i="53"/>
  <c r="N9" i="53"/>
  <c r="B3" i="53"/>
  <c r="B4" i="53"/>
  <c r="B4" i="49"/>
  <c r="B5" i="49"/>
  <c r="N217" i="4"/>
  <c r="N222" i="4"/>
  <c r="N227" i="4"/>
  <c r="N232" i="4"/>
  <c r="N148" i="4"/>
  <c r="N153" i="4"/>
  <c r="N158" i="4"/>
  <c r="N163" i="4"/>
  <c r="N183" i="4"/>
  <c r="N89" i="4"/>
  <c r="N94" i="4"/>
  <c r="N114" i="4"/>
  <c r="N18" i="4"/>
  <c r="N23" i="4"/>
  <c r="N28" i="4"/>
  <c r="N33" i="4"/>
  <c r="B4" i="24"/>
  <c r="B5" i="24"/>
  <c r="A99" i="18"/>
  <c r="N85" i="18"/>
  <c r="B5" i="14"/>
  <c r="A75" i="18"/>
  <c r="N61" i="18"/>
  <c r="A51" i="18"/>
  <c r="N37" i="18"/>
  <c r="A27" i="18"/>
  <c r="N13" i="18"/>
  <c r="B5" i="18"/>
  <c r="B4" i="18"/>
  <c r="B5" i="4"/>
  <c r="B4" i="4"/>
  <c r="B5" i="16"/>
  <c r="B4" i="16"/>
  <c r="J11" i="48"/>
  <c r="C17" i="48"/>
  <c r="O17" i="48" s="1"/>
  <c r="E17" i="48"/>
  <c r="G17" i="48"/>
  <c r="J21" i="48"/>
  <c r="C221" i="48"/>
  <c r="K19" i="48"/>
  <c r="C18" i="48"/>
  <c r="O18" i="48" s="1"/>
  <c r="H17" i="48"/>
  <c r="D17" i="48"/>
  <c r="H19" i="48"/>
  <c r="D18" i="48"/>
  <c r="F17" i="48"/>
  <c r="K17" i="48"/>
  <c r="F18" i="48"/>
  <c r="C19" i="48"/>
  <c r="O19" i="48" s="1"/>
  <c r="D19" i="48"/>
  <c r="E18" i="48"/>
  <c r="M17" i="48"/>
  <c r="C13" i="48"/>
  <c r="M19" i="48"/>
  <c r="F19" i="48"/>
  <c r="C309" i="64"/>
  <c r="C309" i="16" s="1"/>
  <c r="L24" i="48"/>
  <c r="J24" i="48"/>
  <c r="N24" i="48"/>
  <c r="M100" i="61"/>
  <c r="M101" i="61" s="1"/>
  <c r="M102" i="61" s="1"/>
  <c r="I100" i="61"/>
  <c r="I101" i="61" s="1"/>
  <c r="I102" i="61" s="1"/>
  <c r="E100" i="61"/>
  <c r="E101" i="61" s="1"/>
  <c r="L37" i="61"/>
  <c r="M93" i="61"/>
  <c r="M94" i="61" s="1"/>
  <c r="M95" i="61" s="1"/>
  <c r="I93" i="61"/>
  <c r="I94" i="61" s="1"/>
  <c r="I95" i="61" s="1"/>
  <c r="E93" i="61"/>
  <c r="E94" i="61" s="1"/>
  <c r="E95" i="61" s="1"/>
  <c r="B69" i="61"/>
  <c r="B70" i="61" s="1"/>
  <c r="J69" i="61"/>
  <c r="F69" i="61"/>
  <c r="F70" i="61" s="1"/>
  <c r="B76" i="61"/>
  <c r="B77" i="61" s="1"/>
  <c r="J76" i="61"/>
  <c r="J77" i="61" s="1"/>
  <c r="F76" i="61"/>
  <c r="F77" i="61" s="1"/>
  <c r="B93" i="61"/>
  <c r="B94" i="61" s="1"/>
  <c r="B95" i="61" s="1"/>
  <c r="E19" i="48"/>
  <c r="I17" i="48"/>
  <c r="I19" i="48"/>
  <c r="I18" i="48"/>
  <c r="L17" i="48"/>
  <c r="L19" i="48"/>
  <c r="N17" i="48"/>
  <c r="N19" i="48"/>
  <c r="H18" i="48"/>
  <c r="G18" i="48"/>
  <c r="K18" i="48"/>
  <c r="J13" i="48"/>
  <c r="L18" i="48"/>
  <c r="J17" i="48"/>
  <c r="J18" i="48"/>
  <c r="M18" i="48"/>
  <c r="N18" i="48"/>
  <c r="J19" i="48"/>
  <c r="C118" i="61"/>
  <c r="C119" i="61" s="1"/>
  <c r="J31" i="49"/>
  <c r="L31" i="49"/>
  <c r="G12" i="49"/>
  <c r="G13" i="49" s="1"/>
  <c r="E230" i="16"/>
  <c r="F275" i="16"/>
  <c r="B20" i="24"/>
  <c r="B34" i="24" s="1"/>
  <c r="B48" i="24" s="1"/>
  <c r="B62" i="24" s="1"/>
  <c r="B76" i="24" s="1"/>
  <c r="B91" i="24" s="1"/>
  <c r="B106" i="24" s="1"/>
  <c r="J20" i="24"/>
  <c r="J34" i="24" s="1"/>
  <c r="J48" i="24" s="1"/>
  <c r="J62" i="24" s="1"/>
  <c r="J76" i="24" s="1"/>
  <c r="J91" i="24" s="1"/>
  <c r="J106" i="24" s="1"/>
  <c r="M21" i="24"/>
  <c r="M35" i="24" s="1"/>
  <c r="M49" i="24" s="1"/>
  <c r="M63" i="24" s="1"/>
  <c r="M77" i="24" s="1"/>
  <c r="M92" i="24" s="1"/>
  <c r="M107" i="24" s="1"/>
  <c r="I21" i="24"/>
  <c r="I35" i="24" s="1"/>
  <c r="I49" i="24" s="1"/>
  <c r="I63" i="24" s="1"/>
  <c r="I77" i="24" s="1"/>
  <c r="I92" i="24" s="1"/>
  <c r="E21" i="24"/>
  <c r="E35" i="24" s="1"/>
  <c r="E49" i="24" s="1"/>
  <c r="E63" i="24" s="1"/>
  <c r="E77" i="24" s="1"/>
  <c r="E92" i="24" s="1"/>
  <c r="E107" i="24" s="1"/>
  <c r="B21" i="24"/>
  <c r="B35" i="24" s="1"/>
  <c r="B49" i="24" s="1"/>
  <c r="B63" i="24" s="1"/>
  <c r="B77" i="24" s="1"/>
  <c r="B92" i="24" s="1"/>
  <c r="J21" i="24"/>
  <c r="J35" i="24" s="1"/>
  <c r="J49" i="24" s="1"/>
  <c r="J63" i="24" s="1"/>
  <c r="J77" i="24" s="1"/>
  <c r="J92" i="24" s="1"/>
  <c r="J107" i="24" s="1"/>
  <c r="F21" i="24"/>
  <c r="F35" i="24" s="1"/>
  <c r="F49" i="24" s="1"/>
  <c r="F63" i="24" s="1"/>
  <c r="F77" i="24" s="1"/>
  <c r="F92" i="24" s="1"/>
  <c r="F107" i="24" s="1"/>
  <c r="L20" i="24"/>
  <c r="L34" i="24" s="1"/>
  <c r="L48" i="24" s="1"/>
  <c r="L62" i="24" s="1"/>
  <c r="L76" i="24" s="1"/>
  <c r="L91" i="24" s="1"/>
  <c r="L106" i="24" s="1"/>
  <c r="F20" i="24"/>
  <c r="F34" i="24" s="1"/>
  <c r="F48" i="24" s="1"/>
  <c r="F62" i="24" s="1"/>
  <c r="K21" i="24"/>
  <c r="K35" i="24" s="1"/>
  <c r="K49" i="24" s="1"/>
  <c r="G21" i="24"/>
  <c r="G35" i="24" s="1"/>
  <c r="G49" i="24" s="1"/>
  <c r="G63" i="24" s="1"/>
  <c r="G77" i="24" s="1"/>
  <c r="G92" i="24" s="1"/>
  <c r="G107" i="24" s="1"/>
  <c r="C21" i="24"/>
  <c r="C35" i="24" s="1"/>
  <c r="C49" i="24" s="1"/>
  <c r="C63" i="24" s="1"/>
  <c r="C77" i="24" s="1"/>
  <c r="C92" i="24" s="1"/>
  <c r="C107" i="24" s="1"/>
  <c r="M20" i="24"/>
  <c r="M34" i="24" s="1"/>
  <c r="M48" i="24" s="1"/>
  <c r="M62" i="24" s="1"/>
  <c r="M76" i="24" s="1"/>
  <c r="M91" i="24" s="1"/>
  <c r="M106" i="24" s="1"/>
  <c r="H20" i="24"/>
  <c r="H34" i="24" s="1"/>
  <c r="H48" i="24" s="1"/>
  <c r="L21" i="24"/>
  <c r="L35" i="24" s="1"/>
  <c r="L49" i="24" s="1"/>
  <c r="L63" i="24" s="1"/>
  <c r="L77" i="24" s="1"/>
  <c r="L92" i="24" s="1"/>
  <c r="L107" i="24" s="1"/>
  <c r="H21" i="24"/>
  <c r="H35" i="24" s="1"/>
  <c r="H49" i="24" s="1"/>
  <c r="H63" i="24" s="1"/>
  <c r="H77" i="24" s="1"/>
  <c r="H92" i="24" s="1"/>
  <c r="G20" i="24"/>
  <c r="G34" i="24" s="1"/>
  <c r="G48" i="24" s="1"/>
  <c r="G62" i="24" s="1"/>
  <c r="G76" i="24" s="1"/>
  <c r="G91" i="24" s="1"/>
  <c r="G106" i="24" s="1"/>
  <c r="C20" i="24"/>
  <c r="C34" i="24" s="1"/>
  <c r="C48" i="24" s="1"/>
  <c r="C62" i="24" s="1"/>
  <c r="C76" i="24" s="1"/>
  <c r="C91" i="24" s="1"/>
  <c r="C106" i="24" s="1"/>
  <c r="D20" i="24"/>
  <c r="D34" i="24" s="1"/>
  <c r="D48" i="24" s="1"/>
  <c r="D62" i="24" s="1"/>
  <c r="D76" i="24" s="1"/>
  <c r="D91" i="24" s="1"/>
  <c r="D106" i="24" s="1"/>
  <c r="I20" i="24"/>
  <c r="I34" i="24" s="1"/>
  <c r="I48" i="24" s="1"/>
  <c r="I62" i="24" s="1"/>
  <c r="I76" i="24" s="1"/>
  <c r="I91" i="24" s="1"/>
  <c r="I106" i="24" s="1"/>
  <c r="F58" i="16"/>
  <c r="G58" i="16" s="1"/>
  <c r="H25" i="48"/>
  <c r="L25" i="48"/>
  <c r="G25" i="48"/>
  <c r="I25" i="48"/>
  <c r="E25" i="48"/>
  <c r="M25" i="48"/>
  <c r="N25" i="48"/>
  <c r="F25" i="48"/>
  <c r="D25" i="48"/>
  <c r="J25" i="48"/>
  <c r="K25" i="48"/>
  <c r="C25" i="48"/>
  <c r="O25" i="48" s="1"/>
  <c r="E34" i="49"/>
  <c r="E14" i="61"/>
  <c r="G18" i="18"/>
  <c r="C18" i="18"/>
  <c r="D15" i="49"/>
  <c r="M15" i="49"/>
  <c r="I15" i="49"/>
  <c r="K42" i="18"/>
  <c r="G42" i="18"/>
  <c r="M34" i="49"/>
  <c r="M14" i="61"/>
  <c r="I14" i="61"/>
  <c r="D14" i="61"/>
  <c r="E39" i="61"/>
  <c r="K39" i="61"/>
  <c r="M39" i="61"/>
  <c r="I37" i="48"/>
  <c r="O37" i="48" s="1"/>
  <c r="I36" i="48"/>
  <c r="O36" i="48" s="1"/>
  <c r="J36" i="48"/>
  <c r="K36" i="48"/>
  <c r="J37" i="48"/>
  <c r="K37" i="48"/>
  <c r="L36" i="48"/>
  <c r="M36" i="48"/>
  <c r="L37" i="48"/>
  <c r="M37" i="48"/>
  <c r="N37" i="48"/>
  <c r="N36" i="48"/>
  <c r="E75" i="48"/>
  <c r="E74" i="48"/>
  <c r="E171" i="48"/>
  <c r="E274" i="48"/>
  <c r="E222" i="48"/>
  <c r="E120" i="48"/>
  <c r="F275" i="48"/>
  <c r="F172" i="48"/>
  <c r="F223" i="48"/>
  <c r="F75" i="48"/>
  <c r="F121" i="48"/>
  <c r="F274" i="48"/>
  <c r="F74" i="48"/>
  <c r="F171" i="48"/>
  <c r="F222" i="48"/>
  <c r="G275" i="48"/>
  <c r="G121" i="48"/>
  <c r="G172" i="48"/>
  <c r="G223" i="48"/>
  <c r="G171" i="48"/>
  <c r="G120" i="48"/>
  <c r="G274" i="48"/>
  <c r="G222" i="48"/>
  <c r="G74" i="48"/>
  <c r="H171" i="48"/>
  <c r="H120" i="48"/>
  <c r="H274" i="48"/>
  <c r="H74" i="48"/>
  <c r="H222" i="48"/>
  <c r="J275" i="48"/>
  <c r="I30" i="48"/>
  <c r="I275" i="48"/>
  <c r="I75" i="48"/>
  <c r="I121" i="48"/>
  <c r="I172" i="48"/>
  <c r="I74" i="48"/>
  <c r="I222" i="48"/>
  <c r="I274" i="48"/>
  <c r="I120" i="48"/>
  <c r="J29" i="48"/>
  <c r="I29" i="48"/>
  <c r="I171" i="48"/>
  <c r="M87" i="61"/>
  <c r="M88" i="61" s="1"/>
  <c r="I87" i="61"/>
  <c r="I88" i="61" s="1"/>
  <c r="I90" i="61" s="1"/>
  <c r="J185" i="48" s="1"/>
  <c r="I24" i="48"/>
  <c r="E65" i="49"/>
  <c r="H82" i="49"/>
  <c r="G50" i="61"/>
  <c r="G51" i="61" s="1"/>
  <c r="G52" i="61" s="1"/>
  <c r="G43" i="61"/>
  <c r="G37" i="61"/>
  <c r="G38" i="61" s="1"/>
  <c r="U36" i="61" s="1"/>
  <c r="K69" i="61"/>
  <c r="K70" i="61" s="1"/>
  <c r="H69" i="61"/>
  <c r="H70" i="61" s="1"/>
  <c r="C76" i="61"/>
  <c r="C77" i="61" s="1"/>
  <c r="F93" i="61"/>
  <c r="F94" i="61" s="1"/>
  <c r="F95" i="61" s="1"/>
  <c r="H39" i="18"/>
  <c r="G125" i="61"/>
  <c r="G126" i="61" s="1"/>
  <c r="G127" i="61" s="1"/>
  <c r="K31" i="49"/>
  <c r="H48" i="49"/>
  <c r="F12" i="49"/>
  <c r="F13" i="49" s="1"/>
  <c r="C31" i="49"/>
  <c r="M37" i="61"/>
  <c r="M38" i="61" s="1"/>
  <c r="AA36" i="61" s="1"/>
  <c r="C50" i="61"/>
  <c r="C51" i="61" s="1"/>
  <c r="C52" i="61" s="1"/>
  <c r="C37" i="61"/>
  <c r="C38" i="61" s="1"/>
  <c r="Q36" i="61" s="1"/>
  <c r="M87" i="18"/>
  <c r="I87" i="18"/>
  <c r="K50" i="61"/>
  <c r="K51" i="61" s="1"/>
  <c r="K52" i="61" s="1"/>
  <c r="K43" i="61"/>
  <c r="K44" i="61" s="1"/>
  <c r="K45" i="61" s="1"/>
  <c r="K37" i="61"/>
  <c r="K38" i="61" s="1"/>
  <c r="Y36" i="61" s="1"/>
  <c r="G44" i="61"/>
  <c r="G45" i="61" s="1"/>
  <c r="L12" i="49"/>
  <c r="L21" i="49" s="1"/>
  <c r="F48" i="49"/>
  <c r="M48" i="49"/>
  <c r="G48" i="49"/>
  <c r="D12" i="49"/>
  <c r="D13" i="49" s="1"/>
  <c r="D14" i="49" s="1"/>
  <c r="C87" i="18"/>
  <c r="H90" i="18"/>
  <c r="G39" i="61"/>
  <c r="C14" i="61"/>
  <c r="J66" i="18"/>
  <c r="B90" i="18"/>
  <c r="F90" i="18"/>
  <c r="L66" i="18"/>
  <c r="D66" i="18"/>
  <c r="B66" i="18"/>
  <c r="F66" i="18"/>
  <c r="J90" i="18"/>
  <c r="H66" i="18"/>
  <c r="K65" i="14"/>
  <c r="G65" i="14"/>
  <c r="C65" i="14"/>
  <c r="K90" i="14"/>
  <c r="G90" i="14"/>
  <c r="C90" i="14"/>
  <c r="K51" i="70"/>
  <c r="G51" i="70"/>
  <c r="C51" i="70"/>
  <c r="K68" i="70"/>
  <c r="G68" i="70"/>
  <c r="C68" i="70"/>
  <c r="K51" i="49"/>
  <c r="G51" i="49"/>
  <c r="C51" i="49"/>
  <c r="K68" i="49"/>
  <c r="G68" i="49"/>
  <c r="C68" i="49"/>
  <c r="M66" i="18"/>
  <c r="I66" i="18"/>
  <c r="E66" i="18"/>
  <c r="M90" i="18"/>
  <c r="I90" i="18"/>
  <c r="E90" i="18"/>
  <c r="L65" i="14"/>
  <c r="H65" i="14"/>
  <c r="D65" i="14"/>
  <c r="L90" i="14"/>
  <c r="H90" i="14"/>
  <c r="D90" i="14"/>
  <c r="L51" i="70"/>
  <c r="H51" i="70"/>
  <c r="D51" i="70"/>
  <c r="L68" i="70"/>
  <c r="H68" i="70"/>
  <c r="D68" i="70"/>
  <c r="M65" i="14"/>
  <c r="I65" i="14"/>
  <c r="E65" i="14"/>
  <c r="M90" i="14"/>
  <c r="I90" i="14"/>
  <c r="E90" i="14"/>
  <c r="M51" i="70"/>
  <c r="I51" i="70"/>
  <c r="E51" i="70"/>
  <c r="M68" i="70"/>
  <c r="I68" i="70"/>
  <c r="E68" i="70"/>
  <c r="B65" i="14"/>
  <c r="J65" i="14"/>
  <c r="F65" i="14"/>
  <c r="B90" i="14"/>
  <c r="J90" i="14"/>
  <c r="F90" i="14"/>
  <c r="B51" i="70"/>
  <c r="J51" i="70"/>
  <c r="F51" i="70"/>
  <c r="B68" i="70"/>
  <c r="J68" i="70"/>
  <c r="F68" i="70"/>
  <c r="L39" i="61"/>
  <c r="L34" i="49"/>
  <c r="L34" i="70"/>
  <c r="L40" i="14"/>
  <c r="L42" i="18"/>
  <c r="K14" i="61"/>
  <c r="L18" i="18"/>
  <c r="H18" i="18"/>
  <c r="D18" i="18"/>
  <c r="D42" i="18"/>
  <c r="K15" i="14"/>
  <c r="G15" i="14"/>
  <c r="C15" i="14"/>
  <c r="K40" i="14"/>
  <c r="G40" i="14"/>
  <c r="C40" i="14"/>
  <c r="K17" i="70"/>
  <c r="G17" i="70"/>
  <c r="C17" i="70"/>
  <c r="K34" i="70"/>
  <c r="G34" i="70"/>
  <c r="C34" i="70"/>
  <c r="K15" i="49"/>
  <c r="G15" i="49"/>
  <c r="C15" i="49"/>
  <c r="K34" i="49"/>
  <c r="G34" i="49"/>
  <c r="C34" i="49"/>
  <c r="M18" i="18"/>
  <c r="I18" i="18"/>
  <c r="E18" i="18"/>
  <c r="M42" i="18"/>
  <c r="I42" i="18"/>
  <c r="E42" i="18"/>
  <c r="L15" i="14"/>
  <c r="H15" i="14"/>
  <c r="D15" i="14"/>
  <c r="D40" i="14"/>
  <c r="L17" i="70"/>
  <c r="H17" i="70"/>
  <c r="D17" i="70"/>
  <c r="D34" i="70"/>
  <c r="L15" i="49"/>
  <c r="B18" i="18"/>
  <c r="J18" i="18"/>
  <c r="F18" i="18"/>
  <c r="M15" i="14"/>
  <c r="I15" i="14"/>
  <c r="E15" i="14"/>
  <c r="M40" i="14"/>
  <c r="I40" i="14"/>
  <c r="E40" i="14"/>
  <c r="M17" i="70"/>
  <c r="I17" i="70"/>
  <c r="E17" i="70"/>
  <c r="M34" i="70"/>
  <c r="I34" i="70"/>
  <c r="E34" i="70"/>
  <c r="G14" i="61"/>
  <c r="B15" i="14"/>
  <c r="J15" i="14"/>
  <c r="F15" i="14"/>
  <c r="B17" i="70"/>
  <c r="J17" i="70"/>
  <c r="F17" i="70"/>
  <c r="C42" i="18"/>
  <c r="C39" i="61"/>
  <c r="I34" i="49"/>
  <c r="I39" i="61"/>
  <c r="D34" i="49"/>
  <c r="D39" i="61"/>
  <c r="H34" i="49"/>
  <c r="H34" i="70"/>
  <c r="H40" i="14"/>
  <c r="H39" i="61"/>
  <c r="H42" i="18"/>
  <c r="J34" i="49"/>
  <c r="J34" i="70"/>
  <c r="J40" i="14"/>
  <c r="J42" i="18"/>
  <c r="J39" i="61"/>
  <c r="F34" i="49"/>
  <c r="F34" i="70"/>
  <c r="F40" i="14"/>
  <c r="F42" i="18"/>
  <c r="F39" i="61"/>
  <c r="B34" i="49"/>
  <c r="B34" i="70"/>
  <c r="B40" i="14"/>
  <c r="B42" i="18"/>
  <c r="B39" i="61"/>
  <c r="C108" i="24" l="1"/>
  <c r="D345" i="48" s="1"/>
  <c r="B275" i="16"/>
  <c r="I145" i="16"/>
  <c r="G108" i="24"/>
  <c r="H345" i="48" s="1"/>
  <c r="I31" i="24"/>
  <c r="I30" i="24" s="1"/>
  <c r="I33" i="24" s="1"/>
  <c r="I32" i="24" s="1"/>
  <c r="I18" i="94"/>
  <c r="I62" i="18"/>
  <c r="I65" i="18" s="1"/>
  <c r="I75" i="18" s="1"/>
  <c r="I77" i="18" s="1"/>
  <c r="J139" i="48" s="1"/>
  <c r="I18" i="89"/>
  <c r="E86" i="18"/>
  <c r="E89" i="18" s="1"/>
  <c r="E88" i="18" s="1"/>
  <c r="E18" i="90"/>
  <c r="K73" i="24"/>
  <c r="K72" i="24" s="1"/>
  <c r="K75" i="24" s="1"/>
  <c r="K74" i="24" s="1"/>
  <c r="K18" i="91"/>
  <c r="K33" i="70"/>
  <c r="K32" i="70" s="1"/>
  <c r="K35" i="70"/>
  <c r="L98" i="48" s="1"/>
  <c r="K14" i="89"/>
  <c r="K52" i="70"/>
  <c r="L144" i="48" s="1"/>
  <c r="K50" i="70"/>
  <c r="K49" i="70" s="1"/>
  <c r="K69" i="70"/>
  <c r="L195" i="48" s="1"/>
  <c r="K67" i="70"/>
  <c r="K66" i="70" s="1"/>
  <c r="H31" i="24"/>
  <c r="H30" i="24" s="1"/>
  <c r="H33" i="24" s="1"/>
  <c r="H32" i="24" s="1"/>
  <c r="H18" i="94"/>
  <c r="D16" i="49"/>
  <c r="E56" i="48" s="1"/>
  <c r="H13" i="89"/>
  <c r="H52" i="49"/>
  <c r="I142" i="48" s="1"/>
  <c r="H50" i="49"/>
  <c r="H49" i="49" s="1"/>
  <c r="E69" i="49"/>
  <c r="F193" i="48" s="1"/>
  <c r="E67" i="49"/>
  <c r="E66" i="49" s="1"/>
  <c r="G13" i="90"/>
  <c r="G69" i="49"/>
  <c r="H193" i="48" s="1"/>
  <c r="G67" i="49"/>
  <c r="G66" i="49" s="1"/>
  <c r="C28" i="94"/>
  <c r="C173" i="4"/>
  <c r="C207" i="4" s="1"/>
  <c r="G31" i="24"/>
  <c r="G30" i="24" s="1"/>
  <c r="G33" i="24" s="1"/>
  <c r="G32" i="24" s="1"/>
  <c r="G18" i="94"/>
  <c r="L31" i="24"/>
  <c r="L30" i="24" s="1"/>
  <c r="L33" i="24" s="1"/>
  <c r="L36" i="24" s="1"/>
  <c r="M94" i="48" s="1"/>
  <c r="L18" i="94"/>
  <c r="D45" i="24"/>
  <c r="D18" i="89"/>
  <c r="H62" i="18"/>
  <c r="H65" i="18" s="1"/>
  <c r="H70" i="18" s="1"/>
  <c r="H18" i="89"/>
  <c r="M62" i="18"/>
  <c r="M65" i="18" s="1"/>
  <c r="M70" i="18" s="1"/>
  <c r="M18" i="89"/>
  <c r="L59" i="24"/>
  <c r="L18" i="90"/>
  <c r="F73" i="24"/>
  <c r="F18" i="91"/>
  <c r="J110" i="18"/>
  <c r="J113" i="18" s="1"/>
  <c r="J123" i="18" s="1"/>
  <c r="J18" i="91"/>
  <c r="C304" i="64"/>
  <c r="C304" i="16" s="1"/>
  <c r="C30" i="91"/>
  <c r="L33" i="70"/>
  <c r="L32" i="70" s="1"/>
  <c r="L35" i="70"/>
  <c r="M98" i="48" s="1"/>
  <c r="H33" i="70"/>
  <c r="H32" i="70" s="1"/>
  <c r="H35" i="70"/>
  <c r="I98" i="48" s="1"/>
  <c r="D35" i="70"/>
  <c r="E98" i="48" s="1"/>
  <c r="D33" i="70"/>
  <c r="D32" i="70" s="1"/>
  <c r="L14" i="89"/>
  <c r="L52" i="70"/>
  <c r="L50" i="70"/>
  <c r="L49" i="70" s="1"/>
  <c r="H14" i="89"/>
  <c r="H52" i="70"/>
  <c r="I144" i="48" s="1"/>
  <c r="H50" i="70"/>
  <c r="H49" i="70" s="1"/>
  <c r="D14" i="89"/>
  <c r="D52" i="70"/>
  <c r="D50" i="70"/>
  <c r="D49" i="70" s="1"/>
  <c r="L69" i="70"/>
  <c r="M195" i="48" s="1"/>
  <c r="L67" i="70"/>
  <c r="L66" i="70" s="1"/>
  <c r="H67" i="70"/>
  <c r="H66" i="70" s="1"/>
  <c r="H69" i="70"/>
  <c r="I195" i="48" s="1"/>
  <c r="D67" i="70"/>
  <c r="D66" i="70" s="1"/>
  <c r="D69" i="70"/>
  <c r="I69" i="49"/>
  <c r="J193" i="48" s="1"/>
  <c r="I67" i="49"/>
  <c r="I66" i="49" s="1"/>
  <c r="M31" i="24"/>
  <c r="M30" i="24" s="1"/>
  <c r="M33" i="24" s="1"/>
  <c r="M32" i="24" s="1"/>
  <c r="M18" i="94"/>
  <c r="G110" i="18"/>
  <c r="G113" i="18" s="1"/>
  <c r="G115" i="18" s="1"/>
  <c r="H240" i="48" s="1"/>
  <c r="G18" i="91"/>
  <c r="C35" i="70"/>
  <c r="C33" i="70"/>
  <c r="C32" i="70" s="1"/>
  <c r="G14" i="89"/>
  <c r="G52" i="70"/>
  <c r="H144" i="48" s="1"/>
  <c r="G50" i="70"/>
  <c r="G49" i="70" s="1"/>
  <c r="G69" i="70"/>
  <c r="H195" i="48" s="1"/>
  <c r="G67" i="70"/>
  <c r="G66" i="70" s="1"/>
  <c r="M13" i="89"/>
  <c r="M52" i="49"/>
  <c r="N142" i="48" s="1"/>
  <c r="M50" i="49"/>
  <c r="M49" i="49" s="1"/>
  <c r="M59" i="24"/>
  <c r="M58" i="24" s="1"/>
  <c r="M61" i="24" s="1"/>
  <c r="M60" i="24" s="1"/>
  <c r="M18" i="90"/>
  <c r="C35" i="49"/>
  <c r="C33" i="49"/>
  <c r="C32" i="49" s="1"/>
  <c r="M108" i="24"/>
  <c r="N345" i="48" s="1"/>
  <c r="L33" i="49"/>
  <c r="L32" i="49" s="1"/>
  <c r="L35" i="49"/>
  <c r="M96" i="48" s="1"/>
  <c r="C25" i="85"/>
  <c r="B26" i="85"/>
  <c r="K13" i="90"/>
  <c r="K69" i="49"/>
  <c r="L193" i="48" s="1"/>
  <c r="K67" i="49"/>
  <c r="K66" i="49" s="1"/>
  <c r="C29" i="90"/>
  <c r="C29" i="89"/>
  <c r="E31" i="24"/>
  <c r="E30" i="24" s="1"/>
  <c r="E33" i="24" s="1"/>
  <c r="E32" i="24" s="1"/>
  <c r="E18" i="94"/>
  <c r="J31" i="24"/>
  <c r="J30" i="24" s="1"/>
  <c r="J33" i="24" s="1"/>
  <c r="J36" i="24" s="1"/>
  <c r="K94" i="48" s="1"/>
  <c r="J18" i="94"/>
  <c r="B62" i="18"/>
  <c r="B65" i="18" s="1"/>
  <c r="B64" i="18" s="1"/>
  <c r="B18" i="89"/>
  <c r="F45" i="24"/>
  <c r="F44" i="24" s="1"/>
  <c r="F47" i="24" s="1"/>
  <c r="F46" i="24" s="1"/>
  <c r="F18" i="89"/>
  <c r="J45" i="24"/>
  <c r="J44" i="24" s="1"/>
  <c r="J47" i="24" s="1"/>
  <c r="J46" i="24" s="1"/>
  <c r="J18" i="89"/>
  <c r="K59" i="24"/>
  <c r="K18" i="90"/>
  <c r="D73" i="24"/>
  <c r="D72" i="24" s="1"/>
  <c r="D75" i="24" s="1"/>
  <c r="D74" i="24" s="1"/>
  <c r="D18" i="91"/>
  <c r="H110" i="18"/>
  <c r="H113" i="18" s="1"/>
  <c r="H118" i="18" s="1"/>
  <c r="H18" i="91"/>
  <c r="M73" i="24"/>
  <c r="M72" i="24" s="1"/>
  <c r="M75" i="24" s="1"/>
  <c r="M74" i="24" s="1"/>
  <c r="M18" i="91"/>
  <c r="H188" i="64"/>
  <c r="H184" i="16" s="1"/>
  <c r="H31" i="90"/>
  <c r="H31" i="89"/>
  <c r="J84" i="49"/>
  <c r="J83" i="49" s="1"/>
  <c r="J86" i="49"/>
  <c r="K245" i="48" s="1"/>
  <c r="B35" i="70"/>
  <c r="C98" i="48" s="1"/>
  <c r="B33" i="70"/>
  <c r="B32" i="70" s="1"/>
  <c r="J35" i="70"/>
  <c r="K98" i="48" s="1"/>
  <c r="J33" i="70"/>
  <c r="J32" i="70" s="1"/>
  <c r="F35" i="70"/>
  <c r="G98" i="48" s="1"/>
  <c r="F33" i="70"/>
  <c r="F32" i="70" s="1"/>
  <c r="B14" i="89"/>
  <c r="B50" i="70"/>
  <c r="B49" i="70" s="1"/>
  <c r="B52" i="70"/>
  <c r="J14" i="89"/>
  <c r="J50" i="70"/>
  <c r="J49" i="70" s="1"/>
  <c r="J52" i="70"/>
  <c r="K144" i="48" s="1"/>
  <c r="F14" i="89"/>
  <c r="F50" i="70"/>
  <c r="F49" i="70" s="1"/>
  <c r="F52" i="70"/>
  <c r="G144" i="48" s="1"/>
  <c r="B67" i="70"/>
  <c r="B66" i="70" s="1"/>
  <c r="B69" i="70"/>
  <c r="J69" i="70"/>
  <c r="K195" i="48" s="1"/>
  <c r="J67" i="70"/>
  <c r="J66" i="70" s="1"/>
  <c r="F69" i="70"/>
  <c r="F67" i="70"/>
  <c r="F66" i="70" s="1"/>
  <c r="B84" i="70"/>
  <c r="B83" i="70" s="1"/>
  <c r="B86" i="70"/>
  <c r="C247" i="48" s="1"/>
  <c r="G13" i="89"/>
  <c r="G52" i="49"/>
  <c r="H142" i="48" s="1"/>
  <c r="G50" i="49"/>
  <c r="G49" i="49" s="1"/>
  <c r="I86" i="18"/>
  <c r="I89" i="18" s="1"/>
  <c r="I94" i="18" s="1"/>
  <c r="I18" i="90"/>
  <c r="K35" i="49"/>
  <c r="L96" i="48" s="1"/>
  <c r="K33" i="49"/>
  <c r="K32" i="49" s="1"/>
  <c r="E62" i="18"/>
  <c r="E65" i="18" s="1"/>
  <c r="E75" i="18" s="1"/>
  <c r="E77" i="18" s="1"/>
  <c r="F139" i="48" s="1"/>
  <c r="E18" i="89"/>
  <c r="G59" i="24"/>
  <c r="G18" i="90"/>
  <c r="B86" i="18"/>
  <c r="B89" i="18" s="1"/>
  <c r="B99" i="18" s="1"/>
  <c r="B101" i="18" s="1"/>
  <c r="C190" i="48" s="1"/>
  <c r="B18" i="90"/>
  <c r="C73" i="24"/>
  <c r="C72" i="24" s="1"/>
  <c r="C75" i="24" s="1"/>
  <c r="C78" i="24" s="1"/>
  <c r="C18" i="91"/>
  <c r="C188" i="64"/>
  <c r="C184" i="16" s="1"/>
  <c r="C31" i="90"/>
  <c r="C31" i="89"/>
  <c r="D13" i="91"/>
  <c r="D86" i="49"/>
  <c r="E245" i="48" s="1"/>
  <c r="D84" i="49"/>
  <c r="D83" i="49" s="1"/>
  <c r="G35" i="70"/>
  <c r="G33" i="70"/>
  <c r="G32" i="70" s="1"/>
  <c r="C14" i="89"/>
  <c r="C52" i="70"/>
  <c r="D144" i="48" s="1"/>
  <c r="C50" i="70"/>
  <c r="C49" i="70" s="1"/>
  <c r="C69" i="70"/>
  <c r="D195" i="48" s="1"/>
  <c r="C67" i="70"/>
  <c r="C66" i="70" s="1"/>
  <c r="C86" i="18"/>
  <c r="C89" i="18" s="1"/>
  <c r="C99" i="18" s="1"/>
  <c r="C18" i="90"/>
  <c r="F13" i="89"/>
  <c r="F52" i="49"/>
  <c r="G142" i="48" s="1"/>
  <c r="F50" i="49"/>
  <c r="F49" i="49" s="1"/>
  <c r="H13" i="91"/>
  <c r="H86" i="49"/>
  <c r="H84" i="49"/>
  <c r="H83" i="49" s="1"/>
  <c r="J35" i="49"/>
  <c r="J33" i="49"/>
  <c r="J32" i="49" s="1"/>
  <c r="D297" i="4"/>
  <c r="D29" i="91" s="1"/>
  <c r="C29" i="91"/>
  <c r="B172" i="14"/>
  <c r="B147" i="14"/>
  <c r="B33" i="90"/>
  <c r="B267" i="4"/>
  <c r="B88" i="14"/>
  <c r="B89" i="14" s="1"/>
  <c r="B91" i="14" s="1"/>
  <c r="C182" i="48" s="1"/>
  <c r="B17" i="90"/>
  <c r="C13" i="90"/>
  <c r="C69" i="49"/>
  <c r="D193" i="48" s="1"/>
  <c r="C67" i="49"/>
  <c r="C66" i="49" s="1"/>
  <c r="M69" i="49"/>
  <c r="N193" i="48" s="1"/>
  <c r="M67" i="49"/>
  <c r="M66" i="49" s="1"/>
  <c r="F31" i="24"/>
  <c r="F30" i="24" s="1"/>
  <c r="F33" i="24" s="1"/>
  <c r="F32" i="24" s="1"/>
  <c r="F18" i="94"/>
  <c r="C45" i="24"/>
  <c r="C44" i="24" s="1"/>
  <c r="C47" i="24" s="1"/>
  <c r="C50" i="24" s="1"/>
  <c r="D140" i="48" s="1"/>
  <c r="C18" i="89"/>
  <c r="G62" i="18"/>
  <c r="G65" i="18" s="1"/>
  <c r="G64" i="18" s="1"/>
  <c r="G18" i="89"/>
  <c r="L62" i="18"/>
  <c r="L65" i="18" s="1"/>
  <c r="L64" i="18" s="1"/>
  <c r="L18" i="89"/>
  <c r="H86" i="18"/>
  <c r="H89" i="18" s="1"/>
  <c r="H99" i="18" s="1"/>
  <c r="H101" i="18" s="1"/>
  <c r="I190" i="48" s="1"/>
  <c r="H18" i="90"/>
  <c r="F59" i="24"/>
  <c r="F58" i="24" s="1"/>
  <c r="F61" i="24" s="1"/>
  <c r="F60" i="24" s="1"/>
  <c r="F18" i="90"/>
  <c r="E73" i="24"/>
  <c r="E72" i="24" s="1"/>
  <c r="E75" i="24" s="1"/>
  <c r="E74" i="24" s="1"/>
  <c r="E18" i="91"/>
  <c r="I73" i="24"/>
  <c r="I72" i="24" s="1"/>
  <c r="I75" i="24" s="1"/>
  <c r="I78" i="24" s="1"/>
  <c r="I18" i="91"/>
  <c r="E35" i="49"/>
  <c r="F96" i="48" s="1"/>
  <c r="E33" i="49"/>
  <c r="E32" i="49" s="1"/>
  <c r="M84" i="49"/>
  <c r="M83" i="49" s="1"/>
  <c r="M86" i="49"/>
  <c r="N245" i="48" s="1"/>
  <c r="M33" i="70"/>
  <c r="M32" i="70" s="1"/>
  <c r="M35" i="70"/>
  <c r="N98" i="48" s="1"/>
  <c r="I33" i="70"/>
  <c r="I32" i="70" s="1"/>
  <c r="I35" i="70"/>
  <c r="J98" i="48" s="1"/>
  <c r="E33" i="70"/>
  <c r="E32" i="70" s="1"/>
  <c r="E35" i="70"/>
  <c r="M14" i="89"/>
  <c r="M52" i="70"/>
  <c r="M50" i="70"/>
  <c r="M49" i="70" s="1"/>
  <c r="I14" i="89"/>
  <c r="I52" i="70"/>
  <c r="J144" i="48" s="1"/>
  <c r="I50" i="70"/>
  <c r="I49" i="70" s="1"/>
  <c r="E14" i="89"/>
  <c r="E50" i="70"/>
  <c r="E49" i="70" s="1"/>
  <c r="E52" i="70"/>
  <c r="F144" i="48" s="1"/>
  <c r="M67" i="70"/>
  <c r="M66" i="70" s="1"/>
  <c r="M69" i="70"/>
  <c r="N195" i="48" s="1"/>
  <c r="I67" i="70"/>
  <c r="I66" i="70" s="1"/>
  <c r="I69" i="70"/>
  <c r="J195" i="48" s="1"/>
  <c r="E14" i="90"/>
  <c r="E69" i="70"/>
  <c r="F195" i="48" s="1"/>
  <c r="E67" i="70"/>
  <c r="E66" i="70" s="1"/>
  <c r="M89" i="70"/>
  <c r="M86" i="70"/>
  <c r="N247" i="48" s="1"/>
  <c r="M84" i="70"/>
  <c r="M83" i="70" s="1"/>
  <c r="M14" i="91"/>
  <c r="L84" i="70"/>
  <c r="L83" i="70" s="1"/>
  <c r="L86" i="70"/>
  <c r="M247" i="48" s="1"/>
  <c r="L14" i="91"/>
  <c r="K86" i="70"/>
  <c r="L247" i="48" s="1"/>
  <c r="K84" i="70"/>
  <c r="K83" i="70" s="1"/>
  <c r="K14" i="91"/>
  <c r="J84" i="70"/>
  <c r="J83" i="70" s="1"/>
  <c r="J86" i="70"/>
  <c r="K247" i="48" s="1"/>
  <c r="J14" i="91"/>
  <c r="J89" i="70"/>
  <c r="I89" i="70"/>
  <c r="I86" i="70"/>
  <c r="J247" i="48" s="1"/>
  <c r="I84" i="70"/>
  <c r="I83" i="70" s="1"/>
  <c r="I14" i="91"/>
  <c r="H84" i="70"/>
  <c r="H83" i="70" s="1"/>
  <c r="H86" i="70"/>
  <c r="I247" i="48" s="1"/>
  <c r="H14" i="91"/>
  <c r="G86" i="70"/>
  <c r="H247" i="48" s="1"/>
  <c r="G84" i="70"/>
  <c r="G83" i="70" s="1"/>
  <c r="G14" i="91"/>
  <c r="F89" i="70"/>
  <c r="F84" i="70"/>
  <c r="F83" i="70" s="1"/>
  <c r="F86" i="70"/>
  <c r="G247" i="48" s="1"/>
  <c r="F14" i="91"/>
  <c r="E86" i="70"/>
  <c r="F247" i="48" s="1"/>
  <c r="E84" i="70"/>
  <c r="E83" i="70" s="1"/>
  <c r="E14" i="91"/>
  <c r="D89" i="70"/>
  <c r="D84" i="70"/>
  <c r="D83" i="70" s="1"/>
  <c r="D86" i="70"/>
  <c r="E247" i="48" s="1"/>
  <c r="D14" i="91"/>
  <c r="C86" i="70"/>
  <c r="D247" i="48" s="1"/>
  <c r="C84" i="70"/>
  <c r="C83" i="70" s="1"/>
  <c r="C14" i="91"/>
  <c r="E72" i="49"/>
  <c r="E13" i="90"/>
  <c r="L14" i="94"/>
  <c r="H72" i="70"/>
  <c r="H14" i="90"/>
  <c r="K13" i="94"/>
  <c r="J38" i="49"/>
  <c r="J13" i="94"/>
  <c r="I13" i="90"/>
  <c r="K14" i="94"/>
  <c r="G14" i="94"/>
  <c r="C38" i="70"/>
  <c r="C14" i="94"/>
  <c r="K72" i="70"/>
  <c r="K14" i="90"/>
  <c r="G72" i="70"/>
  <c r="G14" i="90"/>
  <c r="C14" i="90"/>
  <c r="L14" i="90"/>
  <c r="C38" i="49"/>
  <c r="C13" i="94"/>
  <c r="J89" i="49"/>
  <c r="J13" i="91"/>
  <c r="B14" i="94"/>
  <c r="J14" i="94"/>
  <c r="F38" i="70"/>
  <c r="F14" i="94"/>
  <c r="B14" i="90"/>
  <c r="J72" i="70"/>
  <c r="J14" i="90"/>
  <c r="F72" i="70"/>
  <c r="F14" i="90"/>
  <c r="B14" i="91"/>
  <c r="L38" i="49"/>
  <c r="L13" i="94"/>
  <c r="H38" i="70"/>
  <c r="H14" i="94"/>
  <c r="D38" i="70"/>
  <c r="D14" i="94"/>
  <c r="D14" i="90"/>
  <c r="M72" i="49"/>
  <c r="M13" i="90"/>
  <c r="E38" i="49"/>
  <c r="E13" i="94"/>
  <c r="M89" i="49"/>
  <c r="M13" i="91"/>
  <c r="M38" i="70"/>
  <c r="M14" i="94"/>
  <c r="I14" i="94"/>
  <c r="F98" i="48"/>
  <c r="E14" i="94"/>
  <c r="M72" i="70"/>
  <c r="M14" i="90"/>
  <c r="I14" i="90"/>
  <c r="K400" i="16"/>
  <c r="K401" i="16" s="1"/>
  <c r="G400" i="16"/>
  <c r="G401" i="16" s="1"/>
  <c r="C400" i="16"/>
  <c r="C401" i="16" s="1"/>
  <c r="F400" i="16"/>
  <c r="F401" i="16" s="1"/>
  <c r="L400" i="16"/>
  <c r="L401" i="16" s="1"/>
  <c r="H400" i="16"/>
  <c r="H401" i="16" s="1"/>
  <c r="D400" i="16"/>
  <c r="D401" i="16" s="1"/>
  <c r="J400" i="16"/>
  <c r="J401" i="16" s="1"/>
  <c r="B400" i="16"/>
  <c r="B401" i="16" s="1"/>
  <c r="M400" i="16"/>
  <c r="M401" i="16" s="1"/>
  <c r="I400" i="16"/>
  <c r="I401" i="16" s="1"/>
  <c r="E400" i="16"/>
  <c r="E401" i="16" s="1"/>
  <c r="L425" i="16"/>
  <c r="H425" i="16"/>
  <c r="D425" i="16"/>
  <c r="K405" i="16"/>
  <c r="K406" i="16" s="1"/>
  <c r="G405" i="16"/>
  <c r="G406" i="16" s="1"/>
  <c r="C405" i="16"/>
  <c r="F405" i="16"/>
  <c r="F406" i="16" s="1"/>
  <c r="M425" i="16"/>
  <c r="I425" i="16"/>
  <c r="E425" i="16"/>
  <c r="L405" i="16"/>
  <c r="L406" i="16" s="1"/>
  <c r="H405" i="16"/>
  <c r="H406" i="16" s="1"/>
  <c r="D405" i="16"/>
  <c r="D406" i="16" s="1"/>
  <c r="K425" i="16"/>
  <c r="G425" i="16"/>
  <c r="C425" i="16"/>
  <c r="J405" i="16"/>
  <c r="J406" i="16" s="1"/>
  <c r="B405" i="16"/>
  <c r="B425" i="16"/>
  <c r="E405" i="16"/>
  <c r="E406" i="16" s="1"/>
  <c r="J425" i="16"/>
  <c r="M405" i="16"/>
  <c r="M406" i="16" s="1"/>
  <c r="F425" i="16"/>
  <c r="I405" i="16"/>
  <c r="I406" i="16" s="1"/>
  <c r="M76" i="16"/>
  <c r="L385" i="16"/>
  <c r="H385" i="16"/>
  <c r="D385" i="16"/>
  <c r="K385" i="16"/>
  <c r="G385" i="16"/>
  <c r="M385" i="16"/>
  <c r="I385" i="16"/>
  <c r="E385" i="16"/>
  <c r="C385" i="16"/>
  <c r="B385" i="16"/>
  <c r="F385" i="16"/>
  <c r="J385" i="16"/>
  <c r="L390" i="16"/>
  <c r="L391" i="16" s="1"/>
  <c r="H390" i="16"/>
  <c r="H391" i="16" s="1"/>
  <c r="D390" i="16"/>
  <c r="D391" i="16" s="1"/>
  <c r="K390" i="16"/>
  <c r="K391" i="16" s="1"/>
  <c r="C390" i="16"/>
  <c r="C391" i="16" s="1"/>
  <c r="M390" i="16"/>
  <c r="M391" i="16" s="1"/>
  <c r="I390" i="16"/>
  <c r="I391" i="16" s="1"/>
  <c r="E390" i="16"/>
  <c r="E391" i="16" s="1"/>
  <c r="G390" i="16"/>
  <c r="G391" i="16" s="1"/>
  <c r="F390" i="16"/>
  <c r="F391" i="16" s="1"/>
  <c r="J390" i="16"/>
  <c r="J391" i="16" s="1"/>
  <c r="B390" i="16"/>
  <c r="B391" i="16" s="1"/>
  <c r="B76" i="14"/>
  <c r="B77" i="14" s="1"/>
  <c r="B78" i="14" s="1"/>
  <c r="B17" i="89"/>
  <c r="M144" i="48"/>
  <c r="E144" i="48"/>
  <c r="K55" i="70"/>
  <c r="G55" i="70"/>
  <c r="C144" i="48"/>
  <c r="J55" i="70"/>
  <c r="F55" i="70"/>
  <c r="M55" i="49"/>
  <c r="I55" i="70"/>
  <c r="E55" i="70"/>
  <c r="A36" i="63"/>
  <c r="A38" i="63" s="1"/>
  <c r="A40" i="63" s="1"/>
  <c r="A42" i="63" s="1"/>
  <c r="A44" i="63" s="1"/>
  <c r="A35" i="63"/>
  <c r="A37" i="63" s="1"/>
  <c r="A39" i="63" s="1"/>
  <c r="A41" i="63" s="1"/>
  <c r="A43" i="63" s="1"/>
  <c r="N24" i="63"/>
  <c r="L137" i="14" s="1"/>
  <c r="N25" i="63"/>
  <c r="L162" i="14" s="1"/>
  <c r="L17" i="93" s="1"/>
  <c r="L24" i="93" s="1"/>
  <c r="E20" i="48"/>
  <c r="D107" i="24"/>
  <c r="D108" i="24" s="1"/>
  <c r="E345" i="48" s="1"/>
  <c r="J20" i="48"/>
  <c r="I107" i="24"/>
  <c r="I108" i="24" s="1"/>
  <c r="J345" i="48" s="1"/>
  <c r="L108" i="24"/>
  <c r="M345" i="48" s="1"/>
  <c r="I20" i="48"/>
  <c r="H107" i="24"/>
  <c r="C20" i="48"/>
  <c r="B107" i="24"/>
  <c r="B108" i="24" s="1"/>
  <c r="J108" i="24"/>
  <c r="K345" i="48" s="1"/>
  <c r="Q18" i="71"/>
  <c r="D17" i="63"/>
  <c r="J17" i="63"/>
  <c r="J21" i="63" s="1"/>
  <c r="H62" i="14" s="1"/>
  <c r="H17" i="89" s="1"/>
  <c r="K96" i="48"/>
  <c r="J21" i="70"/>
  <c r="J22" i="70" s="1"/>
  <c r="F21" i="70"/>
  <c r="F22" i="70" s="1"/>
  <c r="F23" i="70" s="1"/>
  <c r="B72" i="70"/>
  <c r="L38" i="70"/>
  <c r="G15" i="70"/>
  <c r="G16" i="70" s="1"/>
  <c r="G18" i="70" s="1"/>
  <c r="H58" i="48" s="1"/>
  <c r="B21" i="70"/>
  <c r="B22" i="70" s="1"/>
  <c r="B23" i="70" s="1"/>
  <c r="M85" i="4"/>
  <c r="M86" i="4" s="1"/>
  <c r="M81" i="4"/>
  <c r="I85" i="4"/>
  <c r="I86" i="4" s="1"/>
  <c r="I81" i="4"/>
  <c r="E85" i="4"/>
  <c r="E86" i="4" s="1"/>
  <c r="E81" i="4"/>
  <c r="H85" i="4"/>
  <c r="H86" i="4" s="1"/>
  <c r="H81" i="4"/>
  <c r="K81" i="4"/>
  <c r="K85" i="4"/>
  <c r="K86" i="4" s="1"/>
  <c r="G81" i="4"/>
  <c r="G85" i="4"/>
  <c r="G86" i="4" s="1"/>
  <c r="C81" i="4"/>
  <c r="C85" i="4"/>
  <c r="C86" i="4" s="1"/>
  <c r="L76" i="4"/>
  <c r="L80" i="4"/>
  <c r="D85" i="4"/>
  <c r="D86" i="4" s="1"/>
  <c r="D81" i="4"/>
  <c r="I188" i="4"/>
  <c r="J188" i="4" s="1"/>
  <c r="B76" i="4"/>
  <c r="B80" i="4"/>
  <c r="J81" i="4"/>
  <c r="J85" i="4"/>
  <c r="J86" i="4" s="1"/>
  <c r="F80" i="4"/>
  <c r="L212" i="4"/>
  <c r="B272" i="4"/>
  <c r="C48" i="64"/>
  <c r="C48" i="16" s="1"/>
  <c r="C69" i="4"/>
  <c r="D257" i="4"/>
  <c r="E257" i="4" s="1"/>
  <c r="M159" i="16"/>
  <c r="D159" i="16"/>
  <c r="K159" i="16"/>
  <c r="G159" i="16"/>
  <c r="I159" i="16"/>
  <c r="E159" i="16"/>
  <c r="L159" i="16"/>
  <c r="H159" i="16"/>
  <c r="J159" i="16"/>
  <c r="F159" i="16"/>
  <c r="B159" i="16"/>
  <c r="B209" i="64"/>
  <c r="G125" i="48"/>
  <c r="C227" i="48"/>
  <c r="K125" i="48"/>
  <c r="C79" i="48"/>
  <c r="G227" i="48"/>
  <c r="K79" i="48"/>
  <c r="K176" i="48"/>
  <c r="N329" i="48"/>
  <c r="J329" i="48"/>
  <c r="F329" i="48"/>
  <c r="K329" i="48"/>
  <c r="G329" i="48"/>
  <c r="M329" i="48"/>
  <c r="I329" i="48"/>
  <c r="E329" i="48"/>
  <c r="L329" i="48"/>
  <c r="H329" i="48"/>
  <c r="D329" i="48"/>
  <c r="C329" i="48"/>
  <c r="C125" i="48"/>
  <c r="G176" i="48"/>
  <c r="K279" i="48"/>
  <c r="L55" i="70"/>
  <c r="L15" i="70"/>
  <c r="L16" i="70" s="1"/>
  <c r="L18" i="70" s="1"/>
  <c r="M58" i="48" s="1"/>
  <c r="D15" i="70"/>
  <c r="D16" i="70" s="1"/>
  <c r="D18" i="70" s="1"/>
  <c r="E58" i="48" s="1"/>
  <c r="K15" i="70"/>
  <c r="K16" i="70" s="1"/>
  <c r="K18" i="70" s="1"/>
  <c r="L58" i="48" s="1"/>
  <c r="E18" i="70"/>
  <c r="F58" i="48" s="1"/>
  <c r="H21" i="70"/>
  <c r="J18" i="70"/>
  <c r="K58" i="48" s="1"/>
  <c r="N48" i="70"/>
  <c r="H89" i="70"/>
  <c r="L89" i="70"/>
  <c r="B89" i="70"/>
  <c r="D72" i="70"/>
  <c r="B55" i="70"/>
  <c r="C16" i="60"/>
  <c r="D119" i="48" s="1"/>
  <c r="B143" i="64"/>
  <c r="M101" i="16"/>
  <c r="M102" i="16" s="1"/>
  <c r="B350" i="16"/>
  <c r="L145" i="16"/>
  <c r="B330" i="16"/>
  <c r="F230" i="16"/>
  <c r="B345" i="16"/>
  <c r="B346" i="16" s="1"/>
  <c r="C76" i="16"/>
  <c r="J91" i="16"/>
  <c r="J92" i="16" s="1"/>
  <c r="E220" i="16"/>
  <c r="B335" i="16"/>
  <c r="B336" i="16" s="1"/>
  <c r="D74" i="64"/>
  <c r="D75" i="16" s="1"/>
  <c r="E148" i="64"/>
  <c r="E144" i="16" s="1"/>
  <c r="D43" i="4"/>
  <c r="D38" i="16" s="1"/>
  <c r="D58" i="64" s="1"/>
  <c r="C38" i="16"/>
  <c r="C58" i="64" s="1"/>
  <c r="F74" i="64"/>
  <c r="F75" i="16" s="1"/>
  <c r="I74" i="64"/>
  <c r="C148" i="64"/>
  <c r="C144" i="16" s="1"/>
  <c r="J148" i="64"/>
  <c r="H148" i="64"/>
  <c r="H144" i="16" s="1"/>
  <c r="C244" i="64"/>
  <c r="C244" i="16" s="1"/>
  <c r="C115" i="16"/>
  <c r="C129" i="64" s="1"/>
  <c r="B319" i="16"/>
  <c r="C74" i="64"/>
  <c r="G74" i="64"/>
  <c r="J74" i="64"/>
  <c r="J75" i="16" s="1"/>
  <c r="D148" i="64"/>
  <c r="D144" i="16" s="1"/>
  <c r="L148" i="64"/>
  <c r="L144" i="16" s="1"/>
  <c r="K74" i="64"/>
  <c r="E74" i="64"/>
  <c r="H74" i="64"/>
  <c r="G148" i="64"/>
  <c r="G144" i="16" s="1"/>
  <c r="M148" i="64"/>
  <c r="M144" i="16" s="1"/>
  <c r="L29" i="61"/>
  <c r="M16" i="48" s="1"/>
  <c r="N13" i="60"/>
  <c r="O258" i="48"/>
  <c r="I13" i="61"/>
  <c r="I15" i="61" s="1"/>
  <c r="J14" i="48" s="1"/>
  <c r="D223" i="4"/>
  <c r="D224" i="4" s="1"/>
  <c r="K40" i="61"/>
  <c r="L88" i="48" s="1"/>
  <c r="L72" i="70"/>
  <c r="D55" i="70"/>
  <c r="H55" i="70"/>
  <c r="C55" i="70"/>
  <c r="J38" i="70"/>
  <c r="H18" i="70"/>
  <c r="I58" i="48" s="1"/>
  <c r="B16" i="70"/>
  <c r="B18" i="70" s="1"/>
  <c r="C58" i="48" s="1"/>
  <c r="M75" i="16"/>
  <c r="L75" i="16"/>
  <c r="D150" i="16"/>
  <c r="D151" i="16" s="1"/>
  <c r="I34" i="16"/>
  <c r="I35" i="16" s="1"/>
  <c r="E190" i="16"/>
  <c r="E195" i="16" s="1"/>
  <c r="E200" i="16" s="1"/>
  <c r="E240" i="16"/>
  <c r="E250" i="16" s="1"/>
  <c r="E255" i="16" s="1"/>
  <c r="I170" i="16"/>
  <c r="I180" i="16" s="1"/>
  <c r="I185" i="16" s="1"/>
  <c r="I106" i="16"/>
  <c r="I111" i="16" s="1"/>
  <c r="I116" i="16" s="1"/>
  <c r="I121" i="16" s="1"/>
  <c r="I126" i="16" s="1"/>
  <c r="F101" i="16"/>
  <c r="F102" i="16" s="1"/>
  <c r="E44" i="16"/>
  <c r="E45" i="16" s="1"/>
  <c r="H190" i="16"/>
  <c r="H195" i="16" s="1"/>
  <c r="H106" i="16"/>
  <c r="H111" i="16" s="1"/>
  <c r="H116" i="16" s="1"/>
  <c r="H121" i="16" s="1"/>
  <c r="H126" i="16" s="1"/>
  <c r="C39" i="16"/>
  <c r="E295" i="16"/>
  <c r="E296" i="16" s="1"/>
  <c r="K260" i="16"/>
  <c r="K265" i="16" s="1"/>
  <c r="K266" i="16" s="1"/>
  <c r="L170" i="16"/>
  <c r="L180" i="16" s="1"/>
  <c r="L185" i="16" s="1"/>
  <c r="M96" i="16"/>
  <c r="M97" i="16" s="1"/>
  <c r="L39" i="16"/>
  <c r="C295" i="16"/>
  <c r="C300" i="16" s="1"/>
  <c r="C305" i="16" s="1"/>
  <c r="D305" i="16" s="1"/>
  <c r="E305" i="16" s="1"/>
  <c r="F305" i="16" s="1"/>
  <c r="G305" i="16" s="1"/>
  <c r="H305" i="16" s="1"/>
  <c r="I305" i="16" s="1"/>
  <c r="J305" i="16" s="1"/>
  <c r="K305" i="16" s="1"/>
  <c r="L305" i="16" s="1"/>
  <c r="M305" i="16" s="1"/>
  <c r="L245" i="16"/>
  <c r="D44" i="16"/>
  <c r="D45" i="16" s="1"/>
  <c r="L190" i="16"/>
  <c r="L195" i="16" s="1"/>
  <c r="D295" i="16"/>
  <c r="D296" i="16" s="1"/>
  <c r="G295" i="16"/>
  <c r="G296" i="16" s="1"/>
  <c r="B310" i="16"/>
  <c r="B311" i="16" s="1"/>
  <c r="E34" i="16"/>
  <c r="E35" i="16" s="1"/>
  <c r="M44" i="16"/>
  <c r="M45" i="16" s="1"/>
  <c r="M295" i="16"/>
  <c r="M296" i="16" s="1"/>
  <c r="L106" i="16"/>
  <c r="L111" i="16" s="1"/>
  <c r="L116" i="16" s="1"/>
  <c r="L121" i="16" s="1"/>
  <c r="L126" i="16" s="1"/>
  <c r="H260" i="16"/>
  <c r="H265" i="16" s="1"/>
  <c r="H266" i="16" s="1"/>
  <c r="J260" i="16"/>
  <c r="J265" i="16" s="1"/>
  <c r="J266" i="16" s="1"/>
  <c r="J44" i="16"/>
  <c r="J45" i="16" s="1"/>
  <c r="D240" i="16"/>
  <c r="D250" i="16" s="1"/>
  <c r="D255" i="16" s="1"/>
  <c r="J235" i="16"/>
  <c r="J236" i="16" s="1"/>
  <c r="J49" i="16"/>
  <c r="F190" i="16"/>
  <c r="F195" i="16" s="1"/>
  <c r="I240" i="16"/>
  <c r="I250" i="16" s="1"/>
  <c r="I255" i="16" s="1"/>
  <c r="J101" i="16"/>
  <c r="J102" i="16" s="1"/>
  <c r="G44" i="16"/>
  <c r="G45" i="16" s="1"/>
  <c r="D39" i="16"/>
  <c r="D101" i="16"/>
  <c r="D102" i="16" s="1"/>
  <c r="M170" i="16"/>
  <c r="M180" i="16" s="1"/>
  <c r="M185" i="16" s="1"/>
  <c r="L235" i="16"/>
  <c r="L236" i="16" s="1"/>
  <c r="K106" i="16"/>
  <c r="K111" i="16" s="1"/>
  <c r="K116" i="16" s="1"/>
  <c r="K121" i="16" s="1"/>
  <c r="K126" i="16" s="1"/>
  <c r="C96" i="16"/>
  <c r="C97" i="16" s="1"/>
  <c r="M240" i="16"/>
  <c r="M250" i="16" s="1"/>
  <c r="M255" i="16" s="1"/>
  <c r="E106" i="16"/>
  <c r="E111" i="16" s="1"/>
  <c r="H39" i="16"/>
  <c r="C245" i="16"/>
  <c r="C240" i="16"/>
  <c r="C250" i="16" s="1"/>
  <c r="C255" i="16" s="1"/>
  <c r="C256" i="16" s="1"/>
  <c r="G235" i="16"/>
  <c r="G236" i="16" s="1"/>
  <c r="K101" i="16"/>
  <c r="L49" i="16"/>
  <c r="J295" i="16"/>
  <c r="J296" i="16" s="1"/>
  <c r="L44" i="16"/>
  <c r="L45" i="16" s="1"/>
  <c r="G106" i="16"/>
  <c r="G111" i="16" s="1"/>
  <c r="G116" i="16" s="1"/>
  <c r="F235" i="16"/>
  <c r="F236" i="16" s="1"/>
  <c r="K49" i="16"/>
  <c r="B75" i="16"/>
  <c r="B144" i="16"/>
  <c r="B35" i="16"/>
  <c r="M29" i="16"/>
  <c r="M30" i="16" s="1"/>
  <c r="C29" i="16"/>
  <c r="G160" i="16"/>
  <c r="M14" i="16"/>
  <c r="J145" i="16"/>
  <c r="G150" i="16"/>
  <c r="G151" i="16" s="1"/>
  <c r="G280" i="16"/>
  <c r="G281" i="16" s="1"/>
  <c r="M150" i="16"/>
  <c r="I19" i="16"/>
  <c r="I20" i="16" s="1"/>
  <c r="B97" i="16"/>
  <c r="C275" i="16"/>
  <c r="L275" i="16"/>
  <c r="C14" i="16"/>
  <c r="G275" i="16"/>
  <c r="F215" i="16"/>
  <c r="C215" i="16"/>
  <c r="M215" i="16"/>
  <c r="D215" i="16"/>
  <c r="J14" i="16"/>
  <c r="H145" i="16"/>
  <c r="G215" i="16"/>
  <c r="G145" i="16"/>
  <c r="E215" i="16"/>
  <c r="M145" i="16"/>
  <c r="K14" i="16"/>
  <c r="L14" i="16"/>
  <c r="J215" i="16"/>
  <c r="K215" i="16"/>
  <c r="J275" i="16"/>
  <c r="E145" i="16"/>
  <c r="E76" i="16"/>
  <c r="D14" i="16"/>
  <c r="E275" i="16"/>
  <c r="B39" i="16"/>
  <c r="B40" i="16" s="1"/>
  <c r="F39" i="16"/>
  <c r="K315" i="16"/>
  <c r="K320" i="16" s="1"/>
  <c r="C170" i="16"/>
  <c r="C180" i="16" s="1"/>
  <c r="C185" i="16" s="1"/>
  <c r="C186" i="16" s="1"/>
  <c r="K235" i="16"/>
  <c r="K236" i="16" s="1"/>
  <c r="D165" i="16"/>
  <c r="D166" i="16" s="1"/>
  <c r="H170" i="16"/>
  <c r="H180" i="16" s="1"/>
  <c r="H185" i="16" s="1"/>
  <c r="D96" i="16"/>
  <c r="D97" i="16" s="1"/>
  <c r="M315" i="16"/>
  <c r="M320" i="16" s="1"/>
  <c r="J165" i="16"/>
  <c r="J166" i="16" s="1"/>
  <c r="E96" i="16"/>
  <c r="E97" i="16" s="1"/>
  <c r="G39" i="16"/>
  <c r="D245" i="16"/>
  <c r="E170" i="16"/>
  <c r="E180" i="16" s="1"/>
  <c r="E185" i="16" s="1"/>
  <c r="F240" i="16"/>
  <c r="F250" i="16" s="1"/>
  <c r="F255" i="16" s="1"/>
  <c r="L240" i="16"/>
  <c r="L250" i="16" s="1"/>
  <c r="L255" i="16" s="1"/>
  <c r="C49" i="16"/>
  <c r="M39" i="16"/>
  <c r="M245" i="16"/>
  <c r="H295" i="16"/>
  <c r="H296" i="16" s="1"/>
  <c r="I96" i="16"/>
  <c r="I97" i="16" s="1"/>
  <c r="K240" i="16"/>
  <c r="K250" i="16" s="1"/>
  <c r="K255" i="16" s="1"/>
  <c r="I44" i="16"/>
  <c r="I45" i="16" s="1"/>
  <c r="D315" i="16"/>
  <c r="D320" i="16" s="1"/>
  <c r="D106" i="16"/>
  <c r="D111" i="16" s="1"/>
  <c r="D116" i="16" s="1"/>
  <c r="D121" i="16" s="1"/>
  <c r="D126" i="16" s="1"/>
  <c r="L101" i="16"/>
  <c r="L102" i="16" s="1"/>
  <c r="E315" i="16"/>
  <c r="E320" i="16" s="1"/>
  <c r="E165" i="16"/>
  <c r="E166" i="16" s="1"/>
  <c r="J190" i="16"/>
  <c r="J195" i="16" s="1"/>
  <c r="C34" i="16"/>
  <c r="C35" i="16" s="1"/>
  <c r="G34" i="16"/>
  <c r="G35" i="16" s="1"/>
  <c r="K44" i="16"/>
  <c r="K45" i="16" s="1"/>
  <c r="G240" i="16"/>
  <c r="G250" i="16" s="1"/>
  <c r="G255" i="16" s="1"/>
  <c r="G256" i="16" s="1"/>
  <c r="I101" i="16"/>
  <c r="I102" i="16" s="1"/>
  <c r="G245" i="16"/>
  <c r="E101" i="16"/>
  <c r="E102" i="16" s="1"/>
  <c r="C260" i="16"/>
  <c r="C265" i="16" s="1"/>
  <c r="C266" i="16" s="1"/>
  <c r="B190" i="16"/>
  <c r="B195" i="16" s="1"/>
  <c r="M235" i="16"/>
  <c r="M236" i="16" s="1"/>
  <c r="D170" i="16"/>
  <c r="D180" i="16" s="1"/>
  <c r="D185" i="16" s="1"/>
  <c r="K295" i="16"/>
  <c r="K296" i="16" s="1"/>
  <c r="J39" i="16"/>
  <c r="D190" i="16"/>
  <c r="D195" i="16" s="1"/>
  <c r="F96" i="16"/>
  <c r="M106" i="16"/>
  <c r="M111" i="16" s="1"/>
  <c r="M116" i="16" s="1"/>
  <c r="M121" i="16" s="1"/>
  <c r="M126" i="16" s="1"/>
  <c r="I190" i="16"/>
  <c r="I195" i="16" s="1"/>
  <c r="E49" i="16"/>
  <c r="I235" i="16"/>
  <c r="I236" i="16" s="1"/>
  <c r="E235" i="16"/>
  <c r="E236" i="16" s="1"/>
  <c r="C165" i="16"/>
  <c r="C166" i="16" s="1"/>
  <c r="I165" i="16"/>
  <c r="I166" i="16" s="1"/>
  <c r="B49" i="16"/>
  <c r="M165" i="16"/>
  <c r="M166" i="16" s="1"/>
  <c r="F260" i="16"/>
  <c r="F265" i="16" s="1"/>
  <c r="F266" i="16" s="1"/>
  <c r="G81" i="16"/>
  <c r="G82" i="16" s="1"/>
  <c r="D19" i="16"/>
  <c r="D20" i="16" s="1"/>
  <c r="K150" i="16"/>
  <c r="F150" i="16"/>
  <c r="H150" i="16"/>
  <c r="H151" i="16" s="1"/>
  <c r="K19" i="16"/>
  <c r="K20" i="16" s="1"/>
  <c r="B221" i="16"/>
  <c r="B236" i="16"/>
  <c r="B301" i="16"/>
  <c r="B286" i="16"/>
  <c r="K220" i="16"/>
  <c r="K221" i="16" s="1"/>
  <c r="D81" i="16"/>
  <c r="D82" i="16" s="1"/>
  <c r="H81" i="16"/>
  <c r="H82" i="16" s="1"/>
  <c r="L280" i="16"/>
  <c r="L281" i="16" s="1"/>
  <c r="J280" i="16"/>
  <c r="J281" i="16" s="1"/>
  <c r="M220" i="16"/>
  <c r="M221" i="16" s="1"/>
  <c r="E19" i="16"/>
  <c r="F280" i="16"/>
  <c r="F281" i="16" s="1"/>
  <c r="E150" i="16"/>
  <c r="F19" i="16"/>
  <c r="F20" i="16" s="1"/>
  <c r="J220" i="16"/>
  <c r="J221" i="16" s="1"/>
  <c r="E81" i="16"/>
  <c r="E82" i="16" s="1"/>
  <c r="E280" i="16"/>
  <c r="E281" i="16" s="1"/>
  <c r="C81" i="16"/>
  <c r="C82" i="16" s="1"/>
  <c r="C19" i="16"/>
  <c r="C20" i="16" s="1"/>
  <c r="H290" i="16"/>
  <c r="H291" i="16" s="1"/>
  <c r="G220" i="16"/>
  <c r="G221" i="16" s="1"/>
  <c r="J335" i="16"/>
  <c r="J336" i="16" s="1"/>
  <c r="F335" i="16"/>
  <c r="F336" i="16" s="1"/>
  <c r="M335" i="16"/>
  <c r="M336" i="16" s="1"/>
  <c r="I335" i="16"/>
  <c r="I336" i="16" s="1"/>
  <c r="E335" i="16"/>
  <c r="E336" i="16" s="1"/>
  <c r="L335" i="16"/>
  <c r="L336" i="16" s="1"/>
  <c r="D335" i="16"/>
  <c r="D336" i="16" s="1"/>
  <c r="K335" i="16"/>
  <c r="K336" i="16" s="1"/>
  <c r="G335" i="16"/>
  <c r="G336" i="16" s="1"/>
  <c r="C335" i="16"/>
  <c r="C336" i="16" s="1"/>
  <c r="H335" i="16"/>
  <c r="H336" i="16" s="1"/>
  <c r="B20" i="16"/>
  <c r="K230" i="16"/>
  <c r="K231" i="16" s="1"/>
  <c r="E29" i="16"/>
  <c r="E30" i="16" s="1"/>
  <c r="D160" i="16"/>
  <c r="G290" i="16"/>
  <c r="G291" i="16" s="1"/>
  <c r="I220" i="16"/>
  <c r="I221" i="16" s="1"/>
  <c r="J19" i="16"/>
  <c r="J20" i="16" s="1"/>
  <c r="I150" i="16"/>
  <c r="I151" i="16" s="1"/>
  <c r="J150" i="16"/>
  <c r="J151" i="16" s="1"/>
  <c r="H220" i="16"/>
  <c r="H221" i="16" s="1"/>
  <c r="L150" i="16"/>
  <c r="L151" i="16" s="1"/>
  <c r="H160" i="16"/>
  <c r="M230" i="16"/>
  <c r="M231" i="16" s="1"/>
  <c r="D280" i="16"/>
  <c r="D281" i="16" s="1"/>
  <c r="M280" i="16"/>
  <c r="M281" i="16" s="1"/>
  <c r="F81" i="16"/>
  <c r="F82" i="16" s="1"/>
  <c r="F220" i="16"/>
  <c r="F221" i="16" s="1"/>
  <c r="M19" i="16"/>
  <c r="M20" i="16" s="1"/>
  <c r="G29" i="16"/>
  <c r="G30" i="16" s="1"/>
  <c r="J330" i="16"/>
  <c r="F330" i="16"/>
  <c r="M330" i="16"/>
  <c r="E330" i="16"/>
  <c r="L330" i="16"/>
  <c r="D330" i="16"/>
  <c r="K330" i="16"/>
  <c r="G330" i="16"/>
  <c r="C330" i="16"/>
  <c r="I330" i="16"/>
  <c r="H330" i="16"/>
  <c r="I81" i="16"/>
  <c r="I82" i="16" s="1"/>
  <c r="C150" i="16"/>
  <c r="C151" i="16" s="1"/>
  <c r="M160" i="16"/>
  <c r="J370" i="16"/>
  <c r="F370" i="16"/>
  <c r="B370" i="16"/>
  <c r="M350" i="16"/>
  <c r="M351" i="16" s="1"/>
  <c r="I350" i="16"/>
  <c r="I351" i="16" s="1"/>
  <c r="E350" i="16"/>
  <c r="E351" i="16" s="1"/>
  <c r="D350" i="16"/>
  <c r="D351" i="16" s="1"/>
  <c r="L370" i="16"/>
  <c r="K350" i="16"/>
  <c r="K351" i="16" s="1"/>
  <c r="K370" i="16"/>
  <c r="G370" i="16"/>
  <c r="C370" i="16"/>
  <c r="J350" i="16"/>
  <c r="J351" i="16" s="1"/>
  <c r="F350" i="16"/>
  <c r="F351" i="16" s="1"/>
  <c r="M370" i="16"/>
  <c r="I370" i="16"/>
  <c r="E370" i="16"/>
  <c r="L350" i="16"/>
  <c r="L351" i="16" s="1"/>
  <c r="H350" i="16"/>
  <c r="H351" i="16" s="1"/>
  <c r="H370" i="16"/>
  <c r="D370" i="16"/>
  <c r="G350" i="16"/>
  <c r="G351" i="16" s="1"/>
  <c r="C350" i="16"/>
  <c r="L91" i="16"/>
  <c r="L92" i="16" s="1"/>
  <c r="K345" i="16"/>
  <c r="K346" i="16" s="1"/>
  <c r="G345" i="16"/>
  <c r="G346" i="16" s="1"/>
  <c r="C345" i="16"/>
  <c r="C346" i="16" s="1"/>
  <c r="L345" i="16"/>
  <c r="L346" i="16" s="1"/>
  <c r="H345" i="16"/>
  <c r="H346" i="16" s="1"/>
  <c r="D345" i="16"/>
  <c r="D346" i="16" s="1"/>
  <c r="J345" i="16"/>
  <c r="J346" i="16" s="1"/>
  <c r="F345" i="16"/>
  <c r="F346" i="16" s="1"/>
  <c r="M345" i="16"/>
  <c r="M346" i="16" s="1"/>
  <c r="I345" i="16"/>
  <c r="I346" i="16" s="1"/>
  <c r="E345" i="16"/>
  <c r="E346" i="16" s="1"/>
  <c r="B231" i="16"/>
  <c r="L29" i="16"/>
  <c r="L30" i="16" s="1"/>
  <c r="F290" i="16"/>
  <c r="F291" i="16" s="1"/>
  <c r="E160" i="16"/>
  <c r="K290" i="16"/>
  <c r="K291" i="16" s="1"/>
  <c r="B92" i="16"/>
  <c r="G91" i="16"/>
  <c r="G92" i="16" s="1"/>
  <c r="K29" i="16"/>
  <c r="K30" i="16" s="1"/>
  <c r="K160" i="16"/>
  <c r="L230" i="16"/>
  <c r="L231" i="16" s="1"/>
  <c r="I280" i="16"/>
  <c r="I281" i="16" s="1"/>
  <c r="H19" i="16"/>
  <c r="H20" i="16" s="1"/>
  <c r="C220" i="16"/>
  <c r="C221" i="16" s="1"/>
  <c r="M81" i="16"/>
  <c r="M82" i="16" s="1"/>
  <c r="D220" i="16"/>
  <c r="D221" i="16" s="1"/>
  <c r="L81" i="16"/>
  <c r="L82" i="16" s="1"/>
  <c r="C160" i="16"/>
  <c r="I160" i="16"/>
  <c r="J81" i="16"/>
  <c r="J82" i="16" s="1"/>
  <c r="K280" i="16"/>
  <c r="K281" i="16" s="1"/>
  <c r="K81" i="16"/>
  <c r="K82" i="16" s="1"/>
  <c r="L220" i="16"/>
  <c r="L221" i="16" s="1"/>
  <c r="L19" i="16"/>
  <c r="L20" i="16" s="1"/>
  <c r="G19" i="16"/>
  <c r="G20" i="16" s="1"/>
  <c r="H280" i="16"/>
  <c r="H281" i="16" s="1"/>
  <c r="C280" i="16"/>
  <c r="C281" i="16" s="1"/>
  <c r="I118" i="61"/>
  <c r="C40" i="61"/>
  <c r="D88" i="48" s="1"/>
  <c r="O39" i="48"/>
  <c r="G58" i="24"/>
  <c r="G61" i="24" s="1"/>
  <c r="G60" i="24" s="1"/>
  <c r="E13" i="61"/>
  <c r="E15" i="61" s="1"/>
  <c r="F14" i="48" s="1"/>
  <c r="J65" i="61"/>
  <c r="K134" i="48" s="1"/>
  <c r="K143" i="61"/>
  <c r="K137" i="61"/>
  <c r="K138" i="61" s="1"/>
  <c r="K140" i="61" s="1"/>
  <c r="L289" i="48" s="1"/>
  <c r="K150" i="61"/>
  <c r="C69" i="61"/>
  <c r="C70" i="61" s="1"/>
  <c r="K76" i="61"/>
  <c r="K77" i="61" s="1"/>
  <c r="M43" i="61"/>
  <c r="M44" i="61" s="1"/>
  <c r="M45" i="61" s="1"/>
  <c r="C87" i="61"/>
  <c r="C88" i="61" s="1"/>
  <c r="C90" i="61" s="1"/>
  <c r="D185" i="48" s="1"/>
  <c r="E18" i="61"/>
  <c r="E25" i="61" s="1"/>
  <c r="E26" i="61" s="1"/>
  <c r="L125" i="61"/>
  <c r="L126" i="61" s="1"/>
  <c r="I18" i="61"/>
  <c r="C143" i="61"/>
  <c r="C137" i="61"/>
  <c r="C138" i="61" s="1"/>
  <c r="C140" i="61" s="1"/>
  <c r="D289" i="48" s="1"/>
  <c r="C150" i="61"/>
  <c r="C151" i="61" s="1"/>
  <c r="C152" i="61" s="1"/>
  <c r="G118" i="61"/>
  <c r="G119" i="61" s="1"/>
  <c r="G120" i="61" s="1"/>
  <c r="M90" i="61"/>
  <c r="N185" i="48" s="1"/>
  <c r="E102" i="61"/>
  <c r="D76" i="61"/>
  <c r="E143" i="61"/>
  <c r="E150" i="61"/>
  <c r="E151" i="61" s="1"/>
  <c r="E152" i="61" s="1"/>
  <c r="E137" i="61"/>
  <c r="E138" i="61" s="1"/>
  <c r="E140" i="61" s="1"/>
  <c r="F289" i="48" s="1"/>
  <c r="I137" i="61"/>
  <c r="I138" i="61" s="1"/>
  <c r="I140" i="61" s="1"/>
  <c r="J289" i="48" s="1"/>
  <c r="I150" i="61"/>
  <c r="I143" i="61"/>
  <c r="I144" i="61" s="1"/>
  <c r="I145" i="61" s="1"/>
  <c r="M150" i="61"/>
  <c r="M151" i="61" s="1"/>
  <c r="M152" i="61" s="1"/>
  <c r="M137" i="61"/>
  <c r="M138" i="61" s="1"/>
  <c r="M140" i="61" s="1"/>
  <c r="N289" i="48" s="1"/>
  <c r="M143" i="61"/>
  <c r="C124" i="18"/>
  <c r="B86" i="24"/>
  <c r="B87" i="24" s="1"/>
  <c r="F72" i="24"/>
  <c r="F75" i="24" s="1"/>
  <c r="F74" i="24" s="1"/>
  <c r="K58" i="24"/>
  <c r="K61" i="24" s="1"/>
  <c r="K60" i="24" s="1"/>
  <c r="D44" i="24"/>
  <c r="D47" i="24" s="1"/>
  <c r="D50" i="24" s="1"/>
  <c r="E140" i="48" s="1"/>
  <c r="L58" i="24"/>
  <c r="L61" i="24" s="1"/>
  <c r="L64" i="24" s="1"/>
  <c r="M191" i="48" s="1"/>
  <c r="L86" i="18"/>
  <c r="L89" i="18" s="1"/>
  <c r="L91" i="18" s="1"/>
  <c r="M188" i="48" s="1"/>
  <c r="L38" i="18"/>
  <c r="L41" i="18" s="1"/>
  <c r="L46" i="18" s="1"/>
  <c r="G86" i="18"/>
  <c r="G89" i="18" s="1"/>
  <c r="G99" i="18" s="1"/>
  <c r="G101" i="18" s="1"/>
  <c r="H190" i="48" s="1"/>
  <c r="B59" i="24"/>
  <c r="B58" i="24" s="1"/>
  <c r="B61" i="24" s="1"/>
  <c r="B60" i="24" s="1"/>
  <c r="I45" i="24"/>
  <c r="I44" i="24" s="1"/>
  <c r="I47" i="24" s="1"/>
  <c r="I46" i="24" s="1"/>
  <c r="E45" i="24"/>
  <c r="E44" i="24" s="1"/>
  <c r="E47" i="24" s="1"/>
  <c r="H73" i="24"/>
  <c r="H72" i="24" s="1"/>
  <c r="H75" i="24" s="1"/>
  <c r="G45" i="24"/>
  <c r="G44" i="24" s="1"/>
  <c r="G47" i="24" s="1"/>
  <c r="G46" i="24" s="1"/>
  <c r="F86" i="18"/>
  <c r="F89" i="18" s="1"/>
  <c r="F99" i="18" s="1"/>
  <c r="F101" i="18" s="1"/>
  <c r="G190" i="48" s="1"/>
  <c r="F110" i="18"/>
  <c r="F113" i="18" s="1"/>
  <c r="F112" i="18" s="1"/>
  <c r="J73" i="24"/>
  <c r="J72" i="24" s="1"/>
  <c r="J75" i="24" s="1"/>
  <c r="J74" i="24" s="1"/>
  <c r="J62" i="18"/>
  <c r="J65" i="18" s="1"/>
  <c r="J64" i="18" s="1"/>
  <c r="D110" i="18"/>
  <c r="D113" i="18" s="1"/>
  <c r="D115" i="18" s="1"/>
  <c r="E240" i="48" s="1"/>
  <c r="I110" i="18"/>
  <c r="I113" i="18" s="1"/>
  <c r="I118" i="18" s="1"/>
  <c r="L45" i="24"/>
  <c r="L44" i="24" s="1"/>
  <c r="L47" i="24" s="1"/>
  <c r="L50" i="24" s="1"/>
  <c r="M140" i="48" s="1"/>
  <c r="F38" i="18"/>
  <c r="F41" i="18" s="1"/>
  <c r="F51" i="18" s="1"/>
  <c r="F53" i="18" s="1"/>
  <c r="G93" i="48" s="1"/>
  <c r="G17" i="63"/>
  <c r="G22" i="63" s="1"/>
  <c r="E87" i="14" s="1"/>
  <c r="E17" i="90" s="1"/>
  <c r="M17" i="63"/>
  <c r="M21" i="63" s="1"/>
  <c r="K62" i="14" s="1"/>
  <c r="K17" i="89" s="1"/>
  <c r="I17" i="63"/>
  <c r="I22" i="63" s="1"/>
  <c r="G87" i="14" s="1"/>
  <c r="G17" i="90" s="1"/>
  <c r="F17" i="63"/>
  <c r="B14" i="18"/>
  <c r="B17" i="18" s="1"/>
  <c r="C65" i="61"/>
  <c r="D134" i="48" s="1"/>
  <c r="H40" i="61"/>
  <c r="I88" i="48" s="1"/>
  <c r="F65" i="61"/>
  <c r="G134" i="48" s="1"/>
  <c r="L100" i="61"/>
  <c r="L101" i="61" s="1"/>
  <c r="B43" i="61"/>
  <c r="B44" i="61" s="1"/>
  <c r="B45" i="61" s="1"/>
  <c r="F50" i="61"/>
  <c r="F51" i="61" s="1"/>
  <c r="F52" i="61" s="1"/>
  <c r="G40" i="61"/>
  <c r="H88" i="48" s="1"/>
  <c r="C89" i="70"/>
  <c r="G89" i="70"/>
  <c r="G195" i="48"/>
  <c r="C72" i="70"/>
  <c r="D98" i="48"/>
  <c r="N31" i="70"/>
  <c r="K38" i="70"/>
  <c r="B38" i="70"/>
  <c r="C15" i="70"/>
  <c r="C16" i="70" s="1"/>
  <c r="C18" i="70" s="1"/>
  <c r="E195" i="48"/>
  <c r="G38" i="70"/>
  <c r="M15" i="70"/>
  <c r="M16" i="70" s="1"/>
  <c r="M18" i="70" s="1"/>
  <c r="N58" i="48" s="1"/>
  <c r="I38" i="70"/>
  <c r="N82" i="70"/>
  <c r="E38" i="70"/>
  <c r="K89" i="70"/>
  <c r="F18" i="70"/>
  <c r="G58" i="48" s="1"/>
  <c r="I72" i="70"/>
  <c r="B48" i="49"/>
  <c r="K12" i="49"/>
  <c r="K21" i="49" s="1"/>
  <c r="K22" i="49" s="1"/>
  <c r="I48" i="49"/>
  <c r="H31" i="49"/>
  <c r="E48" i="49"/>
  <c r="L20" i="61"/>
  <c r="M76" i="4"/>
  <c r="H98" i="48"/>
  <c r="D20" i="48"/>
  <c r="J90" i="61"/>
  <c r="K185" i="48" s="1"/>
  <c r="G20" i="48"/>
  <c r="L13" i="61"/>
  <c r="L15" i="61" s="1"/>
  <c r="M14" i="48" s="1"/>
  <c r="M20" i="48"/>
  <c r="H20" i="48"/>
  <c r="N20" i="48"/>
  <c r="F90" i="61"/>
  <c r="G185" i="48" s="1"/>
  <c r="K20" i="48"/>
  <c r="F20" i="48"/>
  <c r="J76" i="4"/>
  <c r="J212" i="4"/>
  <c r="F289" i="4"/>
  <c r="F293" i="4"/>
  <c r="F294" i="4" s="1"/>
  <c r="C76" i="4"/>
  <c r="C212" i="4"/>
  <c r="N74" i="4"/>
  <c r="D53" i="4"/>
  <c r="H145" i="4"/>
  <c r="F145" i="4"/>
  <c r="B214" i="4"/>
  <c r="B306" i="16"/>
  <c r="M145" i="4"/>
  <c r="G145" i="4"/>
  <c r="D302" i="4"/>
  <c r="D30" i="91" s="1"/>
  <c r="G212" i="4"/>
  <c r="I212" i="4"/>
  <c r="C319" i="16"/>
  <c r="C145" i="4"/>
  <c r="M212" i="4"/>
  <c r="D188" i="4"/>
  <c r="D259" i="64"/>
  <c r="D259" i="16" s="1"/>
  <c r="L145" i="4"/>
  <c r="C218" i="4"/>
  <c r="C219" i="4" s="1"/>
  <c r="F149" i="4"/>
  <c r="F154" i="4" s="1"/>
  <c r="F155" i="4" s="1"/>
  <c r="M154" i="4"/>
  <c r="M159" i="4" s="1"/>
  <c r="M164" i="4" s="1"/>
  <c r="M169" i="4" s="1"/>
  <c r="M150" i="4"/>
  <c r="I283" i="4"/>
  <c r="I288" i="4" s="1"/>
  <c r="I289" i="4" s="1"/>
  <c r="I279" i="4"/>
  <c r="M284" i="4"/>
  <c r="L149" i="4"/>
  <c r="L150" i="4" s="1"/>
  <c r="F284" i="4"/>
  <c r="E278" i="4"/>
  <c r="E279" i="4" s="1"/>
  <c r="N279" i="64"/>
  <c r="E145" i="4"/>
  <c r="I218" i="4"/>
  <c r="I223" i="4" s="1"/>
  <c r="I228" i="4" s="1"/>
  <c r="I233" i="4" s="1"/>
  <c r="J145" i="4"/>
  <c r="H149" i="4"/>
  <c r="H154" i="4" s="1"/>
  <c r="J283" i="4"/>
  <c r="J279" i="4"/>
  <c r="C279" i="4"/>
  <c r="C283" i="4"/>
  <c r="C288" i="4" s="1"/>
  <c r="C289" i="4" s="1"/>
  <c r="K279" i="4"/>
  <c r="K283" i="4"/>
  <c r="N289" i="64"/>
  <c r="J219" i="4"/>
  <c r="J223" i="4"/>
  <c r="I145" i="4"/>
  <c r="I149" i="4"/>
  <c r="F219" i="4"/>
  <c r="F223" i="4"/>
  <c r="F224" i="4" s="1"/>
  <c r="I76" i="4"/>
  <c r="N158" i="64"/>
  <c r="B218" i="4"/>
  <c r="E231" i="16"/>
  <c r="D24" i="4"/>
  <c r="D20" i="4"/>
  <c r="H293" i="4"/>
  <c r="H294" i="4" s="1"/>
  <c r="H289" i="4"/>
  <c r="B150" i="4"/>
  <c r="B154" i="4"/>
  <c r="B159" i="4" s="1"/>
  <c r="J154" i="4"/>
  <c r="J150" i="4"/>
  <c r="M219" i="4"/>
  <c r="M223" i="4"/>
  <c r="M228" i="4" s="1"/>
  <c r="G223" i="4"/>
  <c r="G224" i="4" s="1"/>
  <c r="G219" i="4"/>
  <c r="E233" i="4"/>
  <c r="E238" i="4" s="1"/>
  <c r="E229" i="4"/>
  <c r="K24" i="4"/>
  <c r="K20" i="4"/>
  <c r="L288" i="4"/>
  <c r="H284" i="4"/>
  <c r="D145" i="4"/>
  <c r="N79" i="64"/>
  <c r="N234" i="64"/>
  <c r="M24" i="4"/>
  <c r="M25" i="4" s="1"/>
  <c r="B288" i="4"/>
  <c r="B293" i="4" s="1"/>
  <c r="B298" i="4" s="1"/>
  <c r="B308" i="4" s="1"/>
  <c r="D76" i="4"/>
  <c r="B145" i="4"/>
  <c r="N284" i="64"/>
  <c r="M289" i="4"/>
  <c r="H219" i="4"/>
  <c r="B279" i="4"/>
  <c r="H279" i="4"/>
  <c r="G76" i="4"/>
  <c r="N294" i="64"/>
  <c r="N33" i="64"/>
  <c r="B166" i="16"/>
  <c r="K86" i="18"/>
  <c r="K89" i="18" s="1"/>
  <c r="K91" i="18" s="1"/>
  <c r="L188" i="48" s="1"/>
  <c r="B148" i="18"/>
  <c r="N138" i="18"/>
  <c r="B143" i="18"/>
  <c r="B137" i="18"/>
  <c r="N137" i="18" s="1"/>
  <c r="B45" i="24"/>
  <c r="B44" i="24" s="1"/>
  <c r="B47" i="24" s="1"/>
  <c r="B46" i="24" s="1"/>
  <c r="N105" i="16"/>
  <c r="N104" i="64"/>
  <c r="N43" i="64"/>
  <c r="N289" i="16"/>
  <c r="B291" i="16"/>
  <c r="B281" i="16"/>
  <c r="F76" i="4"/>
  <c r="I257" i="4"/>
  <c r="I254" i="64" s="1"/>
  <c r="I254" i="16" s="1"/>
  <c r="B314" i="64"/>
  <c r="E76" i="4"/>
  <c r="K76" i="4"/>
  <c r="H76" i="4"/>
  <c r="N19" i="53"/>
  <c r="H75" i="48"/>
  <c r="J223" i="48"/>
  <c r="C223" i="48"/>
  <c r="K72" i="49"/>
  <c r="B26" i="61"/>
  <c r="B27" i="61" s="1"/>
  <c r="B29" i="61" s="1"/>
  <c r="B65" i="61"/>
  <c r="C134" i="48" s="1"/>
  <c r="E37" i="61"/>
  <c r="E38" i="61" s="1"/>
  <c r="G112" i="61"/>
  <c r="G113" i="61" s="1"/>
  <c r="G115" i="61" s="1"/>
  <c r="H237" i="48" s="1"/>
  <c r="I37" i="61"/>
  <c r="I38" i="61" s="1"/>
  <c r="J70" i="61"/>
  <c r="J13" i="61"/>
  <c r="J18" i="61"/>
  <c r="C100" i="61"/>
  <c r="C101" i="61" s="1"/>
  <c r="C102" i="61" s="1"/>
  <c r="C82" i="49"/>
  <c r="L65" i="61"/>
  <c r="M134" i="48" s="1"/>
  <c r="E43" i="61"/>
  <c r="E44" i="61" s="1"/>
  <c r="E45" i="61" s="1"/>
  <c r="H62" i="61"/>
  <c r="H63" i="61" s="1"/>
  <c r="H65" i="61" s="1"/>
  <c r="I134" i="48" s="1"/>
  <c r="I50" i="61"/>
  <c r="I51" i="61" s="1"/>
  <c r="I52" i="61" s="1"/>
  <c r="K100" i="61"/>
  <c r="K101" i="61" s="1"/>
  <c r="L69" i="61"/>
  <c r="L70" i="61" s="1"/>
  <c r="G87" i="61"/>
  <c r="G88" i="61" s="1"/>
  <c r="G90" i="61" s="1"/>
  <c r="H185" i="48" s="1"/>
  <c r="L76" i="61"/>
  <c r="L77" i="61" s="1"/>
  <c r="C93" i="61"/>
  <c r="C94" i="61" s="1"/>
  <c r="C95" i="61" s="1"/>
  <c r="G93" i="61"/>
  <c r="L82" i="49"/>
  <c r="N86" i="61"/>
  <c r="D65" i="61"/>
  <c r="E134" i="48" s="1"/>
  <c r="G100" i="61"/>
  <c r="G101" i="61" s="1"/>
  <c r="G102" i="61" s="1"/>
  <c r="K87" i="61"/>
  <c r="K88" i="61" s="1"/>
  <c r="K90" i="61" s="1"/>
  <c r="L185" i="48" s="1"/>
  <c r="B65" i="49"/>
  <c r="H65" i="49"/>
  <c r="J65" i="49"/>
  <c r="K93" i="61"/>
  <c r="K94" i="61" s="1"/>
  <c r="K95" i="61" s="1"/>
  <c r="M12" i="49"/>
  <c r="M13" i="49" s="1"/>
  <c r="I12" i="49"/>
  <c r="I13" i="49" s="1"/>
  <c r="I14" i="49" s="1"/>
  <c r="I16" i="49" s="1"/>
  <c r="F31" i="49"/>
  <c r="C48" i="49"/>
  <c r="B31" i="49"/>
  <c r="H172" i="48"/>
  <c r="D75" i="48"/>
  <c r="H121" i="48"/>
  <c r="D121" i="48"/>
  <c r="D172" i="48"/>
  <c r="H275" i="48"/>
  <c r="D275" i="48"/>
  <c r="E223" i="48"/>
  <c r="E275" i="48"/>
  <c r="E121" i="48"/>
  <c r="E69" i="61"/>
  <c r="E70" i="61" s="1"/>
  <c r="C15" i="18"/>
  <c r="C120" i="61"/>
  <c r="E90" i="61"/>
  <c r="F185" i="48" s="1"/>
  <c r="B37" i="61"/>
  <c r="B38" i="61" s="1"/>
  <c r="L87" i="61"/>
  <c r="L88" i="61" s="1"/>
  <c r="L90" i="61" s="1"/>
  <c r="M185" i="48" s="1"/>
  <c r="M69" i="61"/>
  <c r="M70" i="61" s="1"/>
  <c r="F37" i="61"/>
  <c r="F38" i="61" s="1"/>
  <c r="L112" i="61"/>
  <c r="L113" i="61" s="1"/>
  <c r="L115" i="61" s="1"/>
  <c r="M237" i="48" s="1"/>
  <c r="E15" i="18"/>
  <c r="I15" i="18"/>
  <c r="M15" i="18"/>
  <c r="H15" i="18"/>
  <c r="E12" i="49"/>
  <c r="N36" i="61"/>
  <c r="L118" i="61"/>
  <c r="L119" i="61" s="1"/>
  <c r="M62" i="61"/>
  <c r="M63" i="61" s="1"/>
  <c r="M65" i="61" s="1"/>
  <c r="N134" i="48" s="1"/>
  <c r="H87" i="61"/>
  <c r="H88" i="61" s="1"/>
  <c r="H90" i="61" s="1"/>
  <c r="I185" i="48" s="1"/>
  <c r="F15" i="18"/>
  <c r="J15" i="18"/>
  <c r="D31" i="49"/>
  <c r="C12" i="49"/>
  <c r="L15" i="18"/>
  <c r="K65" i="61"/>
  <c r="L134" i="48" s="1"/>
  <c r="L93" i="61"/>
  <c r="L94" i="61" s="1"/>
  <c r="L95" i="61" s="1"/>
  <c r="I62" i="61"/>
  <c r="I63" i="61" s="1"/>
  <c r="I65" i="61" s="1"/>
  <c r="J134" i="48" s="1"/>
  <c r="I76" i="61"/>
  <c r="I77" i="61" s="1"/>
  <c r="D15" i="18"/>
  <c r="G15" i="18"/>
  <c r="K15" i="18"/>
  <c r="E82" i="49"/>
  <c r="I82" i="49"/>
  <c r="K21" i="48"/>
  <c r="L75" i="18"/>
  <c r="L77" i="18" s="1"/>
  <c r="M139" i="48" s="1"/>
  <c r="L67" i="18"/>
  <c r="M137" i="48" s="1"/>
  <c r="H45" i="24"/>
  <c r="H44" i="24" s="1"/>
  <c r="H47" i="24" s="1"/>
  <c r="H46" i="24" s="1"/>
  <c r="M38" i="18"/>
  <c r="M41" i="18" s="1"/>
  <c r="M51" i="18" s="1"/>
  <c r="M53" i="18" s="1"/>
  <c r="N93" i="48" s="1"/>
  <c r="J38" i="18"/>
  <c r="J41" i="18" s="1"/>
  <c r="J40" i="18" s="1"/>
  <c r="E38" i="18"/>
  <c r="E41" i="18" s="1"/>
  <c r="I38" i="18"/>
  <c r="I41" i="18" s="1"/>
  <c r="I46" i="18" s="1"/>
  <c r="G38" i="18"/>
  <c r="G41" i="18" s="1"/>
  <c r="G51" i="18" s="1"/>
  <c r="G53" i="18" s="1"/>
  <c r="H93" i="48" s="1"/>
  <c r="M45" i="24"/>
  <c r="M44" i="24" s="1"/>
  <c r="M47" i="24" s="1"/>
  <c r="M46" i="24" s="1"/>
  <c r="E110" i="18"/>
  <c r="E113" i="18" s="1"/>
  <c r="E112" i="18" s="1"/>
  <c r="F62" i="18"/>
  <c r="F65" i="18" s="1"/>
  <c r="F64" i="18" s="1"/>
  <c r="D87" i="18"/>
  <c r="N63" i="18"/>
  <c r="D62" i="18"/>
  <c r="D65" i="18" s="1"/>
  <c r="K110" i="18"/>
  <c r="K113" i="18" s="1"/>
  <c r="K115" i="18" s="1"/>
  <c r="L240" i="48" s="1"/>
  <c r="M110" i="18"/>
  <c r="M113" i="18" s="1"/>
  <c r="M115" i="18" s="1"/>
  <c r="N240" i="48" s="1"/>
  <c r="C110" i="18"/>
  <c r="C113" i="18" s="1"/>
  <c r="C123" i="18" s="1"/>
  <c r="C62" i="18"/>
  <c r="C65" i="18" s="1"/>
  <c r="C70" i="18" s="1"/>
  <c r="G73" i="24"/>
  <c r="G72" i="24" s="1"/>
  <c r="G75" i="24" s="1"/>
  <c r="G74" i="24" s="1"/>
  <c r="K45" i="24"/>
  <c r="K44" i="24" s="1"/>
  <c r="K47" i="24" s="1"/>
  <c r="K46" i="24" s="1"/>
  <c r="K62" i="18"/>
  <c r="K65" i="18" s="1"/>
  <c r="C31" i="24"/>
  <c r="C30" i="24" s="1"/>
  <c r="C33" i="24" s="1"/>
  <c r="C38" i="18"/>
  <c r="C41" i="18" s="1"/>
  <c r="C46" i="18" s="1"/>
  <c r="J59" i="24"/>
  <c r="J58" i="24" s="1"/>
  <c r="J61" i="24" s="1"/>
  <c r="J60" i="24" s="1"/>
  <c r="J86" i="18"/>
  <c r="J89" i="18" s="1"/>
  <c r="J88" i="18" s="1"/>
  <c r="K38" i="18"/>
  <c r="K41" i="18" s="1"/>
  <c r="K31" i="24"/>
  <c r="K30" i="24" s="1"/>
  <c r="K33" i="24" s="1"/>
  <c r="K32" i="24" s="1"/>
  <c r="B38" i="18"/>
  <c r="B41" i="18" s="1"/>
  <c r="B43" i="18" s="1"/>
  <c r="C91" i="48" s="1"/>
  <c r="B31" i="24"/>
  <c r="B30" i="24" s="1"/>
  <c r="B33" i="24" s="1"/>
  <c r="B32" i="24" s="1"/>
  <c r="H59" i="24"/>
  <c r="H58" i="24" s="1"/>
  <c r="H61" i="24" s="1"/>
  <c r="H60" i="24" s="1"/>
  <c r="H38" i="18"/>
  <c r="H41" i="18" s="1"/>
  <c r="H43" i="18" s="1"/>
  <c r="I91" i="48" s="1"/>
  <c r="I59" i="24"/>
  <c r="I58" i="24" s="1"/>
  <c r="I61" i="24" s="1"/>
  <c r="I60" i="24" s="1"/>
  <c r="H224" i="4"/>
  <c r="H228" i="4"/>
  <c r="H229" i="4" s="1"/>
  <c r="G123" i="18"/>
  <c r="G72" i="49"/>
  <c r="K74" i="48"/>
  <c r="K120" i="48"/>
  <c r="K219" i="4"/>
  <c r="K223" i="4"/>
  <c r="K224" i="4" s="1"/>
  <c r="F148" i="64"/>
  <c r="F144" i="16" s="1"/>
  <c r="N143" i="4"/>
  <c r="B215" i="16"/>
  <c r="F23" i="11"/>
  <c r="B225" i="16" s="1"/>
  <c r="B226" i="16" s="1"/>
  <c r="E30" i="4"/>
  <c r="I24" i="4"/>
  <c r="C195" i="48"/>
  <c r="F21" i="49"/>
  <c r="F22" i="49" s="1"/>
  <c r="F23" i="49" s="1"/>
  <c r="D89" i="49"/>
  <c r="M279" i="4"/>
  <c r="D309" i="64"/>
  <c r="D309" i="16" s="1"/>
  <c r="A38" i="61"/>
  <c r="A52" i="61" s="1"/>
  <c r="A63" i="61" s="1"/>
  <c r="A27" i="61"/>
  <c r="A45" i="61" s="1"/>
  <c r="B53" i="61"/>
  <c r="E38" i="11"/>
  <c r="I21" i="70"/>
  <c r="I22" i="70" s="1"/>
  <c r="I23" i="70" s="1"/>
  <c r="I15" i="70"/>
  <c r="I16" i="70" s="1"/>
  <c r="I18" i="70" s="1"/>
  <c r="J58" i="48" s="1"/>
  <c r="E21" i="70"/>
  <c r="N14" i="70"/>
  <c r="M55" i="70"/>
  <c r="N65" i="70"/>
  <c r="E72" i="70"/>
  <c r="E89" i="70"/>
  <c r="B14" i="4"/>
  <c r="B14" i="61"/>
  <c r="B15" i="49"/>
  <c r="J14" i="4"/>
  <c r="J19" i="4" s="1"/>
  <c r="J20" i="4" s="1"/>
  <c r="J14" i="61"/>
  <c r="F14" i="4"/>
  <c r="F19" i="4" s="1"/>
  <c r="F15" i="49"/>
  <c r="F279" i="4"/>
  <c r="K148" i="64"/>
  <c r="K144" i="16" s="1"/>
  <c r="K145" i="4"/>
  <c r="G14" i="49"/>
  <c r="G16" i="49" s="1"/>
  <c r="G21" i="49"/>
  <c r="D69" i="61"/>
  <c r="D70" i="61" s="1"/>
  <c r="C239" i="64"/>
  <c r="C239" i="16" s="1"/>
  <c r="D237" i="4"/>
  <c r="E25" i="4"/>
  <c r="C24" i="4"/>
  <c r="C29" i="4" s="1"/>
  <c r="C30" i="4" s="1"/>
  <c r="H62" i="24"/>
  <c r="H76" i="24" s="1"/>
  <c r="H91" i="24" s="1"/>
  <c r="H106" i="24" s="1"/>
  <c r="K154" i="4"/>
  <c r="C273" i="48"/>
  <c r="C119" i="48"/>
  <c r="C170" i="48"/>
  <c r="D39" i="18"/>
  <c r="D18" i="94" s="1"/>
  <c r="F25" i="61"/>
  <c r="F26" i="61" s="1"/>
  <c r="F27" i="61" s="1"/>
  <c r="F29" i="61" s="1"/>
  <c r="C249" i="64"/>
  <c r="C249" i="16" s="1"/>
  <c r="E18" i="16"/>
  <c r="N18" i="64"/>
  <c r="B23" i="16"/>
  <c r="N23" i="64"/>
  <c r="C28" i="16"/>
  <c r="N28" i="64"/>
  <c r="N33" i="16"/>
  <c r="B85" i="16"/>
  <c r="N85" i="16" s="1"/>
  <c r="N84" i="64"/>
  <c r="F95" i="16"/>
  <c r="N94" i="64"/>
  <c r="K100" i="16"/>
  <c r="N99" i="64"/>
  <c r="C110" i="16"/>
  <c r="N110" i="16" s="1"/>
  <c r="N109" i="64"/>
  <c r="M149" i="16"/>
  <c r="F149" i="16"/>
  <c r="N153" i="64"/>
  <c r="B189" i="16"/>
  <c r="N193" i="64"/>
  <c r="D278" i="4"/>
  <c r="D279" i="4" s="1"/>
  <c r="D12" i="61"/>
  <c r="D19" i="61" s="1"/>
  <c r="D18" i="61"/>
  <c r="D25" i="61" s="1"/>
  <c r="D26" i="61" s="1"/>
  <c r="D27" i="61" s="1"/>
  <c r="D29" i="61" s="1"/>
  <c r="H12" i="61"/>
  <c r="H19" i="61" s="1"/>
  <c r="H18" i="61"/>
  <c r="I112" i="61"/>
  <c r="I113" i="61" s="1"/>
  <c r="I115" i="61" s="1"/>
  <c r="J237" i="48" s="1"/>
  <c r="I125" i="61"/>
  <c r="I126" i="61" s="1"/>
  <c r="I127" i="61" s="1"/>
  <c r="M112" i="61"/>
  <c r="M113" i="61" s="1"/>
  <c r="M115" i="61" s="1"/>
  <c r="N237" i="48" s="1"/>
  <c r="M125" i="61"/>
  <c r="M118" i="61"/>
  <c r="E224" i="4"/>
  <c r="D254" i="64"/>
  <c r="D254" i="16" s="1"/>
  <c r="D90" i="16"/>
  <c r="N90" i="16" s="1"/>
  <c r="N89" i="64"/>
  <c r="E149" i="16"/>
  <c r="C319" i="64"/>
  <c r="C314" i="16" s="1"/>
  <c r="D317" i="4"/>
  <c r="D31" i="91" s="1"/>
  <c r="K91" i="16"/>
  <c r="K92" i="16" s="1"/>
  <c r="L290" i="16"/>
  <c r="L291" i="16" s="1"/>
  <c r="J230" i="16"/>
  <c r="J231" i="16" s="1"/>
  <c r="J290" i="16"/>
  <c r="J291" i="16" s="1"/>
  <c r="D91" i="16"/>
  <c r="B30" i="16"/>
  <c r="D290" i="16"/>
  <c r="D291" i="16" s="1"/>
  <c r="F29" i="16"/>
  <c r="F30" i="16" s="1"/>
  <c r="F91" i="16"/>
  <c r="F92" i="16" s="1"/>
  <c r="C290" i="16"/>
  <c r="C291" i="16" s="1"/>
  <c r="E290" i="16"/>
  <c r="E291" i="16" s="1"/>
  <c r="M91" i="16"/>
  <c r="M92" i="16" s="1"/>
  <c r="L160" i="16"/>
  <c r="I290" i="16"/>
  <c r="I291" i="16" s="1"/>
  <c r="J29" i="16"/>
  <c r="J30" i="16" s="1"/>
  <c r="J160" i="16"/>
  <c r="D29" i="16"/>
  <c r="D30" i="16" s="1"/>
  <c r="F160" i="16"/>
  <c r="E91" i="16"/>
  <c r="E92" i="16" s="1"/>
  <c r="H91" i="16"/>
  <c r="H92" i="16" s="1"/>
  <c r="H29" i="16"/>
  <c r="H30" i="16" s="1"/>
  <c r="M290" i="16"/>
  <c r="M291" i="16" s="1"/>
  <c r="I230" i="16"/>
  <c r="I231" i="16" s="1"/>
  <c r="I29" i="16"/>
  <c r="I30" i="16" s="1"/>
  <c r="C230" i="16"/>
  <c r="C231" i="16" s="1"/>
  <c r="G230" i="16"/>
  <c r="G231" i="16" s="1"/>
  <c r="D230" i="16"/>
  <c r="D231" i="16" s="1"/>
  <c r="H230" i="16"/>
  <c r="H231" i="16" s="1"/>
  <c r="I91" i="16"/>
  <c r="I92" i="16" s="1"/>
  <c r="C91" i="16"/>
  <c r="C92" i="16" s="1"/>
  <c r="N194" i="16"/>
  <c r="N198" i="64"/>
  <c r="E219" i="16"/>
  <c r="N219" i="16" s="1"/>
  <c r="N219" i="64"/>
  <c r="E224" i="16"/>
  <c r="N224" i="16" s="1"/>
  <c r="N224" i="64"/>
  <c r="F229" i="16"/>
  <c r="N229" i="64"/>
  <c r="N294" i="16"/>
  <c r="N284" i="16"/>
  <c r="M31" i="49"/>
  <c r="J48" i="49"/>
  <c r="H12" i="49"/>
  <c r="G55" i="48"/>
  <c r="O109" i="48"/>
  <c r="N9" i="20"/>
  <c r="C275" i="48"/>
  <c r="C75" i="48"/>
  <c r="C172" i="48"/>
  <c r="M12" i="61"/>
  <c r="M19" i="61" s="1"/>
  <c r="M18" i="61"/>
  <c r="D50" i="61"/>
  <c r="D51" i="61" s="1"/>
  <c r="D52" i="61" s="1"/>
  <c r="D37" i="61"/>
  <c r="D38" i="61" s="1"/>
  <c r="R36" i="61" s="1"/>
  <c r="D43" i="61"/>
  <c r="D44" i="61" s="1"/>
  <c r="D45" i="61" s="1"/>
  <c r="H43" i="61"/>
  <c r="H50" i="61"/>
  <c r="L38" i="61"/>
  <c r="L50" i="61"/>
  <c r="L51" i="61" s="1"/>
  <c r="L52" i="61" s="1"/>
  <c r="G76" i="61"/>
  <c r="G77" i="61" s="1"/>
  <c r="G62" i="61"/>
  <c r="G63" i="61" s="1"/>
  <c r="G65" i="61" s="1"/>
  <c r="H134" i="48" s="1"/>
  <c r="B87" i="61"/>
  <c r="B88" i="61" s="1"/>
  <c r="B90" i="61" s="1"/>
  <c r="C185" i="48" s="1"/>
  <c r="B100" i="61"/>
  <c r="F100" i="61"/>
  <c r="F101" i="61" s="1"/>
  <c r="F102" i="61" s="1"/>
  <c r="J100" i="61"/>
  <c r="J93" i="61"/>
  <c r="J94" i="61" s="1"/>
  <c r="J95" i="61" s="1"/>
  <c r="E112" i="61"/>
  <c r="E113" i="61" s="1"/>
  <c r="E115" i="61" s="1"/>
  <c r="F237" i="48" s="1"/>
  <c r="E118" i="61"/>
  <c r="E119" i="61" s="1"/>
  <c r="E120" i="61" s="1"/>
  <c r="E125" i="61"/>
  <c r="E126" i="61" s="1"/>
  <c r="E127" i="61" s="1"/>
  <c r="B145" i="16"/>
  <c r="E23" i="11"/>
  <c r="B155" i="16" s="1"/>
  <c r="B156" i="16" s="1"/>
  <c r="H14" i="16"/>
  <c r="F76" i="16"/>
  <c r="H76" i="16"/>
  <c r="L215" i="16"/>
  <c r="D145" i="16"/>
  <c r="G76" i="16"/>
  <c r="K145" i="16"/>
  <c r="M275" i="16"/>
  <c r="I76" i="16"/>
  <c r="F145" i="16"/>
  <c r="K76" i="16"/>
  <c r="D76" i="16"/>
  <c r="H215" i="16"/>
  <c r="D212" i="4"/>
  <c r="D33" i="90" s="1"/>
  <c r="K212" i="4"/>
  <c r="H212" i="4"/>
  <c r="H33" i="90" s="1"/>
  <c r="F212" i="4"/>
  <c r="F33" i="90" s="1"/>
  <c r="E212" i="4"/>
  <c r="E33" i="90" s="1"/>
  <c r="N11" i="69"/>
  <c r="N71" i="24"/>
  <c r="H235" i="16"/>
  <c r="H236" i="16" s="1"/>
  <c r="J245" i="16"/>
  <c r="B170" i="16"/>
  <c r="C190" i="16"/>
  <c r="G96" i="16"/>
  <c r="G97" i="16" s="1"/>
  <c r="E245" i="16"/>
  <c r="B260" i="16"/>
  <c r="B265" i="16" s="1"/>
  <c r="M49" i="16"/>
  <c r="D235" i="16"/>
  <c r="D236" i="16" s="1"/>
  <c r="L315" i="16"/>
  <c r="L320" i="16" s="1"/>
  <c r="G101" i="16"/>
  <c r="G102" i="16" s="1"/>
  <c r="K96" i="16"/>
  <c r="K97" i="16" s="1"/>
  <c r="I260" i="16"/>
  <c r="I265" i="16" s="1"/>
  <c r="I266" i="16" s="1"/>
  <c r="F165" i="16"/>
  <c r="F166" i="16" s="1"/>
  <c r="L260" i="16"/>
  <c r="L265" i="16" s="1"/>
  <c r="L266" i="16" s="1"/>
  <c r="K39" i="16"/>
  <c r="H44" i="16"/>
  <c r="H45" i="16" s="1"/>
  <c r="F44" i="16"/>
  <c r="F45" i="16" s="1"/>
  <c r="H34" i="16"/>
  <c r="H35" i="16" s="1"/>
  <c r="G190" i="16"/>
  <c r="G195" i="16" s="1"/>
  <c r="B245" i="16"/>
  <c r="K245" i="16"/>
  <c r="G260" i="16"/>
  <c r="G265" i="16" s="1"/>
  <c r="G266" i="16" s="1"/>
  <c r="C101" i="16"/>
  <c r="C102" i="16" s="1"/>
  <c r="H96" i="16"/>
  <c r="H97" i="16" s="1"/>
  <c r="J106" i="16"/>
  <c r="H245" i="16"/>
  <c r="J170" i="16"/>
  <c r="J180" i="16" s="1"/>
  <c r="J185" i="16" s="1"/>
  <c r="B315" i="16"/>
  <c r="K34" i="16"/>
  <c r="K35" i="16" s="1"/>
  <c r="F49" i="16"/>
  <c r="D49" i="16"/>
  <c r="H165" i="16"/>
  <c r="H166" i="16" s="1"/>
  <c r="F315" i="16"/>
  <c r="F320" i="16" s="1"/>
  <c r="J240" i="16"/>
  <c r="J250" i="16" s="1"/>
  <c r="J255" i="16" s="1"/>
  <c r="F34" i="16"/>
  <c r="F35" i="16" s="1"/>
  <c r="G165" i="16"/>
  <c r="G166" i="16" s="1"/>
  <c r="H315" i="16"/>
  <c r="H320" i="16" s="1"/>
  <c r="H101" i="16"/>
  <c r="H102" i="16" s="1"/>
  <c r="J34" i="16"/>
  <c r="J35" i="16" s="1"/>
  <c r="K190" i="16"/>
  <c r="C106" i="16"/>
  <c r="L96" i="16"/>
  <c r="L97" i="16" s="1"/>
  <c r="F245" i="16"/>
  <c r="B240" i="16"/>
  <c r="B106" i="16"/>
  <c r="M190" i="16"/>
  <c r="F106" i="16"/>
  <c r="E260" i="16"/>
  <c r="E265" i="16" s="1"/>
  <c r="E266" i="16" s="1"/>
  <c r="I49" i="16"/>
  <c r="G49" i="16"/>
  <c r="D34" i="16"/>
  <c r="D35" i="16" s="1"/>
  <c r="B101" i="16"/>
  <c r="B102" i="16" s="1"/>
  <c r="K165" i="16"/>
  <c r="K166" i="16" s="1"/>
  <c r="C235" i="16"/>
  <c r="C236" i="16" s="1"/>
  <c r="L165" i="16"/>
  <c r="I295" i="16"/>
  <c r="I296" i="16" s="1"/>
  <c r="K170" i="16"/>
  <c r="K180" i="16" s="1"/>
  <c r="K185" i="16" s="1"/>
  <c r="J96" i="16"/>
  <c r="J97" i="16" s="1"/>
  <c r="H240" i="16"/>
  <c r="H250" i="16" s="1"/>
  <c r="H255" i="16" s="1"/>
  <c r="H256" i="16" s="1"/>
  <c r="M34" i="16"/>
  <c r="M35" i="16" s="1"/>
  <c r="H49" i="16"/>
  <c r="E39" i="16"/>
  <c r="B44" i="16"/>
  <c r="B45" i="16" s="1"/>
  <c r="B111" i="18"/>
  <c r="B18" i="91" s="1"/>
  <c r="C120" i="16"/>
  <c r="C119" i="64"/>
  <c r="B296" i="16"/>
  <c r="D48" i="49"/>
  <c r="L48" i="49"/>
  <c r="J12" i="49"/>
  <c r="G31" i="49"/>
  <c r="F82" i="49"/>
  <c r="D120" i="48"/>
  <c r="D274" i="48"/>
  <c r="D222" i="48"/>
  <c r="D279" i="48"/>
  <c r="I279" i="48"/>
  <c r="E227" i="48"/>
  <c r="M227" i="48"/>
  <c r="I176" i="48"/>
  <c r="E125" i="48"/>
  <c r="M125" i="48"/>
  <c r="I79" i="48"/>
  <c r="E279" i="48"/>
  <c r="M279" i="48"/>
  <c r="I227" i="48"/>
  <c r="E176" i="48"/>
  <c r="M176" i="48"/>
  <c r="I125" i="48"/>
  <c r="E79" i="48"/>
  <c r="M79" i="48"/>
  <c r="G79" i="48"/>
  <c r="C176" i="48"/>
  <c r="K227" i="48"/>
  <c r="G279" i="48"/>
  <c r="B12" i="61"/>
  <c r="B19" i="61" s="1"/>
  <c r="B20" i="61" s="1"/>
  <c r="F12" i="61"/>
  <c r="F19" i="61" s="1"/>
  <c r="F20" i="61" s="1"/>
  <c r="C23" i="11"/>
  <c r="B24" i="16" s="1"/>
  <c r="D104" i="4"/>
  <c r="G14" i="16"/>
  <c r="D23" i="11"/>
  <c r="B86" i="16" s="1"/>
  <c r="B76" i="16"/>
  <c r="F21" i="11"/>
  <c r="F24" i="11" s="1"/>
  <c r="C169" i="64"/>
  <c r="G169" i="64"/>
  <c r="K169" i="64"/>
  <c r="E169" i="64"/>
  <c r="I169" i="64"/>
  <c r="M169" i="64"/>
  <c r="H169" i="64"/>
  <c r="D169" i="64"/>
  <c r="L169" i="64"/>
  <c r="F169" i="64"/>
  <c r="B169" i="64"/>
  <c r="J169" i="64"/>
  <c r="B264" i="16"/>
  <c r="N264" i="16" s="1"/>
  <c r="N264" i="64"/>
  <c r="H15" i="49"/>
  <c r="H14" i="4"/>
  <c r="H19" i="4" s="1"/>
  <c r="H24" i="4" s="1"/>
  <c r="K18" i="61"/>
  <c r="K12" i="61"/>
  <c r="J37" i="61"/>
  <c r="J38" i="61" s="1"/>
  <c r="J43" i="61"/>
  <c r="J44" i="61" s="1"/>
  <c r="J45" i="61" s="1"/>
  <c r="E62" i="61"/>
  <c r="E63" i="61" s="1"/>
  <c r="E65" i="61" s="1"/>
  <c r="F134" i="48" s="1"/>
  <c r="D100" i="61"/>
  <c r="D93" i="61"/>
  <c r="D94" i="61" s="1"/>
  <c r="D87" i="61"/>
  <c r="D88" i="61" s="1"/>
  <c r="D90" i="61" s="1"/>
  <c r="E185" i="48" s="1"/>
  <c r="H100" i="61"/>
  <c r="D18" i="11"/>
  <c r="E29" i="64"/>
  <c r="I29" i="64"/>
  <c r="C29" i="64"/>
  <c r="G29" i="64"/>
  <c r="K29" i="64"/>
  <c r="J29" i="64"/>
  <c r="F29" i="64"/>
  <c r="M29" i="64"/>
  <c r="L29" i="64"/>
  <c r="B29" i="64"/>
  <c r="D29" i="64"/>
  <c r="H29" i="64"/>
  <c r="E24" i="11"/>
  <c r="E27" i="11" s="1"/>
  <c r="B47" i="14" s="1"/>
  <c r="C47" i="14" s="1"/>
  <c r="D47" i="14" s="1"/>
  <c r="E47" i="14" s="1"/>
  <c r="F47" i="14" s="1"/>
  <c r="G47" i="14" s="1"/>
  <c r="H47" i="14" s="1"/>
  <c r="E75" i="64"/>
  <c r="I75" i="64"/>
  <c r="M75" i="64"/>
  <c r="M76" i="64" s="1"/>
  <c r="C75" i="64"/>
  <c r="G75" i="64"/>
  <c r="K75" i="64"/>
  <c r="J75" i="64"/>
  <c r="F75" i="64"/>
  <c r="B75" i="64"/>
  <c r="B76" i="64" s="1"/>
  <c r="D75" i="64"/>
  <c r="H75" i="64"/>
  <c r="L75" i="64"/>
  <c r="L76" i="64" s="1"/>
  <c r="D65" i="49"/>
  <c r="L65" i="49"/>
  <c r="K48" i="49"/>
  <c r="L17" i="63"/>
  <c r="L25" i="63" s="1"/>
  <c r="J162" i="14" s="1"/>
  <c r="J17" i="93" s="1"/>
  <c r="J24" i="93" s="1"/>
  <c r="N29" i="24"/>
  <c r="B82" i="49"/>
  <c r="O35" i="48"/>
  <c r="O33" i="48"/>
  <c r="O24" i="48"/>
  <c r="O34" i="48"/>
  <c r="H55" i="49"/>
  <c r="B97" i="14"/>
  <c r="C97" i="14" s="1"/>
  <c r="D97" i="14" s="1"/>
  <c r="E97" i="14" s="1"/>
  <c r="F97" i="14" s="1"/>
  <c r="G97" i="14" s="1"/>
  <c r="H97" i="14" s="1"/>
  <c r="I97" i="14" s="1"/>
  <c r="J97" i="14" s="1"/>
  <c r="K97" i="14" s="1"/>
  <c r="L97" i="14" s="1"/>
  <c r="M97" i="14" s="1"/>
  <c r="G30" i="11"/>
  <c r="B37" i="14"/>
  <c r="B17" i="94" s="1"/>
  <c r="J48" i="4"/>
  <c r="K48" i="4" s="1"/>
  <c r="L48" i="4" s="1"/>
  <c r="M48" i="4" s="1"/>
  <c r="J171" i="48"/>
  <c r="J222" i="48"/>
  <c r="J120" i="48"/>
  <c r="J274" i="48"/>
  <c r="J74" i="48"/>
  <c r="D150" i="4"/>
  <c r="D154" i="4"/>
  <c r="E20" i="4"/>
  <c r="G20" i="4"/>
  <c r="N11" i="60"/>
  <c r="I31" i="49"/>
  <c r="G29" i="4"/>
  <c r="G30" i="4" s="1"/>
  <c r="G25" i="4"/>
  <c r="H89" i="49"/>
  <c r="I245" i="48"/>
  <c r="K274" i="48"/>
  <c r="K29" i="48"/>
  <c r="K222" i="48"/>
  <c r="K171" i="48"/>
  <c r="J75" i="48"/>
  <c r="J172" i="48"/>
  <c r="J121" i="48"/>
  <c r="J30" i="48"/>
  <c r="C150" i="4"/>
  <c r="C154" i="4"/>
  <c r="C72" i="49"/>
  <c r="C173" i="64"/>
  <c r="D168" i="4"/>
  <c r="L24" i="4"/>
  <c r="C59" i="24"/>
  <c r="C58" i="24" s="1"/>
  <c r="C61" i="24" s="1"/>
  <c r="C60" i="24" s="1"/>
  <c r="M75" i="18"/>
  <c r="M77" i="18" s="1"/>
  <c r="N139" i="48" s="1"/>
  <c r="H77" i="61"/>
  <c r="G154" i="4"/>
  <c r="G150" i="4"/>
  <c r="E14" i="60"/>
  <c r="F14" i="60" s="1"/>
  <c r="G14" i="60" s="1"/>
  <c r="H14" i="60" s="1"/>
  <c r="I14" i="60" s="1"/>
  <c r="J14" i="60" s="1"/>
  <c r="K14" i="60" s="1"/>
  <c r="L14" i="60" s="1"/>
  <c r="M14" i="60" s="1"/>
  <c r="G283" i="4"/>
  <c r="G279" i="4"/>
  <c r="E150" i="4"/>
  <c r="E154" i="4"/>
  <c r="N43" i="16"/>
  <c r="H30" i="11"/>
  <c r="B144" i="18" s="1"/>
  <c r="B122" i="14"/>
  <c r="C122" i="14" s="1"/>
  <c r="D122" i="14" s="1"/>
  <c r="E122" i="14" s="1"/>
  <c r="F122" i="14" s="1"/>
  <c r="L19" i="63"/>
  <c r="J12" i="14" s="1"/>
  <c r="I72" i="49"/>
  <c r="D21" i="49"/>
  <c r="D22" i="49" s="1"/>
  <c r="F55" i="49"/>
  <c r="E219" i="4"/>
  <c r="N12" i="60"/>
  <c r="M63" i="64"/>
  <c r="N63" i="64" s="1"/>
  <c r="I148" i="64"/>
  <c r="D120" i="16"/>
  <c r="D119" i="64"/>
  <c r="E109" i="4"/>
  <c r="C299" i="64"/>
  <c r="I62" i="14"/>
  <c r="I17" i="89" s="1"/>
  <c r="N21" i="63"/>
  <c r="L62" i="14" s="1"/>
  <c r="L17" i="89" s="1"/>
  <c r="B119" i="14"/>
  <c r="B113" i="14"/>
  <c r="B126" i="14"/>
  <c r="M40" i="61"/>
  <c r="H58" i="16"/>
  <c r="C39" i="11"/>
  <c r="K149" i="16"/>
  <c r="C159" i="16"/>
  <c r="N163" i="64"/>
  <c r="L164" i="16"/>
  <c r="N168" i="64"/>
  <c r="N55" i="48"/>
  <c r="N21" i="48"/>
  <c r="J55" i="48"/>
  <c r="L218" i="4"/>
  <c r="C18" i="61"/>
  <c r="C12" i="61"/>
  <c r="N11" i="61"/>
  <c r="G18" i="61"/>
  <c r="G12" i="61"/>
  <c r="G19" i="61" s="1"/>
  <c r="C125" i="61"/>
  <c r="C112" i="61"/>
  <c r="C113" i="61" s="1"/>
  <c r="K112" i="61"/>
  <c r="K113" i="61" s="1"/>
  <c r="K115" i="61" s="1"/>
  <c r="K125" i="61"/>
  <c r="K118" i="61"/>
  <c r="N154" i="16"/>
  <c r="D10" i="60"/>
  <c r="E14" i="16"/>
  <c r="I14" i="16"/>
  <c r="L76" i="16"/>
  <c r="K275" i="16"/>
  <c r="D275" i="16"/>
  <c r="C145" i="16"/>
  <c r="F14" i="16"/>
  <c r="H275" i="16"/>
  <c r="J76" i="16"/>
  <c r="E17" i="63"/>
  <c r="E25" i="63" s="1"/>
  <c r="K17" i="63"/>
  <c r="P16" i="63"/>
  <c r="I87" i="14"/>
  <c r="I17" i="90" s="1"/>
  <c r="N22" i="63"/>
  <c r="L87" i="14" s="1"/>
  <c r="L17" i="90" s="1"/>
  <c r="L111" i="18"/>
  <c r="L18" i="91" s="1"/>
  <c r="N19" i="63"/>
  <c r="L12" i="14" s="1"/>
  <c r="I12" i="14"/>
  <c r="G19" i="63"/>
  <c r="E12" i="14" s="1"/>
  <c r="B63" i="14"/>
  <c r="B64" i="14" s="1"/>
  <c r="B66" i="14" s="1"/>
  <c r="C131" i="48" s="1"/>
  <c r="B69" i="14"/>
  <c r="G23" i="63"/>
  <c r="E112" i="14" s="1"/>
  <c r="E17" i="91" s="1"/>
  <c r="N23" i="63"/>
  <c r="L112" i="14" s="1"/>
  <c r="L17" i="91" s="1"/>
  <c r="I112" i="14"/>
  <c r="I17" i="91" s="1"/>
  <c r="B13" i="64"/>
  <c r="B68" i="64" s="1"/>
  <c r="L22" i="70"/>
  <c r="L23" i="70" s="1"/>
  <c r="B27" i="14"/>
  <c r="B28" i="14" s="1"/>
  <c r="B30" i="14" s="1"/>
  <c r="C47" i="48" s="1"/>
  <c r="B13" i="14"/>
  <c r="B14" i="14" s="1"/>
  <c r="B19" i="14"/>
  <c r="B20" i="14" s="1"/>
  <c r="B21" i="14" s="1"/>
  <c r="I37" i="14"/>
  <c r="I17" i="94" s="1"/>
  <c r="N20" i="63"/>
  <c r="L37" i="14" s="1"/>
  <c r="L17" i="94" s="1"/>
  <c r="B94" i="14"/>
  <c r="B95" i="14" s="1"/>
  <c r="B101" i="14"/>
  <c r="M260" i="16"/>
  <c r="M265" i="16" s="1"/>
  <c r="M266" i="16" s="1"/>
  <c r="I39" i="16"/>
  <c r="L34" i="16"/>
  <c r="L35" i="16" s="1"/>
  <c r="C315" i="16"/>
  <c r="G315" i="16"/>
  <c r="G320" i="16" s="1"/>
  <c r="D260" i="16"/>
  <c r="J315" i="16"/>
  <c r="J320" i="16" s="1"/>
  <c r="I245" i="16"/>
  <c r="L295" i="16"/>
  <c r="L296" i="16" s="1"/>
  <c r="I315" i="16"/>
  <c r="I320" i="16" s="1"/>
  <c r="C44" i="16"/>
  <c r="C45" i="16" s="1"/>
  <c r="G170" i="16"/>
  <c r="G180" i="16" s="1"/>
  <c r="F295" i="16"/>
  <c r="F296" i="16" s="1"/>
  <c r="F170" i="16"/>
  <c r="F180" i="16" s="1"/>
  <c r="K20" i="24"/>
  <c r="K34" i="24" s="1"/>
  <c r="E20" i="24"/>
  <c r="H17" i="63"/>
  <c r="H25" i="63" s="1"/>
  <c r="F162" i="14" s="1"/>
  <c r="F17" i="93" s="1"/>
  <c r="F24" i="93" s="1"/>
  <c r="O17" i="63"/>
  <c r="O25" i="63" s="1"/>
  <c r="M162" i="14" s="1"/>
  <c r="M17" i="93" s="1"/>
  <c r="M24" i="93" s="1"/>
  <c r="B214" i="64"/>
  <c r="K55" i="48"/>
  <c r="L55" i="48"/>
  <c r="H55" i="48"/>
  <c r="D55" i="48"/>
  <c r="C55" i="48"/>
  <c r="M55" i="48"/>
  <c r="I55" i="48"/>
  <c r="E55" i="48"/>
  <c r="N43" i="24"/>
  <c r="N57" i="24"/>
  <c r="K82" i="49"/>
  <c r="N79" i="48"/>
  <c r="J79" i="48"/>
  <c r="F79" i="48"/>
  <c r="N125" i="48"/>
  <c r="J125" i="48"/>
  <c r="F125" i="48"/>
  <c r="N176" i="48"/>
  <c r="J176" i="48"/>
  <c r="F176" i="48"/>
  <c r="N227" i="48"/>
  <c r="J227" i="48"/>
  <c r="F227" i="48"/>
  <c r="N279" i="48"/>
  <c r="J279" i="48"/>
  <c r="F279" i="48"/>
  <c r="L79" i="48"/>
  <c r="H79" i="48"/>
  <c r="D79" i="48"/>
  <c r="L125" i="48"/>
  <c r="H125" i="48"/>
  <c r="D125" i="48"/>
  <c r="L176" i="48"/>
  <c r="H176" i="48"/>
  <c r="D176" i="48"/>
  <c r="L227" i="48"/>
  <c r="H227" i="48"/>
  <c r="D227" i="48"/>
  <c r="L279" i="48"/>
  <c r="H279" i="48"/>
  <c r="F76" i="24"/>
  <c r="M294" i="4"/>
  <c r="M298" i="4"/>
  <c r="L22" i="49"/>
  <c r="L23" i="49" s="1"/>
  <c r="G122" i="14"/>
  <c r="E35" i="4"/>
  <c r="E39" i="4"/>
  <c r="K63" i="24"/>
  <c r="K77" i="24" s="1"/>
  <c r="K92" i="24" s="1"/>
  <c r="K107" i="24" s="1"/>
  <c r="G55" i="49"/>
  <c r="F14" i="49"/>
  <c r="L13" i="49"/>
  <c r="L14" i="49" s="1"/>
  <c r="L16" i="49" s="1"/>
  <c r="K38" i="49"/>
  <c r="M86" i="18"/>
  <c r="E59" i="24"/>
  <c r="E58" i="24" s="1"/>
  <c r="E61" i="24" s="1"/>
  <c r="L279" i="4"/>
  <c r="K22" i="70"/>
  <c r="N279" i="16"/>
  <c r="N234" i="16"/>
  <c r="I275" i="16"/>
  <c r="B80" i="16"/>
  <c r="B149" i="16"/>
  <c r="B91" i="18" l="1"/>
  <c r="C188" i="48" s="1"/>
  <c r="E297" i="4"/>
  <c r="E29" i="91" s="1"/>
  <c r="M67" i="18"/>
  <c r="N137" i="48" s="1"/>
  <c r="E22" i="48"/>
  <c r="B94" i="18"/>
  <c r="G112" i="18"/>
  <c r="C125" i="18"/>
  <c r="D242" i="48" s="1"/>
  <c r="E67" i="18"/>
  <c r="I99" i="18"/>
  <c r="I101" i="18" s="1"/>
  <c r="M64" i="18"/>
  <c r="I91" i="18"/>
  <c r="J188" i="48" s="1"/>
  <c r="E70" i="18"/>
  <c r="L70" i="18"/>
  <c r="B88" i="18"/>
  <c r="E64" i="18"/>
  <c r="C94" i="18"/>
  <c r="I88" i="18"/>
  <c r="H94" i="18"/>
  <c r="G67" i="18"/>
  <c r="H137" i="48" s="1"/>
  <c r="H91" i="18"/>
  <c r="I188" i="48" s="1"/>
  <c r="B75" i="18"/>
  <c r="B77" i="18" s="1"/>
  <c r="C139" i="48" s="1"/>
  <c r="B67" i="18"/>
  <c r="C137" i="48" s="1"/>
  <c r="C88" i="18"/>
  <c r="C91" i="18"/>
  <c r="J20" i="63"/>
  <c r="H37" i="14" s="1"/>
  <c r="H17" i="94" s="1"/>
  <c r="G118" i="18"/>
  <c r="H112" i="18"/>
  <c r="H88" i="18"/>
  <c r="E94" i="18"/>
  <c r="G70" i="18"/>
  <c r="G75" i="18"/>
  <c r="G77" i="18" s="1"/>
  <c r="H139" i="48" s="1"/>
  <c r="C90" i="4"/>
  <c r="C91" i="4" s="1"/>
  <c r="D323" i="48"/>
  <c r="J118" i="18"/>
  <c r="I70" i="18"/>
  <c r="H67" i="18"/>
  <c r="I137" i="48" s="1"/>
  <c r="E90" i="4"/>
  <c r="E95" i="4" s="1"/>
  <c r="E96" i="4" s="1"/>
  <c r="J115" i="18"/>
  <c r="K240" i="48" s="1"/>
  <c r="I64" i="18"/>
  <c r="N18" i="94"/>
  <c r="B70" i="18"/>
  <c r="H64" i="18"/>
  <c r="J112" i="18"/>
  <c r="E30" i="11"/>
  <c r="E33" i="11" s="1"/>
  <c r="I67" i="18"/>
  <c r="J137" i="48" s="1"/>
  <c r="H108" i="24"/>
  <c r="I345" i="48" s="1"/>
  <c r="H75" i="18"/>
  <c r="H77" i="18" s="1"/>
  <c r="I139" i="48" s="1"/>
  <c r="J188" i="64"/>
  <c r="J184" i="16" s="1"/>
  <c r="J186" i="16" s="1"/>
  <c r="J31" i="90"/>
  <c r="J31" i="89"/>
  <c r="K13" i="91"/>
  <c r="K86" i="49"/>
  <c r="K84" i="49"/>
  <c r="K83" i="49" s="1"/>
  <c r="D29" i="90"/>
  <c r="D29" i="89"/>
  <c r="G13" i="94"/>
  <c r="G35" i="49"/>
  <c r="G33" i="49"/>
  <c r="G32" i="49" s="1"/>
  <c r="J13" i="89"/>
  <c r="J52" i="49"/>
  <c r="K142" i="48" s="1"/>
  <c r="J50" i="49"/>
  <c r="J49" i="49" s="1"/>
  <c r="E84" i="49"/>
  <c r="E83" i="49" s="1"/>
  <c r="E86" i="49"/>
  <c r="F245" i="48" s="1"/>
  <c r="B35" i="49"/>
  <c r="B33" i="49"/>
  <c r="B32" i="49" s="1"/>
  <c r="B13" i="90"/>
  <c r="B69" i="49"/>
  <c r="C193" i="48" s="1"/>
  <c r="B67" i="49"/>
  <c r="B66" i="49" s="1"/>
  <c r="C13" i="91"/>
  <c r="C86" i="49"/>
  <c r="D245" i="48" s="1"/>
  <c r="C84" i="49"/>
  <c r="C83" i="49" s="1"/>
  <c r="G214" i="64"/>
  <c r="G214" i="16" s="1"/>
  <c r="G216" i="16" s="1"/>
  <c r="G33" i="90"/>
  <c r="H35" i="49"/>
  <c r="I96" i="48" s="1"/>
  <c r="H33" i="49"/>
  <c r="H32" i="49" s="1"/>
  <c r="B322" i="4"/>
  <c r="B33" i="91"/>
  <c r="L40" i="70"/>
  <c r="L39" i="70" s="1"/>
  <c r="G57" i="49"/>
  <c r="G56" i="49" s="1"/>
  <c r="D299" i="64"/>
  <c r="K40" i="49"/>
  <c r="K39" i="49" s="1"/>
  <c r="G20" i="63"/>
  <c r="E37" i="14" s="1"/>
  <c r="E17" i="94" s="1"/>
  <c r="J22" i="63"/>
  <c r="H87" i="14" s="1"/>
  <c r="H17" i="90" s="1"/>
  <c r="E91" i="18"/>
  <c r="F188" i="48" s="1"/>
  <c r="K13" i="89"/>
  <c r="K52" i="49"/>
  <c r="L142" i="48" s="1"/>
  <c r="K50" i="49"/>
  <c r="K49" i="49" s="1"/>
  <c r="L13" i="89"/>
  <c r="L50" i="49"/>
  <c r="L49" i="49" s="1"/>
  <c r="L52" i="49"/>
  <c r="M142" i="48" s="1"/>
  <c r="J23" i="63"/>
  <c r="H112" i="14" s="1"/>
  <c r="H17" i="91" s="1"/>
  <c r="H24" i="91" s="1"/>
  <c r="J19" i="63"/>
  <c r="H12" i="14" s="1"/>
  <c r="H26" i="14" s="1"/>
  <c r="H27" i="14" s="1"/>
  <c r="H28" i="14" s="1"/>
  <c r="H30" i="14" s="1"/>
  <c r="I47" i="48" s="1"/>
  <c r="B169" i="18"/>
  <c r="C144" i="18"/>
  <c r="E99" i="18"/>
  <c r="E101" i="18" s="1"/>
  <c r="F190" i="48" s="1"/>
  <c r="H123" i="18"/>
  <c r="C74" i="49"/>
  <c r="C73" i="49" s="1"/>
  <c r="H91" i="49"/>
  <c r="H90" i="49" s="1"/>
  <c r="I13" i="94"/>
  <c r="I35" i="49"/>
  <c r="J96" i="48" s="1"/>
  <c r="I33" i="49"/>
  <c r="I32" i="49" s="1"/>
  <c r="H115" i="18"/>
  <c r="I240" i="48" s="1"/>
  <c r="H57" i="49"/>
  <c r="H56" i="49" s="1"/>
  <c r="B86" i="49"/>
  <c r="B84" i="49"/>
  <c r="B83" i="49" s="1"/>
  <c r="L13" i="90"/>
  <c r="L69" i="49"/>
  <c r="M193" i="48" s="1"/>
  <c r="L67" i="49"/>
  <c r="L66" i="49" s="1"/>
  <c r="F13" i="91"/>
  <c r="F84" i="49"/>
  <c r="F83" i="49" s="1"/>
  <c r="F86" i="49"/>
  <c r="G245" i="48" s="1"/>
  <c r="D13" i="89"/>
  <c r="D52" i="49"/>
  <c r="E142" i="48" s="1"/>
  <c r="D50" i="49"/>
  <c r="D49" i="49" s="1"/>
  <c r="O18" i="91"/>
  <c r="N18" i="91"/>
  <c r="E74" i="70"/>
  <c r="E73" i="70" s="1"/>
  <c r="I13" i="91"/>
  <c r="I84" i="49"/>
  <c r="I83" i="49" s="1"/>
  <c r="I86" i="49"/>
  <c r="J245" i="48" s="1"/>
  <c r="H69" i="49"/>
  <c r="I193" i="48" s="1"/>
  <c r="H67" i="49"/>
  <c r="H66" i="49" s="1"/>
  <c r="E40" i="61"/>
  <c r="F88" i="48" s="1"/>
  <c r="S36" i="61"/>
  <c r="K74" i="49"/>
  <c r="K73" i="49" s="1"/>
  <c r="I214" i="64"/>
  <c r="I214" i="16" s="1"/>
  <c r="I216" i="16" s="1"/>
  <c r="I33" i="90"/>
  <c r="E13" i="89"/>
  <c r="E52" i="49"/>
  <c r="F142" i="48" s="1"/>
  <c r="E50" i="49"/>
  <c r="E49" i="49" s="1"/>
  <c r="B13" i="89"/>
  <c r="B50" i="49"/>
  <c r="B49" i="49" s="1"/>
  <c r="B52" i="49"/>
  <c r="E40" i="70"/>
  <c r="E39" i="70" s="1"/>
  <c r="G40" i="70"/>
  <c r="G39" i="70" s="1"/>
  <c r="K40" i="70"/>
  <c r="K39" i="70" s="1"/>
  <c r="H57" i="70"/>
  <c r="H56" i="70" s="1"/>
  <c r="B91" i="70"/>
  <c r="B90" i="70" s="1"/>
  <c r="L144" i="14"/>
  <c r="L145" i="14" s="1"/>
  <c r="L146" i="14" s="1"/>
  <c r="L17" i="92"/>
  <c r="L24" i="92" s="1"/>
  <c r="I57" i="70"/>
  <c r="I56" i="70" s="1"/>
  <c r="J57" i="70"/>
  <c r="J56" i="70" s="1"/>
  <c r="M74" i="70"/>
  <c r="M73" i="70" s="1"/>
  <c r="H40" i="70"/>
  <c r="H39" i="70" s="1"/>
  <c r="C40" i="49"/>
  <c r="C39" i="49" s="1"/>
  <c r="G74" i="70"/>
  <c r="G73" i="70" s="1"/>
  <c r="C40" i="70"/>
  <c r="C39" i="70" s="1"/>
  <c r="E74" i="49"/>
  <c r="E73" i="49" s="1"/>
  <c r="D13" i="90"/>
  <c r="D67" i="49"/>
  <c r="D66" i="49" s="1"/>
  <c r="D69" i="49"/>
  <c r="E193" i="48" s="1"/>
  <c r="D138" i="4"/>
  <c r="D28" i="94"/>
  <c r="D32" i="94" s="1"/>
  <c r="D173" i="4"/>
  <c r="D207" i="4" s="1"/>
  <c r="I74" i="70"/>
  <c r="I73" i="70" s="1"/>
  <c r="D370" i="48"/>
  <c r="D73" i="48"/>
  <c r="I188" i="64"/>
  <c r="I184" i="16" s="1"/>
  <c r="I186" i="16" s="1"/>
  <c r="I31" i="90"/>
  <c r="I31" i="89"/>
  <c r="M40" i="70"/>
  <c r="M39" i="70" s="1"/>
  <c r="E40" i="49"/>
  <c r="E39" i="49" s="1"/>
  <c r="H74" i="70"/>
  <c r="H73" i="70" s="1"/>
  <c r="C30" i="90"/>
  <c r="C30" i="89"/>
  <c r="C178" i="64"/>
  <c r="C174" i="16" s="1"/>
  <c r="J40" i="61"/>
  <c r="K88" i="48" s="1"/>
  <c r="X36" i="61"/>
  <c r="K214" i="4"/>
  <c r="K33" i="90"/>
  <c r="L40" i="61"/>
  <c r="M88" i="48" s="1"/>
  <c r="Z36" i="61"/>
  <c r="M13" i="94"/>
  <c r="M35" i="49"/>
  <c r="N96" i="48" s="1"/>
  <c r="M33" i="49"/>
  <c r="M32" i="49" s="1"/>
  <c r="M57" i="70"/>
  <c r="M56" i="70" s="1"/>
  <c r="D91" i="49"/>
  <c r="D90" i="49" s="1"/>
  <c r="D86" i="18"/>
  <c r="D89" i="18" s="1"/>
  <c r="D88" i="18" s="1"/>
  <c r="D18" i="90"/>
  <c r="N18" i="90" s="1"/>
  <c r="B40" i="61"/>
  <c r="P36" i="61"/>
  <c r="C13" i="89"/>
  <c r="C52" i="49"/>
  <c r="D142" i="48" s="1"/>
  <c r="C50" i="49"/>
  <c r="C49" i="49" s="1"/>
  <c r="L86" i="49"/>
  <c r="M245" i="48" s="1"/>
  <c r="L84" i="49"/>
  <c r="L83" i="49" s="1"/>
  <c r="I40" i="61"/>
  <c r="J88" i="48" s="1"/>
  <c r="W36" i="61"/>
  <c r="E188" i="4"/>
  <c r="D31" i="90"/>
  <c r="D31" i="89"/>
  <c r="B274" i="4"/>
  <c r="I13" i="89"/>
  <c r="I52" i="49"/>
  <c r="J142" i="48" s="1"/>
  <c r="I50" i="49"/>
  <c r="I49" i="49" s="1"/>
  <c r="I40" i="70"/>
  <c r="I39" i="70" s="1"/>
  <c r="B40" i="70"/>
  <c r="B39" i="70" s="1"/>
  <c r="H186" i="16"/>
  <c r="J40" i="70"/>
  <c r="J39" i="70" s="1"/>
  <c r="L74" i="70"/>
  <c r="L73" i="70" s="1"/>
  <c r="B57" i="70"/>
  <c r="B56" i="70" s="1"/>
  <c r="L214" i="64"/>
  <c r="L214" i="16" s="1"/>
  <c r="L216" i="16" s="1"/>
  <c r="L33" i="90"/>
  <c r="B74" i="70"/>
  <c r="B73" i="70" s="1"/>
  <c r="M57" i="49"/>
  <c r="M56" i="49" s="1"/>
  <c r="G57" i="70"/>
  <c r="G56" i="70" s="1"/>
  <c r="D40" i="70"/>
  <c r="D39" i="70" s="1"/>
  <c r="L40" i="49"/>
  <c r="L39" i="49" s="1"/>
  <c r="F40" i="70"/>
  <c r="F39" i="70" s="1"/>
  <c r="J91" i="49"/>
  <c r="J90" i="49" s="1"/>
  <c r="K74" i="70"/>
  <c r="K73" i="70" s="1"/>
  <c r="J40" i="49"/>
  <c r="J39" i="49" s="1"/>
  <c r="C147" i="14"/>
  <c r="D147" i="14" s="1"/>
  <c r="E147" i="14" s="1"/>
  <c r="F147" i="14" s="1"/>
  <c r="G147" i="14" s="1"/>
  <c r="H147" i="14" s="1"/>
  <c r="I147" i="14" s="1"/>
  <c r="B148" i="14"/>
  <c r="O18" i="94"/>
  <c r="C67" i="48"/>
  <c r="C32" i="94"/>
  <c r="I74" i="49"/>
  <c r="I73" i="49" s="1"/>
  <c r="F40" i="61"/>
  <c r="G88" i="48" s="1"/>
  <c r="T36" i="61"/>
  <c r="D57" i="70"/>
  <c r="D56" i="70" s="1"/>
  <c r="F74" i="70"/>
  <c r="F73" i="70" s="1"/>
  <c r="B34" i="90"/>
  <c r="D170" i="48"/>
  <c r="G21" i="63"/>
  <c r="E62" i="14" s="1"/>
  <c r="E17" i="89" s="1"/>
  <c r="F57" i="49"/>
  <c r="F56" i="49" s="1"/>
  <c r="G74" i="49"/>
  <c r="G73" i="49" s="1"/>
  <c r="D13" i="94"/>
  <c r="D35" i="49"/>
  <c r="E96" i="48" s="1"/>
  <c r="D33" i="49"/>
  <c r="D32" i="49" s="1"/>
  <c r="F35" i="49"/>
  <c r="F33" i="49"/>
  <c r="F32" i="49" s="1"/>
  <c r="J69" i="49"/>
  <c r="K193" i="48" s="1"/>
  <c r="J67" i="49"/>
  <c r="J66" i="49" s="1"/>
  <c r="B145" i="18"/>
  <c r="M214" i="4"/>
  <c r="M33" i="90"/>
  <c r="C214" i="4"/>
  <c r="C33" i="90"/>
  <c r="J214" i="64"/>
  <c r="J214" i="16" s="1"/>
  <c r="J216" i="16" s="1"/>
  <c r="J33" i="90"/>
  <c r="C74" i="70"/>
  <c r="C73" i="70" s="1"/>
  <c r="C57" i="70"/>
  <c r="C56" i="70" s="1"/>
  <c r="D74" i="70"/>
  <c r="D73" i="70" s="1"/>
  <c r="L57" i="70"/>
  <c r="L56" i="70" s="1"/>
  <c r="E57" i="70"/>
  <c r="E56" i="70" s="1"/>
  <c r="F57" i="70"/>
  <c r="F56" i="70" s="1"/>
  <c r="K57" i="70"/>
  <c r="K56" i="70" s="1"/>
  <c r="M91" i="49"/>
  <c r="M90" i="49" s="1"/>
  <c r="M74" i="49"/>
  <c r="M73" i="49" s="1"/>
  <c r="J74" i="70"/>
  <c r="J73" i="70" s="1"/>
  <c r="C172" i="14"/>
  <c r="D172" i="14" s="1"/>
  <c r="E172" i="14" s="1"/>
  <c r="F172" i="14" s="1"/>
  <c r="G172" i="14" s="1"/>
  <c r="H172" i="14" s="1"/>
  <c r="I172" i="14" s="1"/>
  <c r="B173" i="14"/>
  <c r="D25" i="85"/>
  <c r="C26" i="85"/>
  <c r="D67" i="48" s="1"/>
  <c r="M91" i="70"/>
  <c r="M90" i="70" s="1"/>
  <c r="L91" i="70"/>
  <c r="L90" i="70" s="1"/>
  <c r="K91" i="70"/>
  <c r="K90" i="70" s="1"/>
  <c r="J91" i="70"/>
  <c r="J90" i="70" s="1"/>
  <c r="I91" i="70"/>
  <c r="I90" i="70" s="1"/>
  <c r="H91" i="70"/>
  <c r="H90" i="70" s="1"/>
  <c r="G91" i="70"/>
  <c r="G90" i="70" s="1"/>
  <c r="F91" i="70"/>
  <c r="F90" i="70" s="1"/>
  <c r="E91" i="70"/>
  <c r="E90" i="70" s="1"/>
  <c r="D91" i="70"/>
  <c r="D90" i="70" s="1"/>
  <c r="C91" i="70"/>
  <c r="C90" i="70" s="1"/>
  <c r="L89" i="49"/>
  <c r="L13" i="91"/>
  <c r="F38" i="49"/>
  <c r="F13" i="94"/>
  <c r="J13" i="90"/>
  <c r="O14" i="91"/>
  <c r="N14" i="91"/>
  <c r="N14" i="94"/>
  <c r="E89" i="49"/>
  <c r="E13" i="91"/>
  <c r="H13" i="90"/>
  <c r="B89" i="49"/>
  <c r="B13" i="91"/>
  <c r="B38" i="49"/>
  <c r="B13" i="94"/>
  <c r="H13" i="94"/>
  <c r="O14" i="94"/>
  <c r="O14" i="90"/>
  <c r="N14" i="90"/>
  <c r="C430" i="16"/>
  <c r="C431" i="16" s="1"/>
  <c r="C426" i="16"/>
  <c r="M430" i="16"/>
  <c r="M431" i="16" s="1"/>
  <c r="M426" i="16"/>
  <c r="B410" i="16"/>
  <c r="B406" i="16"/>
  <c r="K430" i="16"/>
  <c r="K431" i="16" s="1"/>
  <c r="K426" i="16"/>
  <c r="E430" i="16"/>
  <c r="E431" i="16" s="1"/>
  <c r="E426" i="16"/>
  <c r="C410" i="16"/>
  <c r="C406" i="16"/>
  <c r="H430" i="16"/>
  <c r="H431" i="16" s="1"/>
  <c r="H426" i="16"/>
  <c r="G290" i="64"/>
  <c r="G291" i="64" s="1"/>
  <c r="M410" i="64"/>
  <c r="M411" i="64" s="1"/>
  <c r="I410" i="64"/>
  <c r="I411" i="64" s="1"/>
  <c r="E410" i="64"/>
  <c r="E411" i="64" s="1"/>
  <c r="J410" i="64"/>
  <c r="J411" i="64" s="1"/>
  <c r="F410" i="64"/>
  <c r="F411" i="64" s="1"/>
  <c r="B410" i="64"/>
  <c r="H410" i="64"/>
  <c r="H411" i="64" s="1"/>
  <c r="D410" i="64"/>
  <c r="D411" i="64" s="1"/>
  <c r="G410" i="64"/>
  <c r="G411" i="64" s="1"/>
  <c r="L410" i="64"/>
  <c r="L411" i="64" s="1"/>
  <c r="K410" i="64"/>
  <c r="K411" i="64" s="1"/>
  <c r="C410" i="64"/>
  <c r="C411" i="64" s="1"/>
  <c r="L395" i="16"/>
  <c r="L396" i="16" s="1"/>
  <c r="H395" i="16"/>
  <c r="H396" i="16" s="1"/>
  <c r="D395" i="16"/>
  <c r="D396" i="16" s="1"/>
  <c r="K395" i="16"/>
  <c r="K396" i="16" s="1"/>
  <c r="C395" i="16"/>
  <c r="C396" i="16" s="1"/>
  <c r="M395" i="16"/>
  <c r="M396" i="16" s="1"/>
  <c r="I395" i="16"/>
  <c r="I396" i="16" s="1"/>
  <c r="E395" i="16"/>
  <c r="E396" i="16" s="1"/>
  <c r="G395" i="16"/>
  <c r="G396" i="16" s="1"/>
  <c r="J395" i="16"/>
  <c r="J396" i="16" s="1"/>
  <c r="F395" i="16"/>
  <c r="F396" i="16" s="1"/>
  <c r="B395" i="16"/>
  <c r="B396" i="16" s="1"/>
  <c r="F430" i="16"/>
  <c r="F431" i="16" s="1"/>
  <c r="F426" i="16"/>
  <c r="B430" i="16"/>
  <c r="B431" i="16" s="1"/>
  <c r="B426" i="16"/>
  <c r="G430" i="16"/>
  <c r="G431" i="16" s="1"/>
  <c r="G426" i="16"/>
  <c r="D430" i="16"/>
  <c r="D431" i="16" s="1"/>
  <c r="D426" i="16"/>
  <c r="N391" i="16"/>
  <c r="J430" i="16"/>
  <c r="J431" i="16" s="1"/>
  <c r="J426" i="16"/>
  <c r="I430" i="16"/>
  <c r="I431" i="16" s="1"/>
  <c r="I426" i="16"/>
  <c r="L430" i="16"/>
  <c r="L431" i="16" s="1"/>
  <c r="L426" i="16"/>
  <c r="N401" i="16"/>
  <c r="E17" i="24"/>
  <c r="E16" i="24" s="1"/>
  <c r="E19" i="24" s="1"/>
  <c r="O18" i="89"/>
  <c r="K17" i="24"/>
  <c r="K16" i="24" s="1"/>
  <c r="K19" i="24" s="1"/>
  <c r="K18" i="24" s="1"/>
  <c r="I55" i="49"/>
  <c r="J55" i="49"/>
  <c r="O14" i="89"/>
  <c r="N14" i="89"/>
  <c r="E55" i="49"/>
  <c r="K161" i="16"/>
  <c r="M19" i="63"/>
  <c r="K12" i="14" s="1"/>
  <c r="K19" i="14" s="1"/>
  <c r="E19" i="63"/>
  <c r="L151" i="14"/>
  <c r="L152" i="14" s="1"/>
  <c r="L153" i="14" s="1"/>
  <c r="L155" i="14" s="1"/>
  <c r="M13" i="48" s="1"/>
  <c r="L138" i="14"/>
  <c r="L139" i="14" s="1"/>
  <c r="L141" i="14" s="1"/>
  <c r="M11" i="48" s="1"/>
  <c r="L163" i="14"/>
  <c r="L164" i="14" s="1"/>
  <c r="L166" i="14" s="1"/>
  <c r="L169" i="14"/>
  <c r="L170" i="14" s="1"/>
  <c r="L171" i="14" s="1"/>
  <c r="L176" i="14"/>
  <c r="L177" i="14" s="1"/>
  <c r="L178" i="14" s="1"/>
  <c r="L180" i="14" s="1"/>
  <c r="M338" i="48" s="1"/>
  <c r="M176" i="14"/>
  <c r="M177" i="14" s="1"/>
  <c r="M178" i="14" s="1"/>
  <c r="M180" i="14" s="1"/>
  <c r="N338" i="48" s="1"/>
  <c r="M169" i="14"/>
  <c r="M170" i="14" s="1"/>
  <c r="M171" i="14" s="1"/>
  <c r="M163" i="14"/>
  <c r="M164" i="14" s="1"/>
  <c r="M166" i="14" s="1"/>
  <c r="C162" i="14"/>
  <c r="C17" i="93" s="1"/>
  <c r="F24" i="63"/>
  <c r="D137" i="14" s="1"/>
  <c r="F25" i="63"/>
  <c r="D162" i="14" s="1"/>
  <c r="D17" i="93" s="1"/>
  <c r="D24" i="93" s="1"/>
  <c r="J24" i="63"/>
  <c r="H137" i="14" s="1"/>
  <c r="J25" i="63"/>
  <c r="H162" i="14" s="1"/>
  <c r="H17" i="93" s="1"/>
  <c r="H24" i="93" s="1"/>
  <c r="F169" i="14"/>
  <c r="F170" i="14" s="1"/>
  <c r="F171" i="14" s="1"/>
  <c r="F163" i="14"/>
  <c r="F164" i="14" s="1"/>
  <c r="F166" i="14" s="1"/>
  <c r="F176" i="14"/>
  <c r="F177" i="14" s="1"/>
  <c r="F178" i="14" s="1"/>
  <c r="F180" i="14" s="1"/>
  <c r="G338" i="48" s="1"/>
  <c r="I24" i="63"/>
  <c r="G137" i="14" s="1"/>
  <c r="I25" i="63"/>
  <c r="G162" i="14" s="1"/>
  <c r="G17" i="93" s="1"/>
  <c r="G24" i="93" s="1"/>
  <c r="I23" i="63"/>
  <c r="G112" i="14" s="1"/>
  <c r="M24" i="63"/>
  <c r="K137" i="14" s="1"/>
  <c r="M25" i="63"/>
  <c r="K162" i="14" s="1"/>
  <c r="K17" i="93" s="1"/>
  <c r="K24" i="93" s="1"/>
  <c r="M20" i="63"/>
  <c r="K37" i="14" s="1"/>
  <c r="M22" i="63"/>
  <c r="K87" i="14" s="1"/>
  <c r="J169" i="14"/>
  <c r="J170" i="14" s="1"/>
  <c r="J171" i="14" s="1"/>
  <c r="J163" i="14"/>
  <c r="J164" i="14" s="1"/>
  <c r="J166" i="14" s="1"/>
  <c r="J176" i="14"/>
  <c r="J177" i="14" s="1"/>
  <c r="J178" i="14" s="1"/>
  <c r="J180" i="14" s="1"/>
  <c r="K338" i="48" s="1"/>
  <c r="G24" i="63"/>
  <c r="E137" i="14" s="1"/>
  <c r="G25" i="63"/>
  <c r="E162" i="14" s="1"/>
  <c r="E17" i="93" s="1"/>
  <c r="E24" i="93" s="1"/>
  <c r="C345" i="48"/>
  <c r="M50" i="48"/>
  <c r="C46" i="24"/>
  <c r="H22" i="63"/>
  <c r="F87" i="14" s="1"/>
  <c r="H24" i="63"/>
  <c r="F137" i="14" s="1"/>
  <c r="F17" i="92" s="1"/>
  <c r="F24" i="92" s="1"/>
  <c r="L20" i="63"/>
  <c r="J37" i="14" s="1"/>
  <c r="L24" i="63"/>
  <c r="J137" i="14" s="1"/>
  <c r="J17" i="92" s="1"/>
  <c r="J24" i="92" s="1"/>
  <c r="E21" i="63"/>
  <c r="C62" i="14" s="1"/>
  <c r="C17" i="89" s="1"/>
  <c r="E24" i="63"/>
  <c r="L21" i="63"/>
  <c r="J62" i="14" s="1"/>
  <c r="J69" i="14" s="1"/>
  <c r="O21" i="63"/>
  <c r="M62" i="14" s="1"/>
  <c r="O24" i="63"/>
  <c r="M137" i="14" s="1"/>
  <c r="M17" i="92" s="1"/>
  <c r="M24" i="92" s="1"/>
  <c r="L23" i="63"/>
  <c r="J112" i="14" s="1"/>
  <c r="L22" i="63"/>
  <c r="J87" i="14" s="1"/>
  <c r="E23" i="63"/>
  <c r="C74" i="24"/>
  <c r="J23" i="70"/>
  <c r="N21" i="70"/>
  <c r="B72" i="49"/>
  <c r="E201" i="16"/>
  <c r="E204" i="16"/>
  <c r="E205" i="16" s="1"/>
  <c r="E161" i="16"/>
  <c r="D161" i="16"/>
  <c r="J90" i="4"/>
  <c r="J91" i="4" s="1"/>
  <c r="D69" i="4"/>
  <c r="L85" i="4"/>
  <c r="L86" i="4" s="1"/>
  <c r="L81" i="4"/>
  <c r="J161" i="16"/>
  <c r="L214" i="4"/>
  <c r="H90" i="4"/>
  <c r="H91" i="4" s="1"/>
  <c r="G161" i="16"/>
  <c r="F81" i="4"/>
  <c r="F85" i="4"/>
  <c r="B81" i="4"/>
  <c r="B85" i="4"/>
  <c r="H161" i="16"/>
  <c r="B327" i="4"/>
  <c r="D272" i="4"/>
  <c r="F272" i="4"/>
  <c r="F33" i="91" s="1"/>
  <c r="C272" i="4"/>
  <c r="E272" i="4"/>
  <c r="E33" i="91" s="1"/>
  <c r="B274" i="64"/>
  <c r="B274" i="16" s="1"/>
  <c r="B276" i="16" s="1"/>
  <c r="M161" i="16"/>
  <c r="J144" i="16"/>
  <c r="J146" i="16" s="1"/>
  <c r="C209" i="64"/>
  <c r="D76" i="64"/>
  <c r="F161" i="16"/>
  <c r="B161" i="16"/>
  <c r="L161" i="16"/>
  <c r="I161" i="16"/>
  <c r="O329" i="48"/>
  <c r="B189" i="75" s="1"/>
  <c r="D189" i="75" s="1"/>
  <c r="E189" i="75" s="1"/>
  <c r="E27" i="61"/>
  <c r="E29" i="61" s="1"/>
  <c r="F16" i="48" s="1"/>
  <c r="J48" i="48"/>
  <c r="E20" i="61"/>
  <c r="H22" i="70"/>
  <c r="H23" i="70" s="1"/>
  <c r="N33" i="70"/>
  <c r="D16" i="60"/>
  <c r="M78" i="24"/>
  <c r="N243" i="48" s="1"/>
  <c r="G64" i="24"/>
  <c r="H191" i="48" s="1"/>
  <c r="G91" i="18"/>
  <c r="H188" i="48" s="1"/>
  <c r="F50" i="24"/>
  <c r="G140" i="48" s="1"/>
  <c r="G36" i="24"/>
  <c r="H94" i="48" s="1"/>
  <c r="H36" i="24"/>
  <c r="I94" i="48" s="1"/>
  <c r="J32" i="24"/>
  <c r="F43" i="18"/>
  <c r="G91" i="48" s="1"/>
  <c r="L94" i="18"/>
  <c r="M64" i="24"/>
  <c r="N191" i="48" s="1"/>
  <c r="F76" i="64"/>
  <c r="J76" i="64"/>
  <c r="C75" i="16"/>
  <c r="C77" i="16" s="1"/>
  <c r="C143" i="64"/>
  <c r="H75" i="16"/>
  <c r="H77" i="16" s="1"/>
  <c r="I75" i="16"/>
  <c r="I77" i="16" s="1"/>
  <c r="E75" i="16"/>
  <c r="E77" i="16" s="1"/>
  <c r="K75" i="16"/>
  <c r="K77" i="16" s="1"/>
  <c r="G75" i="16"/>
  <c r="G77" i="16" s="1"/>
  <c r="B139" i="16"/>
  <c r="C139" i="16"/>
  <c r="M77" i="16"/>
  <c r="L146" i="16"/>
  <c r="J24" i="16"/>
  <c r="J25" i="16" s="1"/>
  <c r="B340" i="16"/>
  <c r="B341" i="16" s="1"/>
  <c r="B355" i="16"/>
  <c r="B351" i="16"/>
  <c r="G146" i="16"/>
  <c r="H76" i="64"/>
  <c r="C40" i="16"/>
  <c r="C76" i="64"/>
  <c r="D146" i="16"/>
  <c r="K76" i="64"/>
  <c r="I76" i="64"/>
  <c r="M146" i="16"/>
  <c r="H146" i="16"/>
  <c r="G76" i="64"/>
  <c r="N74" i="64"/>
  <c r="C246" i="16"/>
  <c r="E43" i="4"/>
  <c r="D40" i="16"/>
  <c r="E76" i="64"/>
  <c r="D244" i="64"/>
  <c r="D244" i="16" s="1"/>
  <c r="D246" i="16" s="1"/>
  <c r="M155" i="4"/>
  <c r="J77" i="16"/>
  <c r="M48" i="48"/>
  <c r="J50" i="24"/>
  <c r="K140" i="48" s="1"/>
  <c r="I74" i="24"/>
  <c r="I36" i="24"/>
  <c r="J94" i="48" s="1"/>
  <c r="D228" i="4"/>
  <c r="D233" i="4" s="1"/>
  <c r="N84" i="70"/>
  <c r="N72" i="70"/>
  <c r="N66" i="70"/>
  <c r="N38" i="70"/>
  <c r="B55" i="49"/>
  <c r="C290" i="64"/>
  <c r="C291" i="64" s="1"/>
  <c r="L77" i="16"/>
  <c r="I230" i="64"/>
  <c r="I231" i="64" s="1"/>
  <c r="E230" i="64"/>
  <c r="E231" i="64" s="1"/>
  <c r="D77" i="16"/>
  <c r="K230" i="64"/>
  <c r="K231" i="64" s="1"/>
  <c r="H196" i="16"/>
  <c r="H200" i="16"/>
  <c r="D300" i="16"/>
  <c r="E300" i="16" s="1"/>
  <c r="F300" i="16" s="1"/>
  <c r="D196" i="16"/>
  <c r="D200" i="16"/>
  <c r="L196" i="16"/>
  <c r="L200" i="16"/>
  <c r="I196" i="16"/>
  <c r="I200" i="16"/>
  <c r="B196" i="16"/>
  <c r="B200" i="16"/>
  <c r="G196" i="16"/>
  <c r="G200" i="16"/>
  <c r="J196" i="16"/>
  <c r="J200" i="16"/>
  <c r="F196" i="16"/>
  <c r="F200" i="16"/>
  <c r="H285" i="16"/>
  <c r="H286" i="16" s="1"/>
  <c r="C251" i="16"/>
  <c r="K127" i="16"/>
  <c r="K131" i="16"/>
  <c r="H127" i="16"/>
  <c r="H131" i="16"/>
  <c r="I127" i="16"/>
  <c r="I131" i="16"/>
  <c r="I107" i="16"/>
  <c r="H107" i="16"/>
  <c r="I112" i="16"/>
  <c r="M127" i="16"/>
  <c r="M131" i="16"/>
  <c r="D127" i="16"/>
  <c r="D131" i="16"/>
  <c r="L127" i="16"/>
  <c r="L131" i="16"/>
  <c r="F151" i="16"/>
  <c r="H112" i="16"/>
  <c r="L54" i="16"/>
  <c r="K54" i="16"/>
  <c r="B50" i="16"/>
  <c r="J54" i="16"/>
  <c r="E191" i="16"/>
  <c r="I256" i="16"/>
  <c r="M151" i="16"/>
  <c r="E107" i="16"/>
  <c r="L191" i="16"/>
  <c r="C241" i="16"/>
  <c r="C296" i="16"/>
  <c r="N296" i="16" s="1"/>
  <c r="C306" i="16"/>
  <c r="C310" i="16"/>
  <c r="C311" i="16" s="1"/>
  <c r="F155" i="16"/>
  <c r="F156" i="16" s="1"/>
  <c r="E86" i="16"/>
  <c r="E87" i="16" s="1"/>
  <c r="H155" i="16"/>
  <c r="H156" i="16" s="1"/>
  <c r="H191" i="16"/>
  <c r="E285" i="16"/>
  <c r="E286" i="16" s="1"/>
  <c r="G225" i="16"/>
  <c r="G226" i="16" s="1"/>
  <c r="F285" i="16"/>
  <c r="F286" i="16" s="1"/>
  <c r="E151" i="16"/>
  <c r="B146" i="16"/>
  <c r="I191" i="16"/>
  <c r="F191" i="16"/>
  <c r="B77" i="16"/>
  <c r="L107" i="16"/>
  <c r="K112" i="16"/>
  <c r="G112" i="16"/>
  <c r="E20" i="16"/>
  <c r="N20" i="16" s="1"/>
  <c r="C181" i="16"/>
  <c r="K107" i="16"/>
  <c r="D256" i="16"/>
  <c r="F97" i="16"/>
  <c r="N97" i="16" s="1"/>
  <c r="L112" i="16"/>
  <c r="G107" i="16"/>
  <c r="E290" i="64"/>
  <c r="E291" i="64" s="1"/>
  <c r="K290" i="64"/>
  <c r="K291" i="64" s="1"/>
  <c r="D290" i="64"/>
  <c r="D291" i="64" s="1"/>
  <c r="L230" i="64"/>
  <c r="L231" i="64" s="1"/>
  <c r="H230" i="64"/>
  <c r="H231" i="64" s="1"/>
  <c r="J350" i="64"/>
  <c r="J351" i="64" s="1"/>
  <c r="F350" i="64"/>
  <c r="F351" i="64" s="1"/>
  <c r="B350" i="64"/>
  <c r="M350" i="64"/>
  <c r="M351" i="64" s="1"/>
  <c r="I350" i="64"/>
  <c r="I351" i="64" s="1"/>
  <c r="E350" i="64"/>
  <c r="E351" i="64" s="1"/>
  <c r="L350" i="64"/>
  <c r="L351" i="64" s="1"/>
  <c r="H350" i="64"/>
  <c r="H351" i="64" s="1"/>
  <c r="D350" i="64"/>
  <c r="D351" i="64" s="1"/>
  <c r="G350" i="64"/>
  <c r="G351" i="64" s="1"/>
  <c r="C350" i="64"/>
  <c r="C351" i="64" s="1"/>
  <c r="K350" i="64"/>
  <c r="K351" i="64" s="1"/>
  <c r="C261" i="16"/>
  <c r="C30" i="16"/>
  <c r="N30" i="16" s="1"/>
  <c r="M107" i="16"/>
  <c r="D107" i="16"/>
  <c r="H54" i="16"/>
  <c r="I54" i="16"/>
  <c r="C54" i="16"/>
  <c r="L166" i="16"/>
  <c r="N166" i="16" s="1"/>
  <c r="D191" i="16"/>
  <c r="M112" i="16"/>
  <c r="B54" i="16"/>
  <c r="D54" i="16"/>
  <c r="M54" i="16"/>
  <c r="E54" i="16"/>
  <c r="C50" i="16"/>
  <c r="G54" i="16"/>
  <c r="F54" i="16"/>
  <c r="D112" i="16"/>
  <c r="J191" i="16"/>
  <c r="D375" i="16"/>
  <c r="D376" i="16" s="1"/>
  <c r="D371" i="16"/>
  <c r="J375" i="16"/>
  <c r="J376" i="16" s="1"/>
  <c r="J371" i="16"/>
  <c r="L155" i="16"/>
  <c r="L156" i="16" s="1"/>
  <c r="G86" i="16"/>
  <c r="G87" i="16" s="1"/>
  <c r="C285" i="16"/>
  <c r="C286" i="16" s="1"/>
  <c r="F24" i="16"/>
  <c r="F25" i="16" s="1"/>
  <c r="F86" i="16"/>
  <c r="F87" i="16" s="1"/>
  <c r="H371" i="16"/>
  <c r="H375" i="16"/>
  <c r="H376" i="16" s="1"/>
  <c r="I375" i="16"/>
  <c r="I376" i="16" s="1"/>
  <c r="I371" i="16"/>
  <c r="C375" i="16"/>
  <c r="C376" i="16" s="1"/>
  <c r="C371" i="16"/>
  <c r="L375" i="16"/>
  <c r="L376" i="16" s="1"/>
  <c r="L371" i="16"/>
  <c r="D155" i="16"/>
  <c r="D156" i="16" s="1"/>
  <c r="F225" i="16"/>
  <c r="F226" i="16" s="1"/>
  <c r="L24" i="16"/>
  <c r="L25" i="16" s="1"/>
  <c r="E155" i="16"/>
  <c r="E156" i="16" s="1"/>
  <c r="D24" i="16"/>
  <c r="D25" i="16" s="1"/>
  <c r="M155" i="16"/>
  <c r="M156" i="16" s="1"/>
  <c r="M86" i="16"/>
  <c r="M87" i="16" s="1"/>
  <c r="C355" i="16"/>
  <c r="C351" i="16"/>
  <c r="M375" i="16"/>
  <c r="M376" i="16" s="1"/>
  <c r="M371" i="16"/>
  <c r="G375" i="16"/>
  <c r="G376" i="16" s="1"/>
  <c r="G371" i="16"/>
  <c r="B375" i="16"/>
  <c r="B376" i="16" s="1"/>
  <c r="B371" i="16"/>
  <c r="L340" i="16"/>
  <c r="L341" i="16" s="1"/>
  <c r="H340" i="16"/>
  <c r="H341" i="16" s="1"/>
  <c r="D340" i="16"/>
  <c r="D341" i="16" s="1"/>
  <c r="K340" i="16"/>
  <c r="K341" i="16" s="1"/>
  <c r="C340" i="16"/>
  <c r="C341" i="16" s="1"/>
  <c r="J340" i="16"/>
  <c r="J341" i="16" s="1"/>
  <c r="M340" i="16"/>
  <c r="M341" i="16" s="1"/>
  <c r="I340" i="16"/>
  <c r="I341" i="16" s="1"/>
  <c r="E340" i="16"/>
  <c r="E341" i="16" s="1"/>
  <c r="G340" i="16"/>
  <c r="G341" i="16" s="1"/>
  <c r="F340" i="16"/>
  <c r="F341" i="16" s="1"/>
  <c r="E375" i="16"/>
  <c r="E376" i="16" s="1"/>
  <c r="E371" i="16"/>
  <c r="K285" i="16"/>
  <c r="K286" i="16" s="1"/>
  <c r="C86" i="16"/>
  <c r="C87" i="16" s="1"/>
  <c r="D225" i="16"/>
  <c r="D226" i="16" s="1"/>
  <c r="B25" i="16"/>
  <c r="L225" i="16"/>
  <c r="L226" i="16" s="1"/>
  <c r="C155" i="16"/>
  <c r="C156" i="16" s="1"/>
  <c r="M285" i="16"/>
  <c r="M286" i="16" s="1"/>
  <c r="I225" i="16"/>
  <c r="I226" i="16" s="1"/>
  <c r="I86" i="16"/>
  <c r="I87" i="16" s="1"/>
  <c r="M24" i="16"/>
  <c r="M25" i="16" s="1"/>
  <c r="N346" i="16"/>
  <c r="K375" i="16"/>
  <c r="K376" i="16" s="1"/>
  <c r="K371" i="16"/>
  <c r="F375" i="16"/>
  <c r="F376" i="16" s="1"/>
  <c r="F371" i="16"/>
  <c r="N336" i="16"/>
  <c r="J72" i="49"/>
  <c r="N14" i="60"/>
  <c r="D221" i="48"/>
  <c r="D273" i="48"/>
  <c r="F36" i="24"/>
  <c r="G94" i="48" s="1"/>
  <c r="L60" i="24"/>
  <c r="N140" i="18"/>
  <c r="C292" i="48"/>
  <c r="J243" i="48"/>
  <c r="L40" i="18"/>
  <c r="M36" i="24"/>
  <c r="N94" i="48" s="1"/>
  <c r="L43" i="18"/>
  <c r="M91" i="48" s="1"/>
  <c r="D77" i="61"/>
  <c r="L120" i="61"/>
  <c r="I119" i="61"/>
  <c r="I120" i="61" s="1"/>
  <c r="B124" i="56"/>
  <c r="O155" i="48"/>
  <c r="L32" i="24"/>
  <c r="J64" i="24"/>
  <c r="K191" i="48" s="1"/>
  <c r="D78" i="24"/>
  <c r="H143" i="61"/>
  <c r="H144" i="61" s="1"/>
  <c r="H145" i="61" s="1"/>
  <c r="H150" i="61"/>
  <c r="H137" i="61"/>
  <c r="H138" i="61" s="1"/>
  <c r="H140" i="61" s="1"/>
  <c r="I289" i="48" s="1"/>
  <c r="F48" i="48"/>
  <c r="K144" i="61"/>
  <c r="K145" i="61" s="1"/>
  <c r="F150" i="61"/>
  <c r="F151" i="61" s="1"/>
  <c r="F152" i="61" s="1"/>
  <c r="F143" i="61"/>
  <c r="F144" i="61" s="1"/>
  <c r="F145" i="61" s="1"/>
  <c r="F137" i="61"/>
  <c r="F138" i="61" s="1"/>
  <c r="F140" i="61" s="1"/>
  <c r="G289" i="48" s="1"/>
  <c r="M144" i="61"/>
  <c r="M145" i="61" s="1"/>
  <c r="I25" i="61"/>
  <c r="I26" i="61" s="1"/>
  <c r="I27" i="61" s="1"/>
  <c r="I29" i="61" s="1"/>
  <c r="I20" i="61"/>
  <c r="K151" i="61"/>
  <c r="K152" i="61" s="1"/>
  <c r="G150" i="61"/>
  <c r="G151" i="61" s="1"/>
  <c r="G152" i="61" s="1"/>
  <c r="G137" i="61"/>
  <c r="G138" i="61" s="1"/>
  <c r="G140" i="61" s="1"/>
  <c r="H289" i="48" s="1"/>
  <c r="G143" i="61"/>
  <c r="I151" i="61"/>
  <c r="I152" i="61" s="1"/>
  <c r="L143" i="61"/>
  <c r="L137" i="61"/>
  <c r="L138" i="61" s="1"/>
  <c r="L140" i="61" s="1"/>
  <c r="M289" i="48" s="1"/>
  <c r="L150" i="61"/>
  <c r="D143" i="61"/>
  <c r="D137" i="61"/>
  <c r="D138" i="61" s="1"/>
  <c r="D140" i="61" s="1"/>
  <c r="E289" i="48" s="1"/>
  <c r="D150" i="61"/>
  <c r="J150" i="61"/>
  <c r="J143" i="61"/>
  <c r="J144" i="61" s="1"/>
  <c r="J145" i="61" s="1"/>
  <c r="J137" i="61"/>
  <c r="J138" i="61" s="1"/>
  <c r="J140" i="61" s="1"/>
  <c r="K289" i="48" s="1"/>
  <c r="E144" i="61"/>
  <c r="E145" i="61" s="1"/>
  <c r="C144" i="61"/>
  <c r="C145" i="61" s="1"/>
  <c r="L127" i="61"/>
  <c r="B143" i="61"/>
  <c r="B137" i="61"/>
  <c r="N136" i="61"/>
  <c r="B150" i="61"/>
  <c r="B90" i="24"/>
  <c r="F64" i="24"/>
  <c r="G191" i="48" s="1"/>
  <c r="F91" i="18"/>
  <c r="G188" i="48" s="1"/>
  <c r="D46" i="24"/>
  <c r="D124" i="18"/>
  <c r="C86" i="24"/>
  <c r="C87" i="24" s="1"/>
  <c r="C90" i="24" s="1"/>
  <c r="E123" i="18"/>
  <c r="F40" i="18"/>
  <c r="C118" i="18"/>
  <c r="L88" i="18"/>
  <c r="L99" i="18"/>
  <c r="L101" i="18" s="1"/>
  <c r="M190" i="48" s="1"/>
  <c r="D112" i="18"/>
  <c r="L51" i="18"/>
  <c r="L53" i="18" s="1"/>
  <c r="M93" i="48" s="1"/>
  <c r="E118" i="18"/>
  <c r="G94" i="18"/>
  <c r="G50" i="24"/>
  <c r="H140" i="48" s="1"/>
  <c r="G88" i="18"/>
  <c r="J75" i="18"/>
  <c r="J77" i="18" s="1"/>
  <c r="K139" i="48" s="1"/>
  <c r="F46" i="18"/>
  <c r="J70" i="18"/>
  <c r="B64" i="24"/>
  <c r="C191" i="48" s="1"/>
  <c r="J67" i="18"/>
  <c r="K137" i="48" s="1"/>
  <c r="I50" i="24"/>
  <c r="J140" i="48" s="1"/>
  <c r="J99" i="18"/>
  <c r="J101" i="18" s="1"/>
  <c r="K190" i="48" s="1"/>
  <c r="E115" i="18"/>
  <c r="F240" i="48" s="1"/>
  <c r="F94" i="18"/>
  <c r="H64" i="24"/>
  <c r="I191" i="48" s="1"/>
  <c r="E14" i="18"/>
  <c r="E17" i="18" s="1"/>
  <c r="E27" i="18" s="1"/>
  <c r="E29" i="18" s="1"/>
  <c r="F53" i="48" s="1"/>
  <c r="B50" i="24"/>
  <c r="C140" i="48" s="1"/>
  <c r="M43" i="18"/>
  <c r="N91" i="48" s="1"/>
  <c r="F88" i="18"/>
  <c r="F118" i="18"/>
  <c r="I51" i="18"/>
  <c r="I53" i="18" s="1"/>
  <c r="J93" i="48" s="1"/>
  <c r="G40" i="18"/>
  <c r="F115" i="18"/>
  <c r="G240" i="48" s="1"/>
  <c r="J78" i="24"/>
  <c r="H50" i="24"/>
  <c r="I140" i="48" s="1"/>
  <c r="F75" i="18"/>
  <c r="F77" i="18" s="1"/>
  <c r="C75" i="18"/>
  <c r="C77" i="18" s="1"/>
  <c r="D139" i="48" s="1"/>
  <c r="K94" i="18"/>
  <c r="F123" i="18"/>
  <c r="L46" i="24"/>
  <c r="B19" i="24"/>
  <c r="B18" i="24" s="1"/>
  <c r="G43" i="18"/>
  <c r="H91" i="48" s="1"/>
  <c r="N87" i="18"/>
  <c r="B16" i="18"/>
  <c r="B27" i="18"/>
  <c r="B29" i="18" s="1"/>
  <c r="B22" i="18"/>
  <c r="I123" i="18"/>
  <c r="C67" i="18"/>
  <c r="D137" i="48" s="1"/>
  <c r="N44" i="24"/>
  <c r="I112" i="18"/>
  <c r="D118" i="18"/>
  <c r="G46" i="18"/>
  <c r="I115" i="18"/>
  <c r="J240" i="48" s="1"/>
  <c r="C64" i="18"/>
  <c r="D123" i="18"/>
  <c r="F21" i="63"/>
  <c r="D62" i="14" s="1"/>
  <c r="F19" i="63"/>
  <c r="D12" i="14" s="1"/>
  <c r="D19" i="14" s="1"/>
  <c r="I21" i="63"/>
  <c r="G62" i="14" s="1"/>
  <c r="F20" i="63"/>
  <c r="D37" i="14" s="1"/>
  <c r="M23" i="63"/>
  <c r="K112" i="14" s="1"/>
  <c r="K17" i="91" s="1"/>
  <c r="I20" i="63"/>
  <c r="G37" i="14" s="1"/>
  <c r="F23" i="63"/>
  <c r="D112" i="14" s="1"/>
  <c r="I19" i="63"/>
  <c r="G12" i="14" s="1"/>
  <c r="G13" i="14" s="1"/>
  <c r="G14" i="14" s="1"/>
  <c r="G16" i="14" s="1"/>
  <c r="H45" i="48" s="1"/>
  <c r="F22" i="63"/>
  <c r="D87" i="14" s="1"/>
  <c r="O65" i="48"/>
  <c r="B21" i="75" s="1"/>
  <c r="D21" i="75" s="1"/>
  <c r="E21" i="75" s="1"/>
  <c r="K102" i="61"/>
  <c r="N93" i="61"/>
  <c r="L102" i="61"/>
  <c r="B19" i="18"/>
  <c r="C51" i="48" s="1"/>
  <c r="N67" i="70"/>
  <c r="N49" i="70"/>
  <c r="N50" i="70"/>
  <c r="N32" i="70"/>
  <c r="O98" i="48"/>
  <c r="O195" i="48"/>
  <c r="O247" i="48"/>
  <c r="C96" i="48"/>
  <c r="C55" i="49"/>
  <c r="N48" i="49"/>
  <c r="G96" i="48"/>
  <c r="K13" i="49"/>
  <c r="K14" i="49" s="1"/>
  <c r="K16" i="49" s="1"/>
  <c r="H38" i="49"/>
  <c r="H72" i="49"/>
  <c r="N86" i="70"/>
  <c r="N15" i="18"/>
  <c r="E20" i="68"/>
  <c r="N35" i="70"/>
  <c r="L20" i="48"/>
  <c r="O20" i="48" s="1"/>
  <c r="J43" i="18"/>
  <c r="K91" i="48" s="1"/>
  <c r="F78" i="24"/>
  <c r="F91" i="24"/>
  <c r="F106" i="24" s="1"/>
  <c r="F108" i="24" s="1"/>
  <c r="G345" i="48" s="1"/>
  <c r="K99" i="18"/>
  <c r="K101" i="18" s="1"/>
  <c r="L190" i="48" s="1"/>
  <c r="N83" i="70"/>
  <c r="K88" i="18"/>
  <c r="J15" i="61"/>
  <c r="K48" i="48" s="1"/>
  <c r="M14" i="49"/>
  <c r="M16" i="49" s="1"/>
  <c r="N22" i="48" s="1"/>
  <c r="N15" i="70"/>
  <c r="N63" i="61"/>
  <c r="B299" i="4"/>
  <c r="E283" i="4"/>
  <c r="E288" i="4" s="1"/>
  <c r="K90" i="4"/>
  <c r="K91" i="4" s="1"/>
  <c r="D188" i="64"/>
  <c r="D184" i="16" s="1"/>
  <c r="H298" i="4"/>
  <c r="H303" i="4" s="1"/>
  <c r="F228" i="4"/>
  <c r="F233" i="4" s="1"/>
  <c r="F238" i="4" s="1"/>
  <c r="L154" i="4"/>
  <c r="L159" i="4" s="1"/>
  <c r="L164" i="4" s="1"/>
  <c r="B303" i="4"/>
  <c r="B304" i="4" s="1"/>
  <c r="C267" i="4"/>
  <c r="I219" i="4"/>
  <c r="I224" i="4"/>
  <c r="G214" i="4"/>
  <c r="J214" i="4"/>
  <c r="B289" i="4"/>
  <c r="C214" i="64"/>
  <c r="C214" i="16" s="1"/>
  <c r="M214" i="64"/>
  <c r="M214" i="16" s="1"/>
  <c r="M216" i="16" s="1"/>
  <c r="F298" i="4"/>
  <c r="F303" i="4" s="1"/>
  <c r="F159" i="4"/>
  <c r="F164" i="4" s="1"/>
  <c r="C314" i="64"/>
  <c r="D319" i="16"/>
  <c r="C223" i="4"/>
  <c r="J257" i="4"/>
  <c r="J254" i="64" s="1"/>
  <c r="J254" i="16" s="1"/>
  <c r="J256" i="16" s="1"/>
  <c r="K188" i="4"/>
  <c r="K188" i="64" s="1"/>
  <c r="K184" i="16" s="1"/>
  <c r="K186" i="16" s="1"/>
  <c r="B155" i="4"/>
  <c r="D183" i="64"/>
  <c r="D179" i="16" s="1"/>
  <c r="D181" i="16" s="1"/>
  <c r="I214" i="4"/>
  <c r="D48" i="64"/>
  <c r="D48" i="16" s="1"/>
  <c r="E53" i="4"/>
  <c r="G228" i="4"/>
  <c r="G233" i="4" s="1"/>
  <c r="D304" i="64"/>
  <c r="D304" i="16" s="1"/>
  <c r="D306" i="16" s="1"/>
  <c r="E302" i="4"/>
  <c r="E30" i="91" s="1"/>
  <c r="M229" i="4"/>
  <c r="M233" i="4"/>
  <c r="M238" i="4" s="1"/>
  <c r="I284" i="4"/>
  <c r="F150" i="4"/>
  <c r="M224" i="4"/>
  <c r="E221" i="16"/>
  <c r="N221" i="16" s="1"/>
  <c r="M165" i="4"/>
  <c r="B294" i="4"/>
  <c r="C25" i="4"/>
  <c r="K228" i="4"/>
  <c r="K229" i="4" s="1"/>
  <c r="M90" i="4"/>
  <c r="M95" i="4" s="1"/>
  <c r="M29" i="4"/>
  <c r="M34" i="4" s="1"/>
  <c r="M39" i="4" s="1"/>
  <c r="M54" i="4" s="1"/>
  <c r="D90" i="4"/>
  <c r="D95" i="4" s="1"/>
  <c r="H150" i="4"/>
  <c r="H233" i="4"/>
  <c r="H234" i="4" s="1"/>
  <c r="C284" i="4"/>
  <c r="I293" i="4"/>
  <c r="I294" i="4" s="1"/>
  <c r="H20" i="4"/>
  <c r="N281" i="16"/>
  <c r="I234" i="4"/>
  <c r="I238" i="4"/>
  <c r="I248" i="4" s="1"/>
  <c r="I253" i="4" s="1"/>
  <c r="I229" i="4"/>
  <c r="J288" i="4"/>
  <c r="J284" i="4"/>
  <c r="E234" i="4"/>
  <c r="I154" i="4"/>
  <c r="I150" i="4"/>
  <c r="J224" i="4"/>
  <c r="J228" i="4"/>
  <c r="K284" i="4"/>
  <c r="K288" i="4"/>
  <c r="C293" i="4"/>
  <c r="C294" i="4" s="1"/>
  <c r="C34" i="4"/>
  <c r="C39" i="4" s="1"/>
  <c r="M160" i="4"/>
  <c r="B219" i="4"/>
  <c r="B223" i="4"/>
  <c r="H25" i="4"/>
  <c r="H29" i="4"/>
  <c r="H34" i="4" s="1"/>
  <c r="G90" i="4"/>
  <c r="D25" i="4"/>
  <c r="D29" i="4"/>
  <c r="N76" i="4"/>
  <c r="D92" i="16"/>
  <c r="N92" i="16" s="1"/>
  <c r="N145" i="4"/>
  <c r="L289" i="4"/>
  <c r="L293" i="4"/>
  <c r="K29" i="4"/>
  <c r="K25" i="4"/>
  <c r="J155" i="4"/>
  <c r="J159" i="4"/>
  <c r="N143" i="18"/>
  <c r="N148" i="18"/>
  <c r="B150" i="18"/>
  <c r="C294" i="48" s="1"/>
  <c r="J51" i="18"/>
  <c r="J53" i="18" s="1"/>
  <c r="N20" i="47"/>
  <c r="B87" i="16"/>
  <c r="N28" i="16"/>
  <c r="G34" i="4"/>
  <c r="G35" i="4" s="1"/>
  <c r="C146" i="16"/>
  <c r="J24" i="4"/>
  <c r="J25" i="4" s="1"/>
  <c r="K214" i="64"/>
  <c r="K214" i="16" s="1"/>
  <c r="N291" i="16"/>
  <c r="N212" i="4"/>
  <c r="N236" i="16"/>
  <c r="O21" i="48"/>
  <c r="K23" i="49"/>
  <c r="N62" i="61"/>
  <c r="N87" i="61"/>
  <c r="N88" i="61" s="1"/>
  <c r="N31" i="49"/>
  <c r="M21" i="49"/>
  <c r="M22" i="49" s="1"/>
  <c r="M23" i="49" s="1"/>
  <c r="C89" i="49"/>
  <c r="N50" i="61"/>
  <c r="D20" i="61"/>
  <c r="K14" i="18"/>
  <c r="K17" i="18" s="1"/>
  <c r="K22" i="18" s="1"/>
  <c r="I21" i="49"/>
  <c r="I22" i="49" s="1"/>
  <c r="I23" i="49" s="1"/>
  <c r="J25" i="61"/>
  <c r="J26" i="61" s="1"/>
  <c r="J27" i="61" s="1"/>
  <c r="J29" i="61" s="1"/>
  <c r="K50" i="48" s="1"/>
  <c r="J20" i="61"/>
  <c r="N18" i="61"/>
  <c r="N65" i="61"/>
  <c r="N69" i="61"/>
  <c r="G94" i="61"/>
  <c r="N94" i="61" s="1"/>
  <c r="N70" i="61"/>
  <c r="C21" i="49"/>
  <c r="C22" i="49" s="1"/>
  <c r="C23" i="49" s="1"/>
  <c r="C13" i="49"/>
  <c r="C14" i="49" s="1"/>
  <c r="C16" i="49" s="1"/>
  <c r="H17" i="24"/>
  <c r="H16" i="24" s="1"/>
  <c r="H14" i="18"/>
  <c r="H17" i="18" s="1"/>
  <c r="I17" i="24"/>
  <c r="I16" i="24" s="1"/>
  <c r="I14" i="18"/>
  <c r="I17" i="18" s="1"/>
  <c r="F13" i="61"/>
  <c r="F15" i="61" s="1"/>
  <c r="G48" i="48" s="1"/>
  <c r="M13" i="61"/>
  <c r="M15" i="61" s="1"/>
  <c r="N48" i="48" s="1"/>
  <c r="D17" i="24"/>
  <c r="D16" i="24" s="1"/>
  <c r="D14" i="18"/>
  <c r="D17" i="18" s="1"/>
  <c r="D38" i="49"/>
  <c r="F17" i="24"/>
  <c r="F16" i="24" s="1"/>
  <c r="F14" i="18"/>
  <c r="F17" i="18" s="1"/>
  <c r="I89" i="49"/>
  <c r="E13" i="49"/>
  <c r="E14" i="49" s="1"/>
  <c r="E16" i="49" s="1"/>
  <c r="F56" i="48" s="1"/>
  <c r="E21" i="49"/>
  <c r="M17" i="24"/>
  <c r="M16" i="24" s="1"/>
  <c r="M14" i="18"/>
  <c r="M17" i="18" s="1"/>
  <c r="J56" i="48"/>
  <c r="J22" i="48"/>
  <c r="B13" i="61"/>
  <c r="B15" i="61" s="1"/>
  <c r="N38" i="61"/>
  <c r="G14" i="18"/>
  <c r="G17" i="18" s="1"/>
  <c r="G17" i="24"/>
  <c r="G16" i="24" s="1"/>
  <c r="L14" i="18"/>
  <c r="L17" i="18" s="1"/>
  <c r="L17" i="24"/>
  <c r="L16" i="24" s="1"/>
  <c r="J17" i="24"/>
  <c r="J16" i="24" s="1"/>
  <c r="J14" i="18"/>
  <c r="J17" i="18" s="1"/>
  <c r="C17" i="24"/>
  <c r="C16" i="24" s="1"/>
  <c r="C14" i="18"/>
  <c r="C17" i="18" s="1"/>
  <c r="C115" i="18"/>
  <c r="D240" i="48" s="1"/>
  <c r="K118" i="18"/>
  <c r="K112" i="18"/>
  <c r="F70" i="18"/>
  <c r="M50" i="24"/>
  <c r="N140" i="48" s="1"/>
  <c r="N62" i="18"/>
  <c r="N45" i="24"/>
  <c r="E51" i="18"/>
  <c r="E53" i="18" s="1"/>
  <c r="F93" i="48" s="1"/>
  <c r="E46" i="18"/>
  <c r="J46" i="18"/>
  <c r="E40" i="18"/>
  <c r="E43" i="18"/>
  <c r="F91" i="48" s="1"/>
  <c r="I43" i="18"/>
  <c r="J91" i="48" s="1"/>
  <c r="I40" i="18"/>
  <c r="M40" i="18"/>
  <c r="M46" i="18"/>
  <c r="B36" i="24"/>
  <c r="C94" i="48" s="1"/>
  <c r="C64" i="24"/>
  <c r="D191" i="48" s="1"/>
  <c r="F67" i="18"/>
  <c r="G137" i="48" s="1"/>
  <c r="C112" i="18"/>
  <c r="J94" i="18"/>
  <c r="C51" i="18"/>
  <c r="C53" i="18" s="1"/>
  <c r="D93" i="48" s="1"/>
  <c r="K123" i="18"/>
  <c r="D59" i="24"/>
  <c r="D58" i="24" s="1"/>
  <c r="D61" i="24" s="1"/>
  <c r="D60" i="24" s="1"/>
  <c r="M112" i="18"/>
  <c r="M118" i="18"/>
  <c r="M123" i="18"/>
  <c r="G78" i="24"/>
  <c r="K43" i="18"/>
  <c r="L91" i="48" s="1"/>
  <c r="K46" i="18"/>
  <c r="K40" i="18"/>
  <c r="K51" i="18"/>
  <c r="K53" i="18" s="1"/>
  <c r="L93" i="48" s="1"/>
  <c r="K64" i="18"/>
  <c r="K70" i="18"/>
  <c r="K75" i="18"/>
  <c r="K77" i="18" s="1"/>
  <c r="L139" i="48" s="1"/>
  <c r="K67" i="18"/>
  <c r="L137" i="48" s="1"/>
  <c r="N65" i="18"/>
  <c r="C40" i="18"/>
  <c r="J91" i="18"/>
  <c r="K188" i="48" s="1"/>
  <c r="B51" i="18"/>
  <c r="B53" i="18" s="1"/>
  <c r="C93" i="48" s="1"/>
  <c r="B46" i="18"/>
  <c r="B40" i="18"/>
  <c r="I64" i="24"/>
  <c r="J191" i="48" s="1"/>
  <c r="C43" i="18"/>
  <c r="D91" i="48" s="1"/>
  <c r="H51" i="18"/>
  <c r="H53" i="18" s="1"/>
  <c r="I93" i="48" s="1"/>
  <c r="H40" i="18"/>
  <c r="H46" i="18"/>
  <c r="C36" i="24"/>
  <c r="D94" i="48" s="1"/>
  <c r="C32" i="24"/>
  <c r="H56" i="48"/>
  <c r="H22" i="48"/>
  <c r="D72" i="49"/>
  <c r="H112" i="61"/>
  <c r="H113" i="61" s="1"/>
  <c r="H115" i="61" s="1"/>
  <c r="I237" i="48" s="1"/>
  <c r="H118" i="61"/>
  <c r="H125" i="61"/>
  <c r="D118" i="61"/>
  <c r="D125" i="61"/>
  <c r="D126" i="61" s="1"/>
  <c r="D127" i="61" s="1"/>
  <c r="D112" i="61"/>
  <c r="D113" i="61" s="1"/>
  <c r="D115" i="61" s="1"/>
  <c r="E237" i="48" s="1"/>
  <c r="K25" i="61"/>
  <c r="K26" i="61" s="1"/>
  <c r="K27" i="61" s="1"/>
  <c r="K29" i="61" s="1"/>
  <c r="D115" i="16"/>
  <c r="D129" i="64" s="1"/>
  <c r="D143" i="64" s="1"/>
  <c r="E104" i="4"/>
  <c r="F89" i="49"/>
  <c r="D55" i="49"/>
  <c r="B111" i="16"/>
  <c r="B107" i="16"/>
  <c r="C111" i="16"/>
  <c r="C116" i="16" s="1"/>
  <c r="C107" i="16"/>
  <c r="J111" i="16"/>
  <c r="J107" i="16"/>
  <c r="E214" i="64"/>
  <c r="E214" i="4"/>
  <c r="D214" i="64"/>
  <c r="D267" i="4"/>
  <c r="D214" i="4"/>
  <c r="B112" i="61"/>
  <c r="B113" i="61" s="1"/>
  <c r="B115" i="61" s="1"/>
  <c r="C237" i="48" s="1"/>
  <c r="B118" i="61"/>
  <c r="B125" i="61"/>
  <c r="B126" i="61" s="1"/>
  <c r="B127" i="61" s="1"/>
  <c r="N111" i="61"/>
  <c r="M126" i="61"/>
  <c r="M127" i="61" s="1"/>
  <c r="H13" i="61"/>
  <c r="H15" i="61" s="1"/>
  <c r="G191" i="16"/>
  <c r="K102" i="16"/>
  <c r="N102" i="16" s="1"/>
  <c r="N100" i="16"/>
  <c r="G16" i="48"/>
  <c r="G50" i="48"/>
  <c r="D239" i="64"/>
  <c r="D239" i="16" s="1"/>
  <c r="D241" i="16" s="1"/>
  <c r="E237" i="4"/>
  <c r="E239" i="4" s="1"/>
  <c r="B15" i="4"/>
  <c r="B19" i="4"/>
  <c r="F38" i="11"/>
  <c r="B78" i="61"/>
  <c r="I90" i="4"/>
  <c r="N95" i="16"/>
  <c r="I290" i="64"/>
  <c r="I291" i="64" s="1"/>
  <c r="L290" i="64"/>
  <c r="L291" i="64" s="1"/>
  <c r="J290" i="64"/>
  <c r="J291" i="64" s="1"/>
  <c r="M290" i="64"/>
  <c r="M291" i="64" s="1"/>
  <c r="F230" i="64"/>
  <c r="F231" i="64" s="1"/>
  <c r="N90" i="61"/>
  <c r="N23" i="16"/>
  <c r="N18" i="16"/>
  <c r="D283" i="4"/>
  <c r="D284" i="4" s="1"/>
  <c r="N48" i="4"/>
  <c r="D20" i="68"/>
  <c r="B290" i="64"/>
  <c r="M230" i="64"/>
  <c r="M231" i="64" s="1"/>
  <c r="J230" i="64"/>
  <c r="J231" i="64" s="1"/>
  <c r="F290" i="64"/>
  <c r="F291" i="64" s="1"/>
  <c r="K55" i="49"/>
  <c r="C164" i="64"/>
  <c r="C165" i="64" s="1"/>
  <c r="G164" i="64"/>
  <c r="G165" i="64" s="1"/>
  <c r="K164" i="64"/>
  <c r="K165" i="64" s="1"/>
  <c r="E164" i="64"/>
  <c r="E165" i="64" s="1"/>
  <c r="I164" i="64"/>
  <c r="I165" i="64" s="1"/>
  <c r="M164" i="64"/>
  <c r="M165" i="64" s="1"/>
  <c r="D164" i="64"/>
  <c r="D165" i="64" s="1"/>
  <c r="L164" i="64"/>
  <c r="L165" i="64" s="1"/>
  <c r="H164" i="64"/>
  <c r="H165" i="64" s="1"/>
  <c r="J164" i="64"/>
  <c r="J165" i="64" s="1"/>
  <c r="F164" i="64"/>
  <c r="F165" i="64" s="1"/>
  <c r="B164" i="64"/>
  <c r="H96" i="48"/>
  <c r="G38" i="49"/>
  <c r="B73" i="24"/>
  <c r="B72" i="24" s="1"/>
  <c r="B75" i="24" s="1"/>
  <c r="B110" i="18"/>
  <c r="B113" i="18" s="1"/>
  <c r="B250" i="16"/>
  <c r="B241" i="16"/>
  <c r="K195" i="16"/>
  <c r="K191" i="16"/>
  <c r="B316" i="16"/>
  <c r="B320" i="16"/>
  <c r="B321" i="16" s="1"/>
  <c r="F214" i="64"/>
  <c r="F214" i="4"/>
  <c r="F112" i="61"/>
  <c r="F113" i="61" s="1"/>
  <c r="F115" i="61" s="1"/>
  <c r="G237" i="48" s="1"/>
  <c r="F125" i="61"/>
  <c r="F126" i="61" s="1"/>
  <c r="F127" i="61" s="1"/>
  <c r="F118" i="61"/>
  <c r="F119" i="61" s="1"/>
  <c r="F120" i="61" s="1"/>
  <c r="H51" i="61"/>
  <c r="N51" i="61" s="1"/>
  <c r="M38" i="49"/>
  <c r="F77" i="16"/>
  <c r="F20" i="68"/>
  <c r="H20" i="61"/>
  <c r="H25" i="61"/>
  <c r="H26" i="61" s="1"/>
  <c r="H27" i="61" s="1"/>
  <c r="H29" i="61" s="1"/>
  <c r="I50" i="48" s="1"/>
  <c r="D249" i="64"/>
  <c r="D249" i="16" s="1"/>
  <c r="D251" i="16" s="1"/>
  <c r="E22" i="70"/>
  <c r="C53" i="61"/>
  <c r="B54" i="61"/>
  <c r="E309" i="64"/>
  <c r="E309" i="16" s="1"/>
  <c r="B164" i="4"/>
  <c r="B160" i="4"/>
  <c r="I29" i="4"/>
  <c r="I25" i="4"/>
  <c r="D21" i="11"/>
  <c r="E95" i="64"/>
  <c r="E96" i="64" s="1"/>
  <c r="I95" i="64"/>
  <c r="I96" i="64" s="1"/>
  <c r="M95" i="64"/>
  <c r="M96" i="64" s="1"/>
  <c r="E34" i="64"/>
  <c r="E44" i="64" s="1"/>
  <c r="I34" i="64"/>
  <c r="I44" i="64" s="1"/>
  <c r="M34" i="64"/>
  <c r="M44" i="64" s="1"/>
  <c r="C95" i="64"/>
  <c r="C96" i="64" s="1"/>
  <c r="G95" i="64"/>
  <c r="G96" i="64" s="1"/>
  <c r="K95" i="64"/>
  <c r="K96" i="64" s="1"/>
  <c r="C34" i="64"/>
  <c r="C44" i="64" s="1"/>
  <c r="G34" i="64"/>
  <c r="G44" i="64" s="1"/>
  <c r="K34" i="64"/>
  <c r="K44" i="64" s="1"/>
  <c r="J95" i="64"/>
  <c r="J96" i="64" s="1"/>
  <c r="F34" i="64"/>
  <c r="F44" i="64" s="1"/>
  <c r="B34" i="64"/>
  <c r="F95" i="64"/>
  <c r="F96" i="64" s="1"/>
  <c r="B95" i="64"/>
  <c r="B96" i="64" s="1"/>
  <c r="J34" i="64"/>
  <c r="J44" i="64" s="1"/>
  <c r="D95" i="64"/>
  <c r="D96" i="64" s="1"/>
  <c r="H34" i="64"/>
  <c r="H44" i="64" s="1"/>
  <c r="H95" i="64"/>
  <c r="H96" i="64" s="1"/>
  <c r="L34" i="64"/>
  <c r="L44" i="64" s="1"/>
  <c r="D34" i="64"/>
  <c r="D44" i="64" s="1"/>
  <c r="L95" i="64"/>
  <c r="L96" i="64" s="1"/>
  <c r="E76" i="61"/>
  <c r="N76" i="61" s="1"/>
  <c r="J21" i="49"/>
  <c r="J22" i="49" s="1"/>
  <c r="J23" i="49" s="1"/>
  <c r="J13" i="49"/>
  <c r="J14" i="49" s="1"/>
  <c r="J16" i="49" s="1"/>
  <c r="F111" i="16"/>
  <c r="F107" i="16"/>
  <c r="C195" i="16"/>
  <c r="C191" i="16"/>
  <c r="H214" i="64"/>
  <c r="H214" i="4"/>
  <c r="J101" i="61"/>
  <c r="J102" i="61" s="1"/>
  <c r="B101" i="61"/>
  <c r="N100" i="61"/>
  <c r="H44" i="61"/>
  <c r="N44" i="61" s="1"/>
  <c r="D319" i="64"/>
  <c r="D314" i="16" s="1"/>
  <c r="D316" i="16" s="1"/>
  <c r="E317" i="4"/>
  <c r="E31" i="91" s="1"/>
  <c r="E196" i="16"/>
  <c r="N43" i="61"/>
  <c r="M119" i="61"/>
  <c r="M120" i="61" s="1"/>
  <c r="B191" i="16"/>
  <c r="N189" i="16"/>
  <c r="E112" i="16"/>
  <c r="E116" i="16"/>
  <c r="E121" i="16" s="1"/>
  <c r="E126" i="16" s="1"/>
  <c r="N37" i="61"/>
  <c r="G22" i="49"/>
  <c r="G23" i="49" s="1"/>
  <c r="D40" i="61"/>
  <c r="E88" i="48" s="1"/>
  <c r="F146" i="16"/>
  <c r="N16" i="70"/>
  <c r="B30" i="64"/>
  <c r="D230" i="64"/>
  <c r="D231" i="64" s="1"/>
  <c r="C230" i="64"/>
  <c r="C231" i="64" s="1"/>
  <c r="N45" i="16"/>
  <c r="N35" i="16"/>
  <c r="H290" i="64"/>
  <c r="H291" i="64" s="1"/>
  <c r="G230" i="64"/>
  <c r="G231" i="64" s="1"/>
  <c r="L72" i="49"/>
  <c r="H101" i="61"/>
  <c r="H102" i="61" s="1"/>
  <c r="D101" i="61"/>
  <c r="D102" i="61" s="1"/>
  <c r="K19" i="61"/>
  <c r="K20" i="61" s="1"/>
  <c r="K13" i="61"/>
  <c r="K15" i="61" s="1"/>
  <c r="F27" i="11"/>
  <c r="F30" i="11" s="1"/>
  <c r="C154" i="64"/>
  <c r="G154" i="64"/>
  <c r="K154" i="64"/>
  <c r="E154" i="64"/>
  <c r="I154" i="64"/>
  <c r="M154" i="64"/>
  <c r="D154" i="64"/>
  <c r="L154" i="64"/>
  <c r="H154" i="64"/>
  <c r="F154" i="64"/>
  <c r="J154" i="64"/>
  <c r="B154" i="64"/>
  <c r="B159" i="64" s="1"/>
  <c r="D285" i="16"/>
  <c r="D286" i="16" s="1"/>
  <c r="I285" i="16"/>
  <c r="I286" i="16" s="1"/>
  <c r="K155" i="16"/>
  <c r="K156" i="16" s="1"/>
  <c r="D86" i="16"/>
  <c r="D87" i="16" s="1"/>
  <c r="L86" i="16"/>
  <c r="L87" i="16" s="1"/>
  <c r="G285" i="16"/>
  <c r="G286" i="16" s="1"/>
  <c r="J155" i="16"/>
  <c r="J156" i="16" s="1"/>
  <c r="M225" i="16"/>
  <c r="M226" i="16" s="1"/>
  <c r="K86" i="16"/>
  <c r="K87" i="16" s="1"/>
  <c r="G155" i="16"/>
  <c r="G156" i="16" s="1"/>
  <c r="I24" i="16"/>
  <c r="I25" i="16" s="1"/>
  <c r="H225" i="16"/>
  <c r="H226" i="16" s="1"/>
  <c r="J225" i="16"/>
  <c r="J226" i="16" s="1"/>
  <c r="K225" i="16"/>
  <c r="K226" i="16" s="1"/>
  <c r="G24" i="16"/>
  <c r="G25" i="16" s="1"/>
  <c r="H24" i="16"/>
  <c r="H25" i="16" s="1"/>
  <c r="C24" i="16"/>
  <c r="C25" i="16" s="1"/>
  <c r="E225" i="16"/>
  <c r="E226" i="16" s="1"/>
  <c r="E24" i="16"/>
  <c r="E25" i="16" s="1"/>
  <c r="J285" i="16"/>
  <c r="J286" i="16" s="1"/>
  <c r="H86" i="16"/>
  <c r="H87" i="16" s="1"/>
  <c r="K24" i="16"/>
  <c r="K25" i="16" s="1"/>
  <c r="I155" i="16"/>
  <c r="I156" i="16" s="1"/>
  <c r="J86" i="16"/>
  <c r="J87" i="16" s="1"/>
  <c r="L285" i="16"/>
  <c r="L286" i="16" s="1"/>
  <c r="C225" i="16"/>
  <c r="C226" i="16" s="1"/>
  <c r="L55" i="49"/>
  <c r="M195" i="16"/>
  <c r="M191" i="16"/>
  <c r="B266" i="16"/>
  <c r="B180" i="16"/>
  <c r="B175" i="16"/>
  <c r="B171" i="16"/>
  <c r="J112" i="61"/>
  <c r="J113" i="61" s="1"/>
  <c r="J115" i="61" s="1"/>
  <c r="K237" i="48" s="1"/>
  <c r="J125" i="61"/>
  <c r="J118" i="61"/>
  <c r="J119" i="61" s="1"/>
  <c r="J120" i="61" s="1"/>
  <c r="M20" i="61"/>
  <c r="M25" i="61"/>
  <c r="H13" i="49"/>
  <c r="H14" i="49" s="1"/>
  <c r="H16" i="49" s="1"/>
  <c r="H21" i="49"/>
  <c r="F231" i="16"/>
  <c r="N231" i="16" s="1"/>
  <c r="N229" i="16"/>
  <c r="E254" i="64"/>
  <c r="F257" i="4"/>
  <c r="D13" i="61"/>
  <c r="D15" i="61" s="1"/>
  <c r="D31" i="24"/>
  <c r="D38" i="18"/>
  <c r="N39" i="18"/>
  <c r="B261" i="16"/>
  <c r="N89" i="70"/>
  <c r="K159" i="4"/>
  <c r="K155" i="4"/>
  <c r="K146" i="16"/>
  <c r="F20" i="4"/>
  <c r="F24" i="4"/>
  <c r="N55" i="70"/>
  <c r="A70" i="61"/>
  <c r="A77" i="61"/>
  <c r="A88" i="61" s="1"/>
  <c r="O134" i="48"/>
  <c r="B146" i="75"/>
  <c r="D146" i="75" s="1"/>
  <c r="E146" i="75" s="1"/>
  <c r="O125" i="48"/>
  <c r="B55" i="56" s="1"/>
  <c r="D55" i="56" s="1"/>
  <c r="E55" i="56" s="1"/>
  <c r="O79" i="48"/>
  <c r="B32" i="75" s="1"/>
  <c r="D32" i="75" s="1"/>
  <c r="E32" i="75" s="1"/>
  <c r="O185" i="48"/>
  <c r="B52" i="75"/>
  <c r="D52" i="75" s="1"/>
  <c r="E52" i="75" s="1"/>
  <c r="B46" i="56"/>
  <c r="D46" i="56" s="1"/>
  <c r="E46" i="56" s="1"/>
  <c r="G46" i="56" s="1"/>
  <c r="C115" i="61"/>
  <c r="L237" i="48"/>
  <c r="G82" i="49"/>
  <c r="H20" i="68"/>
  <c r="B214" i="16"/>
  <c r="E50" i="48"/>
  <c r="E16" i="48"/>
  <c r="B96" i="14"/>
  <c r="K119" i="61"/>
  <c r="G25" i="61"/>
  <c r="G20" i="61"/>
  <c r="C25" i="61"/>
  <c r="B127" i="14"/>
  <c r="B128" i="14" s="1"/>
  <c r="I69" i="14"/>
  <c r="I76" i="14"/>
  <c r="I77" i="14" s="1"/>
  <c r="I78" i="14" s="1"/>
  <c r="I80" i="14" s="1"/>
  <c r="J133" i="48" s="1"/>
  <c r="I63" i="14"/>
  <c r="I64" i="14" s="1"/>
  <c r="I66" i="14" s="1"/>
  <c r="D299" i="16"/>
  <c r="D122" i="16"/>
  <c r="D58" i="48"/>
  <c r="O58" i="48" s="1"/>
  <c r="N18" i="70"/>
  <c r="G101" i="14"/>
  <c r="G88" i="14"/>
  <c r="G89" i="14" s="1"/>
  <c r="G91" i="14" s="1"/>
  <c r="H182" i="48" s="1"/>
  <c r="G94" i="14"/>
  <c r="G95" i="14" s="1"/>
  <c r="G96" i="14" s="1"/>
  <c r="G98" i="14" s="1"/>
  <c r="H183" i="48" s="1"/>
  <c r="L274" i="48"/>
  <c r="L120" i="48"/>
  <c r="L29" i="48"/>
  <c r="L222" i="48"/>
  <c r="L171" i="48"/>
  <c r="L74" i="48"/>
  <c r="I38" i="49"/>
  <c r="D155" i="4"/>
  <c r="D159" i="4"/>
  <c r="B21" i="49"/>
  <c r="B13" i="49"/>
  <c r="B14" i="49" s="1"/>
  <c r="N12" i="49"/>
  <c r="B309" i="4"/>
  <c r="B313" i="4"/>
  <c r="O176" i="48"/>
  <c r="H19" i="63"/>
  <c r="F12" i="14" s="1"/>
  <c r="O19" i="63"/>
  <c r="M12" i="14" s="1"/>
  <c r="L245" i="48"/>
  <c r="K89" i="49"/>
  <c r="G185" i="16"/>
  <c r="G186" i="16" s="1"/>
  <c r="C320" i="16"/>
  <c r="C321" i="16" s="1"/>
  <c r="C316" i="16"/>
  <c r="B102" i="14"/>
  <c r="B16" i="14"/>
  <c r="F65" i="49"/>
  <c r="G20" i="68"/>
  <c r="I19" i="14"/>
  <c r="I20" i="14" s="1"/>
  <c r="I21" i="14" s="1"/>
  <c r="I26" i="14"/>
  <c r="I27" i="14" s="1"/>
  <c r="I28" i="14" s="1"/>
  <c r="I30" i="14" s="1"/>
  <c r="J47" i="48" s="1"/>
  <c r="I13" i="14"/>
  <c r="I14" i="14" s="1"/>
  <c r="I16" i="14" s="1"/>
  <c r="L26" i="14"/>
  <c r="L19" i="14"/>
  <c r="L20" i="14" s="1"/>
  <c r="L21" i="14" s="1"/>
  <c r="L13" i="14"/>
  <c r="L14" i="14" s="1"/>
  <c r="L16" i="14" s="1"/>
  <c r="E101" i="14"/>
  <c r="E102" i="14" s="1"/>
  <c r="E103" i="14" s="1"/>
  <c r="E105" i="14" s="1"/>
  <c r="F184" i="48" s="1"/>
  <c r="E88" i="14"/>
  <c r="E89" i="14" s="1"/>
  <c r="E91" i="14" s="1"/>
  <c r="E94" i="14"/>
  <c r="E95" i="14" s="1"/>
  <c r="E96" i="14" s="1"/>
  <c r="E98" i="14" s="1"/>
  <c r="F183" i="48" s="1"/>
  <c r="L101" i="14"/>
  <c r="L94" i="14"/>
  <c r="L88" i="14"/>
  <c r="L89" i="14" s="1"/>
  <c r="L91" i="14" s="1"/>
  <c r="M182" i="48" s="1"/>
  <c r="H94" i="14"/>
  <c r="E22" i="63"/>
  <c r="E20" i="63"/>
  <c r="N12" i="61"/>
  <c r="C19" i="61"/>
  <c r="O244" i="48"/>
  <c r="O192" i="48"/>
  <c r="O141" i="48"/>
  <c r="O95" i="48"/>
  <c r="F55" i="48"/>
  <c r="O55" i="48" s="1"/>
  <c r="B16" i="75" s="1"/>
  <c r="C161" i="16"/>
  <c r="N159" i="16"/>
  <c r="I58" i="16"/>
  <c r="N88" i="48"/>
  <c r="L69" i="14"/>
  <c r="L70" i="14" s="1"/>
  <c r="L71" i="14" s="1"/>
  <c r="L63" i="14"/>
  <c r="L64" i="14" s="1"/>
  <c r="L66" i="14" s="1"/>
  <c r="L76" i="14"/>
  <c r="H76" i="14"/>
  <c r="H69" i="14"/>
  <c r="H63" i="14"/>
  <c r="H64" i="14" s="1"/>
  <c r="H66" i="14" s="1"/>
  <c r="F297" i="4"/>
  <c r="F29" i="91" s="1"/>
  <c r="H33" i="11"/>
  <c r="B119" i="18"/>
  <c r="G284" i="4"/>
  <c r="G288" i="4"/>
  <c r="C169" i="16"/>
  <c r="C209" i="16" s="1"/>
  <c r="G33" i="11"/>
  <c r="B95" i="18"/>
  <c r="O279" i="48"/>
  <c r="G13" i="61"/>
  <c r="G15" i="61" s="1"/>
  <c r="D95" i="61"/>
  <c r="N69" i="70"/>
  <c r="H21" i="63"/>
  <c r="F62" i="14" s="1"/>
  <c r="F17" i="89" s="1"/>
  <c r="K36" i="24"/>
  <c r="L94" i="48" s="1"/>
  <c r="K48" i="24"/>
  <c r="C13" i="64"/>
  <c r="C68" i="64" s="1"/>
  <c r="C15" i="4"/>
  <c r="L113" i="14"/>
  <c r="L114" i="14" s="1"/>
  <c r="L116" i="14" s="1"/>
  <c r="M234" i="48" s="1"/>
  <c r="L126" i="14"/>
  <c r="L127" i="14" s="1"/>
  <c r="L128" i="14" s="1"/>
  <c r="L130" i="14" s="1"/>
  <c r="L119" i="14"/>
  <c r="B70" i="14"/>
  <c r="B71" i="14" s="1"/>
  <c r="E13" i="14"/>
  <c r="E14" i="14" s="1"/>
  <c r="E16" i="14" s="1"/>
  <c r="E19" i="14"/>
  <c r="E26" i="14"/>
  <c r="E27" i="14" s="1"/>
  <c r="E28" i="14" s="1"/>
  <c r="E30" i="14" s="1"/>
  <c r="F47" i="48" s="1"/>
  <c r="L110" i="18"/>
  <c r="N111" i="18"/>
  <c r="L73" i="24"/>
  <c r="I94" i="14"/>
  <c r="I95" i="14" s="1"/>
  <c r="I96" i="14" s="1"/>
  <c r="I98" i="14" s="1"/>
  <c r="J183" i="48" s="1"/>
  <c r="I101" i="14"/>
  <c r="I102" i="14" s="1"/>
  <c r="I103" i="14" s="1"/>
  <c r="I105" i="14" s="1"/>
  <c r="J184" i="48" s="1"/>
  <c r="I88" i="14"/>
  <c r="I89" i="14" s="1"/>
  <c r="I91" i="14" s="1"/>
  <c r="C88" i="48"/>
  <c r="B120" i="14"/>
  <c r="B121" i="14" s="1"/>
  <c r="K69" i="14"/>
  <c r="K70" i="14" s="1"/>
  <c r="K71" i="14" s="1"/>
  <c r="K76" i="14"/>
  <c r="K63" i="14"/>
  <c r="K64" i="14" s="1"/>
  <c r="K66" i="14" s="1"/>
  <c r="C299" i="16"/>
  <c r="E120" i="16"/>
  <c r="E119" i="64"/>
  <c r="F109" i="4"/>
  <c r="I144" i="16"/>
  <c r="E159" i="4"/>
  <c r="E155" i="4"/>
  <c r="M179" i="4"/>
  <c r="M184" i="4" s="1"/>
  <c r="M189" i="4" s="1"/>
  <c r="M174" i="4"/>
  <c r="L25" i="4"/>
  <c r="L29" i="4"/>
  <c r="D173" i="64"/>
  <c r="E168" i="4"/>
  <c r="E146" i="16"/>
  <c r="C155" i="4"/>
  <c r="C159" i="4"/>
  <c r="F137" i="48"/>
  <c r="B44" i="14"/>
  <c r="B51" i="14"/>
  <c r="B38" i="14"/>
  <c r="H20" i="63"/>
  <c r="F37" i="14" s="1"/>
  <c r="F17" i="94" s="1"/>
  <c r="O23" i="63"/>
  <c r="M112" i="14" s="1"/>
  <c r="M17" i="91" s="1"/>
  <c r="M24" i="91" s="1"/>
  <c r="E34" i="24"/>
  <c r="F185" i="16"/>
  <c r="D265" i="16"/>
  <c r="D266" i="16" s="1"/>
  <c r="D261" i="16"/>
  <c r="L51" i="14"/>
  <c r="L52" i="14" s="1"/>
  <c r="L53" i="14" s="1"/>
  <c r="L55" i="14" s="1"/>
  <c r="M87" i="48" s="1"/>
  <c r="L44" i="14"/>
  <c r="L45" i="14" s="1"/>
  <c r="L46" i="14" s="1"/>
  <c r="L38" i="14"/>
  <c r="L39" i="14" s="1"/>
  <c r="L41" i="14" s="1"/>
  <c r="M85" i="48" s="1"/>
  <c r="I44" i="14"/>
  <c r="I51" i="14"/>
  <c r="I52" i="14" s="1"/>
  <c r="I53" i="14" s="1"/>
  <c r="I55" i="14" s="1"/>
  <c r="J87" i="48" s="1"/>
  <c r="I38" i="14"/>
  <c r="I39" i="14" s="1"/>
  <c r="I41" i="14" s="1"/>
  <c r="J85" i="48" s="1"/>
  <c r="B13" i="16"/>
  <c r="B68" i="16" s="1"/>
  <c r="I119" i="14"/>
  <c r="I113" i="14"/>
  <c r="I114" i="14" s="1"/>
  <c r="I116" i="14" s="1"/>
  <c r="J234" i="48" s="1"/>
  <c r="I126" i="14"/>
  <c r="I127" i="14" s="1"/>
  <c r="I128" i="14" s="1"/>
  <c r="I130" i="14" s="1"/>
  <c r="E126" i="14"/>
  <c r="E119" i="14"/>
  <c r="E120" i="14" s="1"/>
  <c r="E121" i="14" s="1"/>
  <c r="E123" i="14" s="1"/>
  <c r="E113" i="14"/>
  <c r="E114" i="14" s="1"/>
  <c r="E116" i="14" s="1"/>
  <c r="E10" i="60"/>
  <c r="K126" i="61"/>
  <c r="K127" i="61" s="1"/>
  <c r="C126" i="61"/>
  <c r="C127" i="61" s="1"/>
  <c r="L223" i="4"/>
  <c r="L219" i="4"/>
  <c r="N164" i="16"/>
  <c r="K151" i="16"/>
  <c r="B114" i="14"/>
  <c r="B116" i="14" s="1"/>
  <c r="B80" i="14"/>
  <c r="E188" i="64"/>
  <c r="E184" i="16" s="1"/>
  <c r="E186" i="16" s="1"/>
  <c r="F188" i="4"/>
  <c r="J13" i="14"/>
  <c r="J14" i="14" s="1"/>
  <c r="J16" i="14" s="1"/>
  <c r="K45" i="48" s="1"/>
  <c r="J19" i="14"/>
  <c r="J20" i="14" s="1"/>
  <c r="J21" i="14" s="1"/>
  <c r="J26" i="14"/>
  <c r="J27" i="14" s="1"/>
  <c r="J28" i="14" s="1"/>
  <c r="J30" i="14" s="1"/>
  <c r="K47" i="48" s="1"/>
  <c r="G159" i="4"/>
  <c r="G155" i="4"/>
  <c r="D67" i="18"/>
  <c r="D75" i="18"/>
  <c r="D77" i="18" s="1"/>
  <c r="E139" i="48" s="1"/>
  <c r="D70" i="18"/>
  <c r="D64" i="18"/>
  <c r="H159" i="4"/>
  <c r="H155" i="4"/>
  <c r="K223" i="48"/>
  <c r="K172" i="48"/>
  <c r="K121" i="48"/>
  <c r="K30" i="48"/>
  <c r="K75" i="48"/>
  <c r="K275" i="48"/>
  <c r="E243" i="4"/>
  <c r="E248" i="4"/>
  <c r="O227" i="48"/>
  <c r="O20" i="63"/>
  <c r="M37" i="14" s="1"/>
  <c r="M17" i="94" s="1"/>
  <c r="H23" i="63"/>
  <c r="F112" i="14" s="1"/>
  <c r="F17" i="91" s="1"/>
  <c r="O22" i="63"/>
  <c r="M87" i="14" s="1"/>
  <c r="M17" i="90" s="1"/>
  <c r="C13" i="61"/>
  <c r="N148" i="64"/>
  <c r="M56" i="48"/>
  <c r="M22" i="48"/>
  <c r="G121" i="16"/>
  <c r="G126" i="16" s="1"/>
  <c r="M89" i="18"/>
  <c r="J190" i="48"/>
  <c r="E49" i="4"/>
  <c r="E50" i="4" s="1"/>
  <c r="E54" i="4"/>
  <c r="E44" i="4"/>
  <c r="E40" i="4"/>
  <c r="J170" i="64"/>
  <c r="I170" i="64"/>
  <c r="H260" i="64"/>
  <c r="G170" i="64"/>
  <c r="M170" i="64"/>
  <c r="M320" i="64"/>
  <c r="H240" i="64"/>
  <c r="L170" i="64"/>
  <c r="G240" i="64"/>
  <c r="E170" i="64"/>
  <c r="D170" i="64"/>
  <c r="F170" i="64"/>
  <c r="K170" i="64"/>
  <c r="C170" i="64"/>
  <c r="K315" i="64"/>
  <c r="H170" i="64"/>
  <c r="E60" i="24"/>
  <c r="H74" i="24"/>
  <c r="H78" i="24"/>
  <c r="C101" i="18"/>
  <c r="D243" i="48"/>
  <c r="K23" i="70"/>
  <c r="B82" i="16"/>
  <c r="N80" i="16"/>
  <c r="D188" i="48"/>
  <c r="C50" i="48"/>
  <c r="C16" i="48"/>
  <c r="H122" i="14"/>
  <c r="M308" i="4"/>
  <c r="M303" i="4"/>
  <c r="I47" i="14"/>
  <c r="D23" i="49"/>
  <c r="B151" i="16"/>
  <c r="N149" i="16"/>
  <c r="C30" i="64"/>
  <c r="F16" i="49"/>
  <c r="E46" i="24"/>
  <c r="N47" i="24"/>
  <c r="N279" i="4"/>
  <c r="K24" i="91" l="1"/>
  <c r="H88" i="14"/>
  <c r="H89" i="14" s="1"/>
  <c r="H91" i="14" s="1"/>
  <c r="E69" i="14"/>
  <c r="E299" i="64"/>
  <c r="H101" i="14"/>
  <c r="H102" i="14" s="1"/>
  <c r="H103" i="14" s="1"/>
  <c r="H105" i="14" s="1"/>
  <c r="I184" i="48" s="1"/>
  <c r="H19" i="14"/>
  <c r="H20" i="14" s="1"/>
  <c r="H21" i="14" s="1"/>
  <c r="E76" i="14"/>
  <c r="H51" i="14"/>
  <c r="H52" i="14" s="1"/>
  <c r="H53" i="14" s="1"/>
  <c r="H55" i="14" s="1"/>
  <c r="I87" i="48" s="1"/>
  <c r="E91" i="4"/>
  <c r="H13" i="14"/>
  <c r="H14" i="14" s="1"/>
  <c r="H16" i="14" s="1"/>
  <c r="H119" i="14"/>
  <c r="E44" i="14"/>
  <c r="E45" i="14" s="1"/>
  <c r="E46" i="14" s="1"/>
  <c r="E48" i="14" s="1"/>
  <c r="F86" i="48" s="1"/>
  <c r="E63" i="14"/>
  <c r="E64" i="14" s="1"/>
  <c r="E66" i="14" s="1"/>
  <c r="F131" i="48" s="1"/>
  <c r="B47" i="18"/>
  <c r="C47" i="18" s="1"/>
  <c r="C95" i="4"/>
  <c r="C100" i="4" s="1"/>
  <c r="C105" i="4" s="1"/>
  <c r="C115" i="4" s="1"/>
  <c r="C120" i="4" s="1"/>
  <c r="C121" i="4" s="1"/>
  <c r="O33" i="90"/>
  <c r="E38" i="14"/>
  <c r="E39" i="14" s="1"/>
  <c r="E41" i="14" s="1"/>
  <c r="F85" i="48" s="1"/>
  <c r="H38" i="14"/>
  <c r="H39" i="14" s="1"/>
  <c r="H41" i="14" s="1"/>
  <c r="I85" i="48" s="1"/>
  <c r="O18" i="90"/>
  <c r="E51" i="14"/>
  <c r="E52" i="14" s="1"/>
  <c r="E53" i="14" s="1"/>
  <c r="E55" i="14" s="1"/>
  <c r="H44" i="14"/>
  <c r="H45" i="14" s="1"/>
  <c r="H46" i="14" s="1"/>
  <c r="H48" i="14" s="1"/>
  <c r="D91" i="18"/>
  <c r="E188" i="48" s="1"/>
  <c r="H113" i="14"/>
  <c r="H114" i="14" s="1"/>
  <c r="H116" i="14" s="1"/>
  <c r="I234" i="48" s="1"/>
  <c r="F24" i="91"/>
  <c r="H126" i="14"/>
  <c r="H127" i="14" s="1"/>
  <c r="H128" i="14" s="1"/>
  <c r="H130" i="14" s="1"/>
  <c r="D94" i="18"/>
  <c r="E69" i="4"/>
  <c r="N86" i="18"/>
  <c r="E100" i="4"/>
  <c r="E101" i="4" s="1"/>
  <c r="D125" i="18"/>
  <c r="E242" i="48" s="1"/>
  <c r="D99" i="18"/>
  <c r="D101" i="18" s="1"/>
  <c r="E190" i="48" s="1"/>
  <c r="N73" i="70"/>
  <c r="N39" i="70"/>
  <c r="G40" i="49"/>
  <c r="G39" i="49" s="1"/>
  <c r="G138" i="14"/>
  <c r="G139" i="14" s="1"/>
  <c r="G141" i="14" s="1"/>
  <c r="G17" i="92"/>
  <c r="G24" i="92" s="1"/>
  <c r="E57" i="49"/>
  <c r="E56" i="49" s="1"/>
  <c r="E25" i="85"/>
  <c r="D26" i="85"/>
  <c r="C287" i="48"/>
  <c r="B157" i="14"/>
  <c r="C12" i="48"/>
  <c r="K91" i="49"/>
  <c r="K90" i="49" s="1"/>
  <c r="B64" i="95"/>
  <c r="B64" i="87"/>
  <c r="B63" i="86"/>
  <c r="B58" i="84"/>
  <c r="B58" i="79"/>
  <c r="C58" i="79" s="1"/>
  <c r="D58" i="79" s="1"/>
  <c r="E58" i="79" s="1"/>
  <c r="F58" i="79" s="1"/>
  <c r="G58" i="79" s="1"/>
  <c r="H58" i="79" s="1"/>
  <c r="I58" i="79" s="1"/>
  <c r="J58" i="79" s="1"/>
  <c r="K58" i="79" s="1"/>
  <c r="L58" i="79" s="1"/>
  <c r="M58" i="79" s="1"/>
  <c r="I40" i="49"/>
  <c r="I39" i="49" s="1"/>
  <c r="G13" i="91"/>
  <c r="N13" i="91" s="1"/>
  <c r="G86" i="49"/>
  <c r="G84" i="49"/>
  <c r="G83" i="49" s="1"/>
  <c r="N83" i="49" s="1"/>
  <c r="F188" i="64"/>
  <c r="F184" i="16" s="1"/>
  <c r="F186" i="16" s="1"/>
  <c r="F31" i="90"/>
  <c r="F31" i="89"/>
  <c r="E29" i="90"/>
  <c r="E29" i="89"/>
  <c r="F13" i="90"/>
  <c r="N13" i="90" s="1"/>
  <c r="F67" i="49"/>
  <c r="F66" i="49" s="1"/>
  <c r="N66" i="49" s="1"/>
  <c r="F69" i="49"/>
  <c r="E138" i="4"/>
  <c r="E28" i="94"/>
  <c r="E173" i="4"/>
  <c r="AB36" i="61"/>
  <c r="I91" i="49"/>
  <c r="I90" i="49" s="1"/>
  <c r="D40" i="49"/>
  <c r="D39" i="49" s="1"/>
  <c r="C91" i="49"/>
  <c r="C90" i="49" s="1"/>
  <c r="L188" i="4"/>
  <c r="M188" i="4" s="1"/>
  <c r="K31" i="90"/>
  <c r="K31" i="89"/>
  <c r="H40" i="49"/>
  <c r="H39" i="49" s="1"/>
  <c r="D101" i="14"/>
  <c r="D102" i="14" s="1"/>
  <c r="D103" i="14" s="1"/>
  <c r="D105" i="14" s="1"/>
  <c r="E184" i="48" s="1"/>
  <c r="D17" i="90"/>
  <c r="B57" i="49"/>
  <c r="B56" i="49" s="1"/>
  <c r="C322" i="4"/>
  <c r="C33" i="91"/>
  <c r="C34" i="91" s="1"/>
  <c r="B74" i="49"/>
  <c r="B73" i="49" s="1"/>
  <c r="J44" i="14"/>
  <c r="J45" i="14" s="1"/>
  <c r="J46" i="14" s="1"/>
  <c r="J17" i="94"/>
  <c r="K38" i="14"/>
  <c r="K39" i="14" s="1"/>
  <c r="K41" i="14" s="1"/>
  <c r="L85" i="48" s="1"/>
  <c r="K17" i="94"/>
  <c r="F173" i="14"/>
  <c r="G337" i="48" s="1"/>
  <c r="D144" i="14"/>
  <c r="D145" i="14" s="1"/>
  <c r="D146" i="14" s="1"/>
  <c r="D148" i="14" s="1"/>
  <c r="D17" i="92"/>
  <c r="D24" i="92" s="1"/>
  <c r="J57" i="49"/>
  <c r="J56" i="49" s="1"/>
  <c r="E91" i="49"/>
  <c r="E90" i="49" s="1"/>
  <c r="E34" i="91"/>
  <c r="D57" i="49"/>
  <c r="D56" i="49" s="1"/>
  <c r="C57" i="49"/>
  <c r="C56" i="49" s="1"/>
  <c r="I57" i="49"/>
  <c r="I56" i="49" s="1"/>
  <c r="B91" i="49"/>
  <c r="B90" i="49" s="1"/>
  <c r="L91" i="49"/>
  <c r="L90" i="49" s="1"/>
  <c r="B87" i="95"/>
  <c r="B87" i="87"/>
  <c r="B86" i="86"/>
  <c r="B75" i="84"/>
  <c r="B75" i="79"/>
  <c r="C75" i="79" s="1"/>
  <c r="D75" i="79" s="1"/>
  <c r="E75" i="79" s="1"/>
  <c r="F75" i="79" s="1"/>
  <c r="G75" i="79" s="1"/>
  <c r="H75" i="79" s="1"/>
  <c r="I75" i="79" s="1"/>
  <c r="J75" i="79" s="1"/>
  <c r="K75" i="79" s="1"/>
  <c r="L75" i="79" s="1"/>
  <c r="M75" i="79" s="1"/>
  <c r="B109" i="49"/>
  <c r="L57" i="49"/>
  <c r="L56" i="49" s="1"/>
  <c r="M40" i="49"/>
  <c r="M39" i="49" s="1"/>
  <c r="D74" i="49"/>
  <c r="D73" i="49" s="1"/>
  <c r="D119" i="14"/>
  <c r="D120" i="14" s="1"/>
  <c r="D121" i="14" s="1"/>
  <c r="D123" i="14" s="1"/>
  <c r="D17" i="91"/>
  <c r="D24" i="91" s="1"/>
  <c r="J74" i="49"/>
  <c r="J73" i="49" s="1"/>
  <c r="D322" i="4"/>
  <c r="D33" i="91"/>
  <c r="D34" i="91" s="1"/>
  <c r="J94" i="14"/>
  <c r="J95" i="14" s="1"/>
  <c r="J96" i="14" s="1"/>
  <c r="J98" i="14" s="1"/>
  <c r="K183" i="48" s="1"/>
  <c r="J17" i="90"/>
  <c r="F101" i="14"/>
  <c r="F102" i="14" s="1"/>
  <c r="F103" i="14" s="1"/>
  <c r="F105" i="14" s="1"/>
  <c r="F17" i="90"/>
  <c r="K151" i="14"/>
  <c r="K152" i="14" s="1"/>
  <c r="K153" i="14" s="1"/>
  <c r="K155" i="14" s="1"/>
  <c r="L13" i="48" s="1"/>
  <c r="K17" i="92"/>
  <c r="K24" i="92" s="1"/>
  <c r="H144" i="14"/>
  <c r="H145" i="14" s="1"/>
  <c r="H146" i="14" s="1"/>
  <c r="H148" i="14" s="1"/>
  <c r="I12" i="48" s="1"/>
  <c r="H17" i="92"/>
  <c r="H24" i="92" s="1"/>
  <c r="C337" i="48"/>
  <c r="B182" i="14"/>
  <c r="C34" i="90"/>
  <c r="N33" i="90"/>
  <c r="J147" i="14"/>
  <c r="K147" i="14" s="1"/>
  <c r="L147" i="14" s="1"/>
  <c r="M147" i="14" s="1"/>
  <c r="I148" i="14"/>
  <c r="E31" i="90"/>
  <c r="E31" i="89"/>
  <c r="L24" i="91"/>
  <c r="C34" i="89"/>
  <c r="C169" i="18"/>
  <c r="B170" i="18"/>
  <c r="B34" i="91"/>
  <c r="B24" i="95"/>
  <c r="B24" i="87"/>
  <c r="B23" i="86"/>
  <c r="B24" i="84"/>
  <c r="B24" i="79"/>
  <c r="C24" i="79" s="1"/>
  <c r="D24" i="79" s="1"/>
  <c r="E24" i="79" s="1"/>
  <c r="F24" i="79" s="1"/>
  <c r="G24" i="79" s="1"/>
  <c r="H24" i="79" s="1"/>
  <c r="I24" i="79" s="1"/>
  <c r="J24" i="79" s="1"/>
  <c r="K24" i="79" s="1"/>
  <c r="L24" i="79" s="1"/>
  <c r="M24" i="79" s="1"/>
  <c r="D51" i="14"/>
  <c r="D52" i="14" s="1"/>
  <c r="D53" i="14" s="1"/>
  <c r="D55" i="14" s="1"/>
  <c r="D17" i="94"/>
  <c r="N17" i="93"/>
  <c r="N24" i="93" s="1"/>
  <c r="O17" i="93"/>
  <c r="O24" i="93" s="1"/>
  <c r="C24" i="93"/>
  <c r="D144" i="18"/>
  <c r="C145" i="18"/>
  <c r="L74" i="49"/>
  <c r="L73" i="49" s="1"/>
  <c r="K57" i="49"/>
  <c r="K56" i="49" s="1"/>
  <c r="F91" i="49"/>
  <c r="F90" i="49" s="1"/>
  <c r="H74" i="49"/>
  <c r="H73" i="49" s="1"/>
  <c r="G38" i="14"/>
  <c r="G39" i="14" s="1"/>
  <c r="G41" i="14" s="1"/>
  <c r="H85" i="48" s="1"/>
  <c r="G17" i="94"/>
  <c r="E323" i="48"/>
  <c r="E370" i="48"/>
  <c r="E73" i="48"/>
  <c r="B33" i="92"/>
  <c r="B382" i="4"/>
  <c r="B377" i="4"/>
  <c r="J126" i="14"/>
  <c r="J127" i="14" s="1"/>
  <c r="J128" i="14" s="1"/>
  <c r="J130" i="14" s="1"/>
  <c r="J17" i="91"/>
  <c r="J24" i="91" s="1"/>
  <c r="E144" i="14"/>
  <c r="E145" i="14" s="1"/>
  <c r="E146" i="14" s="1"/>
  <c r="E148" i="14" s="1"/>
  <c r="E17" i="92"/>
  <c r="E24" i="92" s="1"/>
  <c r="K94" i="14"/>
  <c r="K95" i="14" s="1"/>
  <c r="K96" i="14" s="1"/>
  <c r="K98" i="14" s="1"/>
  <c r="K17" i="90"/>
  <c r="G119" i="14"/>
  <c r="G120" i="14" s="1"/>
  <c r="G121" i="14" s="1"/>
  <c r="G123" i="14" s="1"/>
  <c r="H235" i="48" s="1"/>
  <c r="G17" i="91"/>
  <c r="B40" i="49"/>
  <c r="B39" i="49" s="1"/>
  <c r="F40" i="49"/>
  <c r="F39" i="49" s="1"/>
  <c r="J172" i="14"/>
  <c r="K172" i="14" s="1"/>
  <c r="L172" i="14" s="1"/>
  <c r="M172" i="14" s="1"/>
  <c r="M173" i="14" s="1"/>
  <c r="N337" i="48" s="1"/>
  <c r="I173" i="14"/>
  <c r="E24" i="91"/>
  <c r="D30" i="90"/>
  <c r="D30" i="89"/>
  <c r="D178" i="64"/>
  <c r="D174" i="16" s="1"/>
  <c r="I24" i="91"/>
  <c r="D34" i="90"/>
  <c r="N90" i="70"/>
  <c r="O13" i="90"/>
  <c r="N13" i="94"/>
  <c r="O13" i="94"/>
  <c r="N426" i="16"/>
  <c r="N396" i="16"/>
  <c r="N406" i="16"/>
  <c r="H315" i="64"/>
  <c r="K440" i="64"/>
  <c r="G440" i="64"/>
  <c r="C440" i="64"/>
  <c r="J435" i="64"/>
  <c r="J436" i="64" s="1"/>
  <c r="F435" i="64"/>
  <c r="F436" i="64" s="1"/>
  <c r="K415" i="64"/>
  <c r="K416" i="64" s="1"/>
  <c r="G415" i="64"/>
  <c r="G416" i="64" s="1"/>
  <c r="C415" i="64"/>
  <c r="C416" i="64" s="1"/>
  <c r="L440" i="64"/>
  <c r="H440" i="64"/>
  <c r="D440" i="64"/>
  <c r="K435" i="64"/>
  <c r="K436" i="64" s="1"/>
  <c r="G435" i="64"/>
  <c r="G436" i="64" s="1"/>
  <c r="C435" i="64"/>
  <c r="C436" i="64" s="1"/>
  <c r="L415" i="64"/>
  <c r="L416" i="64" s="1"/>
  <c r="H415" i="64"/>
  <c r="H416" i="64" s="1"/>
  <c r="D415" i="64"/>
  <c r="D416" i="64" s="1"/>
  <c r="F440" i="64"/>
  <c r="M435" i="64"/>
  <c r="M436" i="64" s="1"/>
  <c r="E435" i="64"/>
  <c r="E436" i="64" s="1"/>
  <c r="F415" i="64"/>
  <c r="F416" i="64" s="1"/>
  <c r="I435" i="64"/>
  <c r="I436" i="64" s="1"/>
  <c r="J415" i="64"/>
  <c r="J416" i="64" s="1"/>
  <c r="I440" i="64"/>
  <c r="H435" i="64"/>
  <c r="H436" i="64" s="1"/>
  <c r="M440" i="64"/>
  <c r="E440" i="64"/>
  <c r="L435" i="64"/>
  <c r="L436" i="64" s="1"/>
  <c r="D435" i="64"/>
  <c r="D436" i="64" s="1"/>
  <c r="M415" i="64"/>
  <c r="M416" i="64" s="1"/>
  <c r="E415" i="64"/>
  <c r="E416" i="64" s="1"/>
  <c r="J440" i="64"/>
  <c r="I415" i="64"/>
  <c r="I416" i="64" s="1"/>
  <c r="N431" i="16"/>
  <c r="B415" i="16"/>
  <c r="B416" i="16" s="1"/>
  <c r="B411" i="16"/>
  <c r="B420" i="16"/>
  <c r="B421" i="16" s="1"/>
  <c r="B415" i="64"/>
  <c r="B411" i="64"/>
  <c r="N411" i="64" s="1"/>
  <c r="C420" i="16"/>
  <c r="C421" i="16" s="1"/>
  <c r="C415" i="16"/>
  <c r="C411" i="16"/>
  <c r="D410" i="16"/>
  <c r="M69" i="14"/>
  <c r="M70" i="14" s="1"/>
  <c r="M71" i="14" s="1"/>
  <c r="M17" i="89"/>
  <c r="D69" i="14"/>
  <c r="D70" i="14" s="1"/>
  <c r="D71" i="14" s="1"/>
  <c r="D17" i="89"/>
  <c r="N18" i="89"/>
  <c r="G76" i="14"/>
  <c r="G77" i="14" s="1"/>
  <c r="G78" i="14" s="1"/>
  <c r="G80" i="14" s="1"/>
  <c r="H133" i="48" s="1"/>
  <c r="G17" i="89"/>
  <c r="J76" i="14"/>
  <c r="J77" i="14" s="1"/>
  <c r="J78" i="14" s="1"/>
  <c r="J80" i="14" s="1"/>
  <c r="K133" i="48" s="1"/>
  <c r="J17" i="89"/>
  <c r="K51" i="14"/>
  <c r="O13" i="89"/>
  <c r="N13" i="89"/>
  <c r="K13" i="14"/>
  <c r="K14" i="14" s="1"/>
  <c r="K16" i="14" s="1"/>
  <c r="L45" i="48" s="1"/>
  <c r="N22" i="70"/>
  <c r="K26" i="14"/>
  <c r="K27" i="14" s="1"/>
  <c r="K28" i="14" s="1"/>
  <c r="K30" i="14" s="1"/>
  <c r="E138" i="14"/>
  <c r="E139" i="14" s="1"/>
  <c r="E141" i="14" s="1"/>
  <c r="F286" i="48" s="1"/>
  <c r="F88" i="14"/>
  <c r="F89" i="14" s="1"/>
  <c r="F91" i="14" s="1"/>
  <c r="G182" i="48" s="1"/>
  <c r="M288" i="48"/>
  <c r="F50" i="48"/>
  <c r="M286" i="48"/>
  <c r="K101" i="14"/>
  <c r="K102" i="14" s="1"/>
  <c r="K103" i="14" s="1"/>
  <c r="K105" i="14" s="1"/>
  <c r="L184" i="48" s="1"/>
  <c r="G113" i="14"/>
  <c r="G114" i="14" s="1"/>
  <c r="G116" i="14" s="1"/>
  <c r="H234" i="48" s="1"/>
  <c r="E151" i="14"/>
  <c r="E152" i="14" s="1"/>
  <c r="E153" i="14" s="1"/>
  <c r="E155" i="14" s="1"/>
  <c r="F13" i="48" s="1"/>
  <c r="J101" i="14"/>
  <c r="J102" i="14" s="1"/>
  <c r="J103" i="14" s="1"/>
  <c r="J105" i="14" s="1"/>
  <c r="K184" i="48" s="1"/>
  <c r="K144" i="14"/>
  <c r="K145" i="14" s="1"/>
  <c r="K146" i="14" s="1"/>
  <c r="G144" i="14"/>
  <c r="G145" i="14" s="1"/>
  <c r="G146" i="14" s="1"/>
  <c r="G148" i="14" s="1"/>
  <c r="H287" i="48" s="1"/>
  <c r="J63" i="14"/>
  <c r="J64" i="14" s="1"/>
  <c r="J66" i="14" s="1"/>
  <c r="K131" i="48" s="1"/>
  <c r="D63" i="14"/>
  <c r="D64" i="14" s="1"/>
  <c r="D66" i="14" s="1"/>
  <c r="E131" i="48" s="1"/>
  <c r="J88" i="14"/>
  <c r="J89" i="14" s="1"/>
  <c r="J91" i="14" s="1"/>
  <c r="K182" i="48" s="1"/>
  <c r="K44" i="14"/>
  <c r="K45" i="14" s="1"/>
  <c r="K46" i="14" s="1"/>
  <c r="D151" i="14"/>
  <c r="D152" i="14" s="1"/>
  <c r="D153" i="14" s="1"/>
  <c r="D155" i="14" s="1"/>
  <c r="E288" i="48" s="1"/>
  <c r="G151" i="14"/>
  <c r="G152" i="14" s="1"/>
  <c r="G153" i="14" s="1"/>
  <c r="G155" i="14" s="1"/>
  <c r="H288" i="48" s="1"/>
  <c r="D138" i="14"/>
  <c r="D139" i="14" s="1"/>
  <c r="D141" i="14" s="1"/>
  <c r="E11" i="48" s="1"/>
  <c r="C163" i="14"/>
  <c r="C164" i="14" s="1"/>
  <c r="C176" i="14"/>
  <c r="C169" i="14"/>
  <c r="N162" i="14"/>
  <c r="P162" i="14" s="1"/>
  <c r="K138" i="14"/>
  <c r="K139" i="14" s="1"/>
  <c r="K141" i="14" s="1"/>
  <c r="L286" i="48" s="1"/>
  <c r="H138" i="14"/>
  <c r="H139" i="14" s="1"/>
  <c r="H141" i="14" s="1"/>
  <c r="I286" i="48" s="1"/>
  <c r="G336" i="48"/>
  <c r="K88" i="14"/>
  <c r="K89" i="14" s="1"/>
  <c r="K91" i="14" s="1"/>
  <c r="L182" i="48" s="1"/>
  <c r="D88" i="14"/>
  <c r="D89" i="14" s="1"/>
  <c r="D91" i="14" s="1"/>
  <c r="E182" i="48" s="1"/>
  <c r="G126" i="14"/>
  <c r="G127" i="14" s="1"/>
  <c r="G128" i="14" s="1"/>
  <c r="G130" i="14" s="1"/>
  <c r="F94" i="14"/>
  <c r="F95" i="14" s="1"/>
  <c r="F96" i="14" s="1"/>
  <c r="F98" i="14" s="1"/>
  <c r="G183" i="48" s="1"/>
  <c r="H151" i="14"/>
  <c r="H152" i="14" s="1"/>
  <c r="H153" i="14" s="1"/>
  <c r="H155" i="14" s="1"/>
  <c r="I13" i="48" s="1"/>
  <c r="K336" i="48"/>
  <c r="K169" i="14"/>
  <c r="K170" i="14" s="1"/>
  <c r="K171" i="14" s="1"/>
  <c r="K163" i="14"/>
  <c r="K164" i="14" s="1"/>
  <c r="K166" i="14" s="1"/>
  <c r="K176" i="14"/>
  <c r="K177" i="14" s="1"/>
  <c r="K178" i="14" s="1"/>
  <c r="K180" i="14" s="1"/>
  <c r="L338" i="48" s="1"/>
  <c r="H176" i="14"/>
  <c r="H177" i="14" s="1"/>
  <c r="H178" i="14" s="1"/>
  <c r="H180" i="14" s="1"/>
  <c r="I338" i="48" s="1"/>
  <c r="H163" i="14"/>
  <c r="H164" i="14" s="1"/>
  <c r="H166" i="14" s="1"/>
  <c r="H169" i="14"/>
  <c r="H170" i="14" s="1"/>
  <c r="H171" i="14" s="1"/>
  <c r="H173" i="14" s="1"/>
  <c r="I337" i="48" s="1"/>
  <c r="P25" i="63"/>
  <c r="E169" i="14"/>
  <c r="E170" i="14" s="1"/>
  <c r="E171" i="14" s="1"/>
  <c r="E173" i="14" s="1"/>
  <c r="F337" i="48" s="1"/>
  <c r="E176" i="14"/>
  <c r="E177" i="14" s="1"/>
  <c r="E178" i="14" s="1"/>
  <c r="E180" i="14" s="1"/>
  <c r="F338" i="48" s="1"/>
  <c r="E163" i="14"/>
  <c r="E164" i="14" s="1"/>
  <c r="E166" i="14" s="1"/>
  <c r="D163" i="14"/>
  <c r="D164" i="14" s="1"/>
  <c r="D166" i="14" s="1"/>
  <c r="D169" i="14"/>
  <c r="D170" i="14" s="1"/>
  <c r="D171" i="14" s="1"/>
  <c r="D173" i="14" s="1"/>
  <c r="E337" i="48" s="1"/>
  <c r="D176" i="14"/>
  <c r="D177" i="14" s="1"/>
  <c r="D178" i="14" s="1"/>
  <c r="D180" i="14" s="1"/>
  <c r="E338" i="48" s="1"/>
  <c r="N336" i="48"/>
  <c r="G163" i="14"/>
  <c r="G164" i="14" s="1"/>
  <c r="G166" i="14" s="1"/>
  <c r="G169" i="14"/>
  <c r="G170" i="14" s="1"/>
  <c r="G171" i="14" s="1"/>
  <c r="G173" i="14" s="1"/>
  <c r="H337" i="48" s="1"/>
  <c r="G176" i="14"/>
  <c r="G177" i="14" s="1"/>
  <c r="G178" i="14" s="1"/>
  <c r="G180" i="14" s="1"/>
  <c r="H338" i="48" s="1"/>
  <c r="M336" i="48"/>
  <c r="L90" i="4"/>
  <c r="L91" i="4" s="1"/>
  <c r="M63" i="14"/>
  <c r="M64" i="14" s="1"/>
  <c r="M66" i="14" s="1"/>
  <c r="N131" i="48" s="1"/>
  <c r="M76" i="14"/>
  <c r="M77" i="14" s="1"/>
  <c r="M78" i="14" s="1"/>
  <c r="M80" i="14" s="1"/>
  <c r="J38" i="14"/>
  <c r="J39" i="14" s="1"/>
  <c r="J41" i="14" s="1"/>
  <c r="K85" i="48" s="1"/>
  <c r="J51" i="14"/>
  <c r="J52" i="14" s="1"/>
  <c r="J53" i="14" s="1"/>
  <c r="J55" i="14" s="1"/>
  <c r="K87" i="48" s="1"/>
  <c r="D76" i="14"/>
  <c r="D77" i="14" s="1"/>
  <c r="D78" i="14" s="1"/>
  <c r="D80" i="14" s="1"/>
  <c r="E133" i="48" s="1"/>
  <c r="D94" i="14"/>
  <c r="D95" i="14" s="1"/>
  <c r="D96" i="14" s="1"/>
  <c r="D98" i="14" s="1"/>
  <c r="E183" i="48" s="1"/>
  <c r="J113" i="14"/>
  <c r="J114" i="14" s="1"/>
  <c r="J116" i="14" s="1"/>
  <c r="K234" i="48" s="1"/>
  <c r="M138" i="14"/>
  <c r="M139" i="14" s="1"/>
  <c r="M141" i="14" s="1"/>
  <c r="M144" i="14"/>
  <c r="M145" i="14" s="1"/>
  <c r="M146" i="14" s="1"/>
  <c r="M151" i="14"/>
  <c r="M152" i="14" s="1"/>
  <c r="M153" i="14" s="1"/>
  <c r="M155" i="14" s="1"/>
  <c r="L288" i="48"/>
  <c r="C137" i="14"/>
  <c r="C17" i="92" s="1"/>
  <c r="P24" i="63"/>
  <c r="J119" i="14"/>
  <c r="J120" i="14" s="1"/>
  <c r="J121" i="14" s="1"/>
  <c r="H286" i="48"/>
  <c r="H11" i="48"/>
  <c r="P19" i="63"/>
  <c r="F138" i="14"/>
  <c r="F139" i="14" s="1"/>
  <c r="F141" i="14" s="1"/>
  <c r="F144" i="14"/>
  <c r="F151" i="14"/>
  <c r="F152" i="14" s="1"/>
  <c r="F153" i="14" s="1"/>
  <c r="F155" i="14" s="1"/>
  <c r="E287" i="48"/>
  <c r="E12" i="48"/>
  <c r="J138" i="14"/>
  <c r="J139" i="14" s="1"/>
  <c r="J141" i="14" s="1"/>
  <c r="J151" i="14"/>
  <c r="J152" i="14" s="1"/>
  <c r="J153" i="14" s="1"/>
  <c r="J155" i="14" s="1"/>
  <c r="J144" i="14"/>
  <c r="O12" i="14"/>
  <c r="B201" i="16"/>
  <c r="B204" i="16"/>
  <c r="B205" i="16" s="1"/>
  <c r="J201" i="16"/>
  <c r="J204" i="16"/>
  <c r="J205" i="16" s="1"/>
  <c r="L201" i="16"/>
  <c r="L204" i="16"/>
  <c r="L205" i="16" s="1"/>
  <c r="H201" i="16"/>
  <c r="H204" i="16"/>
  <c r="H205" i="16" s="1"/>
  <c r="F201" i="16"/>
  <c r="F204" i="16"/>
  <c r="F205" i="16" s="1"/>
  <c r="G201" i="16"/>
  <c r="G204" i="16"/>
  <c r="G205" i="16" s="1"/>
  <c r="I201" i="16"/>
  <c r="I204" i="16"/>
  <c r="I205" i="16" s="1"/>
  <c r="D201" i="16"/>
  <c r="D204" i="16"/>
  <c r="D205" i="16" s="1"/>
  <c r="J95" i="4"/>
  <c r="J96" i="4" s="1"/>
  <c r="H95" i="4"/>
  <c r="H100" i="4" s="1"/>
  <c r="B86" i="4"/>
  <c r="B90" i="4"/>
  <c r="B329" i="64"/>
  <c r="B324" i="16"/>
  <c r="F86" i="4"/>
  <c r="F90" i="4"/>
  <c r="N81" i="4"/>
  <c r="C274" i="64"/>
  <c r="C274" i="16" s="1"/>
  <c r="C276" i="16" s="1"/>
  <c r="C274" i="4"/>
  <c r="F274" i="64"/>
  <c r="F274" i="16" s="1"/>
  <c r="F276" i="16" s="1"/>
  <c r="F274" i="4"/>
  <c r="G272" i="4"/>
  <c r="G33" i="91" s="1"/>
  <c r="D274" i="64"/>
  <c r="D274" i="16" s="1"/>
  <c r="D276" i="16" s="1"/>
  <c r="D274" i="4"/>
  <c r="E274" i="64"/>
  <c r="E274" i="16" s="1"/>
  <c r="E276" i="16" s="1"/>
  <c r="E274" i="4"/>
  <c r="B329" i="16"/>
  <c r="B334" i="64"/>
  <c r="D327" i="4"/>
  <c r="D33" i="92" s="1"/>
  <c r="D34" i="92" s="1"/>
  <c r="B329" i="4"/>
  <c r="C327" i="4"/>
  <c r="C33" i="92" s="1"/>
  <c r="C34" i="92" s="1"/>
  <c r="F327" i="4"/>
  <c r="F33" i="92" s="1"/>
  <c r="F34" i="92" s="1"/>
  <c r="F37" i="92" s="1"/>
  <c r="E327" i="4"/>
  <c r="E33" i="92" s="1"/>
  <c r="E34" i="92" s="1"/>
  <c r="N161" i="16"/>
  <c r="E23" i="70"/>
  <c r="N23" i="70" s="1"/>
  <c r="E16" i="60"/>
  <c r="M251" i="48"/>
  <c r="M236" i="48"/>
  <c r="J251" i="48"/>
  <c r="J236" i="48"/>
  <c r="H251" i="48"/>
  <c r="F235" i="48"/>
  <c r="D245" i="64"/>
  <c r="H245" i="64"/>
  <c r="F315" i="64"/>
  <c r="C295" i="64"/>
  <c r="C296" i="64" s="1"/>
  <c r="N75" i="16"/>
  <c r="M235" i="64"/>
  <c r="M236" i="64" s="1"/>
  <c r="E315" i="64"/>
  <c r="D139" i="16"/>
  <c r="I132" i="16"/>
  <c r="I135" i="16"/>
  <c r="I136" i="16" s="1"/>
  <c r="D132" i="16"/>
  <c r="D135" i="16"/>
  <c r="D136" i="16" s="1"/>
  <c r="K132" i="16"/>
  <c r="K135" i="16"/>
  <c r="K136" i="16" s="1"/>
  <c r="H132" i="16"/>
  <c r="H135" i="16"/>
  <c r="H136" i="16" s="1"/>
  <c r="L132" i="16"/>
  <c r="L135" i="16"/>
  <c r="L136" i="16" s="1"/>
  <c r="M132" i="16"/>
  <c r="M135" i="16"/>
  <c r="M136" i="16" s="1"/>
  <c r="N351" i="16"/>
  <c r="D55" i="16"/>
  <c r="D59" i="16"/>
  <c r="D60" i="16" s="1"/>
  <c r="H55" i="16"/>
  <c r="H59" i="16"/>
  <c r="H64" i="16" s="1"/>
  <c r="H65" i="16" s="1"/>
  <c r="J55" i="16"/>
  <c r="J59" i="16"/>
  <c r="J64" i="16" s="1"/>
  <c r="J65" i="16" s="1"/>
  <c r="E55" i="16"/>
  <c r="E59" i="16"/>
  <c r="B55" i="16"/>
  <c r="B59" i="16"/>
  <c r="C55" i="16"/>
  <c r="C59" i="16"/>
  <c r="G55" i="16"/>
  <c r="G59" i="16"/>
  <c r="G64" i="16" s="1"/>
  <c r="G65" i="16" s="1"/>
  <c r="L55" i="16"/>
  <c r="L59" i="16"/>
  <c r="L64" i="16" s="1"/>
  <c r="L65" i="16" s="1"/>
  <c r="F55" i="16"/>
  <c r="F59" i="16"/>
  <c r="F60" i="16" s="1"/>
  <c r="M55" i="16"/>
  <c r="M59" i="16"/>
  <c r="M64" i="16" s="1"/>
  <c r="M65" i="16" s="1"/>
  <c r="I55" i="16"/>
  <c r="I59" i="16"/>
  <c r="I64" i="16" s="1"/>
  <c r="I65" i="16" s="1"/>
  <c r="K55" i="16"/>
  <c r="K59" i="16"/>
  <c r="K64" i="16" s="1"/>
  <c r="K65" i="16" s="1"/>
  <c r="B360" i="16"/>
  <c r="B361" i="16" s="1"/>
  <c r="B356" i="16"/>
  <c r="B365" i="16"/>
  <c r="B366" i="16" s="1"/>
  <c r="D246" i="64"/>
  <c r="N76" i="64"/>
  <c r="E45" i="4"/>
  <c r="E244" i="64"/>
  <c r="E244" i="16" s="1"/>
  <c r="E246" i="16" s="1"/>
  <c r="F43" i="4"/>
  <c r="E38" i="16"/>
  <c r="D321" i="16"/>
  <c r="K95" i="4"/>
  <c r="K96" i="4" s="1"/>
  <c r="B323" i="16"/>
  <c r="C272" i="48" s="1"/>
  <c r="D229" i="4"/>
  <c r="O292" i="48"/>
  <c r="B53" i="56"/>
  <c r="D53" i="56" s="1"/>
  <c r="E53" i="56" s="1"/>
  <c r="K16" i="48"/>
  <c r="D126" i="14"/>
  <c r="D127" i="14" s="1"/>
  <c r="D128" i="14" s="1"/>
  <c r="D130" i="14" s="1"/>
  <c r="E236" i="48" s="1"/>
  <c r="D26" i="14"/>
  <c r="D27" i="14" s="1"/>
  <c r="D28" i="14" s="1"/>
  <c r="D30" i="14" s="1"/>
  <c r="E47" i="48" s="1"/>
  <c r="G69" i="14"/>
  <c r="G70" i="14" s="1"/>
  <c r="G71" i="14" s="1"/>
  <c r="G51" i="14"/>
  <c r="G52" i="14" s="1"/>
  <c r="G53" i="14" s="1"/>
  <c r="G55" i="14" s="1"/>
  <c r="G26" i="14"/>
  <c r="G27" i="14" s="1"/>
  <c r="G28" i="14" s="1"/>
  <c r="G30" i="14" s="1"/>
  <c r="H47" i="48" s="1"/>
  <c r="G19" i="14"/>
  <c r="G20" i="14" s="1"/>
  <c r="G21" i="14" s="1"/>
  <c r="D13" i="14"/>
  <c r="D14" i="14" s="1"/>
  <c r="D16" i="14" s="1"/>
  <c r="E45" i="48" s="1"/>
  <c r="G44" i="14"/>
  <c r="G45" i="14" s="1"/>
  <c r="G46" i="14" s="1"/>
  <c r="G48" i="14" s="1"/>
  <c r="H86" i="48" s="1"/>
  <c r="N16" i="24"/>
  <c r="E18" i="24"/>
  <c r="E22" i="24"/>
  <c r="F54" i="48" s="1"/>
  <c r="G19" i="24"/>
  <c r="M19" i="24"/>
  <c r="H19" i="24"/>
  <c r="J19" i="24"/>
  <c r="K22" i="24"/>
  <c r="L54" i="48" s="1"/>
  <c r="L19" i="24"/>
  <c r="L18" i="24" s="1"/>
  <c r="F19" i="24"/>
  <c r="F18" i="24" s="1"/>
  <c r="D19" i="24"/>
  <c r="D18" i="24" s="1"/>
  <c r="I19" i="24"/>
  <c r="I22" i="24" s="1"/>
  <c r="J54" i="48" s="1"/>
  <c r="B22" i="24"/>
  <c r="C54" i="48" s="1"/>
  <c r="C235" i="64"/>
  <c r="C236" i="64" s="1"/>
  <c r="J240" i="64"/>
  <c r="J250" i="64" s="1"/>
  <c r="E235" i="64"/>
  <c r="E236" i="64" s="1"/>
  <c r="N144" i="16"/>
  <c r="H235" i="64"/>
  <c r="H236" i="64" s="1"/>
  <c r="M245" i="64"/>
  <c r="G260" i="64"/>
  <c r="G265" i="64" s="1"/>
  <c r="G266" i="64" s="1"/>
  <c r="E310" i="16"/>
  <c r="E311" i="16" s="1"/>
  <c r="D310" i="16"/>
  <c r="D311" i="16" s="1"/>
  <c r="K196" i="16"/>
  <c r="K200" i="16"/>
  <c r="M196" i="16"/>
  <c r="M200" i="16"/>
  <c r="D117" i="16"/>
  <c r="C196" i="16"/>
  <c r="C200" i="16"/>
  <c r="E127" i="16"/>
  <c r="E131" i="16"/>
  <c r="G127" i="16"/>
  <c r="G131" i="16"/>
  <c r="D50" i="16"/>
  <c r="B44" i="64"/>
  <c r="B100" i="64" s="1"/>
  <c r="J380" i="64"/>
  <c r="F380" i="64"/>
  <c r="K375" i="64"/>
  <c r="K376" i="64" s="1"/>
  <c r="G375" i="64"/>
  <c r="G376" i="64" s="1"/>
  <c r="C375" i="64"/>
  <c r="C376" i="64" s="1"/>
  <c r="L355" i="64"/>
  <c r="L356" i="64" s="1"/>
  <c r="H355" i="64"/>
  <c r="H356" i="64" s="1"/>
  <c r="D355" i="64"/>
  <c r="D356" i="64" s="1"/>
  <c r="H380" i="64"/>
  <c r="E375" i="64"/>
  <c r="E376" i="64" s="1"/>
  <c r="F355" i="64"/>
  <c r="F356" i="64" s="1"/>
  <c r="M380" i="64"/>
  <c r="I380" i="64"/>
  <c r="E380" i="64"/>
  <c r="J375" i="64"/>
  <c r="J376" i="64" s="1"/>
  <c r="F375" i="64"/>
  <c r="F376" i="64" s="1"/>
  <c r="K355" i="64"/>
  <c r="K356" i="64" s="1"/>
  <c r="G355" i="64"/>
  <c r="G356" i="64" s="1"/>
  <c r="C355" i="64"/>
  <c r="C356" i="64" s="1"/>
  <c r="L380" i="64"/>
  <c r="D380" i="64"/>
  <c r="M375" i="64"/>
  <c r="M376" i="64" s="1"/>
  <c r="I375" i="64"/>
  <c r="I376" i="64" s="1"/>
  <c r="J355" i="64"/>
  <c r="J356" i="64" s="1"/>
  <c r="L375" i="64"/>
  <c r="L376" i="64" s="1"/>
  <c r="I355" i="64"/>
  <c r="I356" i="64" s="1"/>
  <c r="G380" i="64"/>
  <c r="D375" i="64"/>
  <c r="D376" i="64" s="1"/>
  <c r="C380" i="64"/>
  <c r="M355" i="64"/>
  <c r="M356" i="64" s="1"/>
  <c r="K380" i="64"/>
  <c r="H375" i="64"/>
  <c r="H376" i="64" s="1"/>
  <c r="E355" i="64"/>
  <c r="E356" i="64" s="1"/>
  <c r="B355" i="64"/>
  <c r="B351" i="64"/>
  <c r="N351" i="64" s="1"/>
  <c r="C112" i="16"/>
  <c r="N376" i="16"/>
  <c r="N341" i="16"/>
  <c r="C360" i="16"/>
  <c r="D355" i="16"/>
  <c r="C365" i="16"/>
  <c r="C366" i="16" s="1"/>
  <c r="C356" i="16"/>
  <c r="N371" i="16"/>
  <c r="C293" i="48"/>
  <c r="I243" i="48"/>
  <c r="G243" i="48"/>
  <c r="K243" i="48"/>
  <c r="H243" i="48"/>
  <c r="E243" i="48"/>
  <c r="E22" i="18"/>
  <c r="N14" i="48"/>
  <c r="I16" i="48"/>
  <c r="B27" i="56"/>
  <c r="D27" i="56" s="1"/>
  <c r="E27" i="56" s="1"/>
  <c r="O206" i="48"/>
  <c r="B114" i="75" s="1"/>
  <c r="B20" i="56"/>
  <c r="D20" i="56" s="1"/>
  <c r="E20" i="56" s="1"/>
  <c r="B29" i="56"/>
  <c r="D29" i="56" s="1"/>
  <c r="E29" i="56" s="1"/>
  <c r="J151" i="61"/>
  <c r="J152" i="61" s="1"/>
  <c r="D144" i="61"/>
  <c r="D145" i="61" s="1"/>
  <c r="L144" i="61"/>
  <c r="L145" i="61" s="1"/>
  <c r="H151" i="61"/>
  <c r="H152" i="61" s="1"/>
  <c r="N137" i="61"/>
  <c r="B151" i="61"/>
  <c r="N150" i="61"/>
  <c r="G144" i="61"/>
  <c r="G145" i="61" s="1"/>
  <c r="J16" i="48"/>
  <c r="J50" i="48"/>
  <c r="N95" i="61"/>
  <c r="B138" i="61"/>
  <c r="B144" i="61"/>
  <c r="B145" i="61" s="1"/>
  <c r="N143" i="61"/>
  <c r="D151" i="61"/>
  <c r="D152" i="61" s="1"/>
  <c r="L151" i="61"/>
  <c r="L152" i="61" s="1"/>
  <c r="C89" i="24"/>
  <c r="C93" i="24"/>
  <c r="D295" i="48" s="1"/>
  <c r="B93" i="24"/>
  <c r="C295" i="48" s="1"/>
  <c r="B89" i="24"/>
  <c r="E124" i="18"/>
  <c r="D86" i="24"/>
  <c r="D87" i="24" s="1"/>
  <c r="D90" i="24" s="1"/>
  <c r="E19" i="18"/>
  <c r="F51" i="48" s="1"/>
  <c r="E16" i="18"/>
  <c r="N46" i="24"/>
  <c r="D113" i="14"/>
  <c r="D114" i="14" s="1"/>
  <c r="D116" i="14" s="1"/>
  <c r="E234" i="48" s="1"/>
  <c r="D38" i="14"/>
  <c r="D39" i="14" s="1"/>
  <c r="D41" i="14" s="1"/>
  <c r="E85" i="48" s="1"/>
  <c r="G63" i="14"/>
  <c r="G64" i="14" s="1"/>
  <c r="G66" i="14" s="1"/>
  <c r="H131" i="48" s="1"/>
  <c r="D44" i="14"/>
  <c r="D45" i="14" s="1"/>
  <c r="D46" i="14" s="1"/>
  <c r="D48" i="14" s="1"/>
  <c r="E86" i="48" s="1"/>
  <c r="K119" i="14"/>
  <c r="K120" i="14" s="1"/>
  <c r="K121" i="14" s="1"/>
  <c r="K113" i="14"/>
  <c r="K114" i="14" s="1"/>
  <c r="K116" i="14" s="1"/>
  <c r="L234" i="48" s="1"/>
  <c r="K126" i="14"/>
  <c r="K127" i="14" s="1"/>
  <c r="K128" i="14" s="1"/>
  <c r="K130" i="14" s="1"/>
  <c r="G14" i="48"/>
  <c r="N91" i="70"/>
  <c r="N57" i="70"/>
  <c r="N38" i="49"/>
  <c r="N56" i="48"/>
  <c r="L56" i="48"/>
  <c r="L22" i="48"/>
  <c r="N55" i="49"/>
  <c r="K27" i="18"/>
  <c r="K29" i="18" s="1"/>
  <c r="L53" i="48" s="1"/>
  <c r="N56" i="70"/>
  <c r="K14" i="48"/>
  <c r="N19" i="61"/>
  <c r="N64" i="18"/>
  <c r="G95" i="61"/>
  <c r="C269" i="64"/>
  <c r="E284" i="4"/>
  <c r="N284" i="4" s="1"/>
  <c r="L160" i="4"/>
  <c r="L155" i="4"/>
  <c r="G229" i="4"/>
  <c r="K257" i="4"/>
  <c r="L257" i="4" s="1"/>
  <c r="I298" i="4"/>
  <c r="I303" i="4" s="1"/>
  <c r="I243" i="4"/>
  <c r="H308" i="4"/>
  <c r="H313" i="4" s="1"/>
  <c r="H318" i="4" s="1"/>
  <c r="F234" i="4"/>
  <c r="F229" i="4"/>
  <c r="K233" i="4"/>
  <c r="K234" i="4" s="1"/>
  <c r="D91" i="4"/>
  <c r="M49" i="4"/>
  <c r="M50" i="4" s="1"/>
  <c r="F160" i="4"/>
  <c r="F308" i="4"/>
  <c r="F313" i="4" s="1"/>
  <c r="F318" i="4" s="1"/>
  <c r="M234" i="4"/>
  <c r="C110" i="4"/>
  <c r="C111" i="4" s="1"/>
  <c r="C298" i="4"/>
  <c r="C308" i="4" s="1"/>
  <c r="F302" i="4"/>
  <c r="F30" i="91" s="1"/>
  <c r="E304" i="64"/>
  <c r="E304" i="16" s="1"/>
  <c r="E306" i="16" s="1"/>
  <c r="H30" i="4"/>
  <c r="E183" i="64"/>
  <c r="E179" i="16" s="1"/>
  <c r="E181" i="16" s="1"/>
  <c r="D314" i="64"/>
  <c r="E319" i="16"/>
  <c r="E321" i="16" s="1"/>
  <c r="C224" i="4"/>
  <c r="C228" i="4"/>
  <c r="M40" i="4"/>
  <c r="E259" i="64"/>
  <c r="E259" i="16" s="1"/>
  <c r="E261" i="16" s="1"/>
  <c r="F53" i="4"/>
  <c r="E48" i="64"/>
  <c r="E48" i="16" s="1"/>
  <c r="D288" i="4"/>
  <c r="D293" i="4" s="1"/>
  <c r="N156" i="16"/>
  <c r="C35" i="4"/>
  <c r="N219" i="4"/>
  <c r="M35" i="4"/>
  <c r="M185" i="4"/>
  <c r="M44" i="4"/>
  <c r="M91" i="4"/>
  <c r="M30" i="4"/>
  <c r="E244" i="4"/>
  <c r="N150" i="4"/>
  <c r="H238" i="4"/>
  <c r="H243" i="4" s="1"/>
  <c r="K293" i="4"/>
  <c r="K289" i="4"/>
  <c r="J29" i="4"/>
  <c r="J34" i="4" s="1"/>
  <c r="N25" i="16"/>
  <c r="N286" i="16"/>
  <c r="I155" i="4"/>
  <c r="I159" i="4"/>
  <c r="B228" i="4"/>
  <c r="B224" i="4"/>
  <c r="J233" i="4"/>
  <c r="J229" i="4"/>
  <c r="J289" i="4"/>
  <c r="J293" i="4"/>
  <c r="K30" i="4"/>
  <c r="K34" i="4"/>
  <c r="G39" i="4"/>
  <c r="G49" i="4" s="1"/>
  <c r="G50" i="4" s="1"/>
  <c r="J160" i="4"/>
  <c r="J164" i="4"/>
  <c r="L294" i="4"/>
  <c r="L298" i="4"/>
  <c r="G95" i="4"/>
  <c r="G91" i="4"/>
  <c r="D34" i="4"/>
  <c r="D30" i="4"/>
  <c r="O294" i="48"/>
  <c r="B169" i="75" s="1"/>
  <c r="D169" i="75" s="1"/>
  <c r="E169" i="75" s="1"/>
  <c r="N70" i="18"/>
  <c r="N150" i="18"/>
  <c r="B152" i="18"/>
  <c r="N214" i="4"/>
  <c r="N226" i="16"/>
  <c r="N87" i="16"/>
  <c r="N191" i="16"/>
  <c r="N14" i="18"/>
  <c r="K19" i="18"/>
  <c r="L51" i="48" s="1"/>
  <c r="K16" i="18"/>
  <c r="G22" i="18"/>
  <c r="G27" i="18"/>
  <c r="G29" i="18" s="1"/>
  <c r="H53" i="48" s="1"/>
  <c r="G16" i="18"/>
  <c r="G19" i="18"/>
  <c r="H51" i="48" s="1"/>
  <c r="C19" i="18"/>
  <c r="D51" i="48" s="1"/>
  <c r="N17" i="18"/>
  <c r="C16" i="18"/>
  <c r="C22" i="18"/>
  <c r="C27" i="18"/>
  <c r="C29" i="18" s="1"/>
  <c r="D53" i="48" s="1"/>
  <c r="E22" i="49"/>
  <c r="E23" i="49" s="1"/>
  <c r="H27" i="18"/>
  <c r="H29" i="18" s="1"/>
  <c r="I53" i="48" s="1"/>
  <c r="H16" i="18"/>
  <c r="H22" i="18"/>
  <c r="H19" i="18"/>
  <c r="I51" i="48" s="1"/>
  <c r="N17" i="24"/>
  <c r="L19" i="18"/>
  <c r="M51" i="48" s="1"/>
  <c r="L22" i="18"/>
  <c r="L16" i="18"/>
  <c r="L27" i="18"/>
  <c r="L29" i="18" s="1"/>
  <c r="M53" i="48" s="1"/>
  <c r="C48" i="48"/>
  <c r="C14" i="48"/>
  <c r="H45" i="61"/>
  <c r="N45" i="61" s="1"/>
  <c r="E77" i="61"/>
  <c r="N77" i="61" s="1"/>
  <c r="J16" i="18"/>
  <c r="J22" i="18"/>
  <c r="J19" i="18"/>
  <c r="K51" i="48" s="1"/>
  <c r="J27" i="18"/>
  <c r="J29" i="18" s="1"/>
  <c r="K53" i="48" s="1"/>
  <c r="M27" i="18"/>
  <c r="M29" i="18" s="1"/>
  <c r="N53" i="48" s="1"/>
  <c r="M19" i="18"/>
  <c r="N51" i="48" s="1"/>
  <c r="M22" i="18"/>
  <c r="M16" i="18"/>
  <c r="F22" i="18"/>
  <c r="F16" i="18"/>
  <c r="F27" i="18"/>
  <c r="F29" i="18" s="1"/>
  <c r="G53" i="48" s="1"/>
  <c r="F19" i="18"/>
  <c r="G51" i="48" s="1"/>
  <c r="D27" i="18"/>
  <c r="D29" i="18" s="1"/>
  <c r="E53" i="48" s="1"/>
  <c r="D16" i="18"/>
  <c r="D19" i="18"/>
  <c r="E51" i="48" s="1"/>
  <c r="D22" i="18"/>
  <c r="I22" i="18"/>
  <c r="I27" i="18"/>
  <c r="I29" i="18" s="1"/>
  <c r="J53" i="48" s="1"/>
  <c r="I16" i="18"/>
  <c r="I19" i="18"/>
  <c r="J51" i="48" s="1"/>
  <c r="D22" i="48"/>
  <c r="D56" i="48"/>
  <c r="N58" i="24"/>
  <c r="N61" i="24"/>
  <c r="D64" i="24"/>
  <c r="E191" i="48" s="1"/>
  <c r="N60" i="24"/>
  <c r="N59" i="24"/>
  <c r="N75" i="18"/>
  <c r="N67" i="18"/>
  <c r="C269" i="16"/>
  <c r="C216" i="16"/>
  <c r="C268" i="16" s="1"/>
  <c r="D220" i="48" s="1"/>
  <c r="D30" i="24"/>
  <c r="N31" i="24"/>
  <c r="I22" i="48"/>
  <c r="I56" i="48"/>
  <c r="C175" i="16"/>
  <c r="G100" i="64"/>
  <c r="G49" i="64"/>
  <c r="D53" i="61"/>
  <c r="C54" i="61"/>
  <c r="D90" i="48" s="1"/>
  <c r="M194" i="4"/>
  <c r="F240" i="64"/>
  <c r="F250" i="64" s="1"/>
  <c r="I240" i="64"/>
  <c r="I250" i="64" s="1"/>
  <c r="G295" i="64"/>
  <c r="G296" i="64" s="1"/>
  <c r="G320" i="64"/>
  <c r="G325" i="64" s="1"/>
  <c r="G326" i="64" s="1"/>
  <c r="E320" i="64"/>
  <c r="E325" i="64" s="1"/>
  <c r="E326" i="64" s="1"/>
  <c r="D240" i="64"/>
  <c r="D250" i="64" s="1"/>
  <c r="K245" i="64"/>
  <c r="L235" i="64"/>
  <c r="L236" i="64" s="1"/>
  <c r="M315" i="64"/>
  <c r="B35" i="64"/>
  <c r="G235" i="64"/>
  <c r="G236" i="64" s="1"/>
  <c r="D315" i="64"/>
  <c r="N125" i="61"/>
  <c r="K120" i="61"/>
  <c r="E48" i="48"/>
  <c r="E14" i="48"/>
  <c r="L159" i="64"/>
  <c r="L160" i="64" s="1"/>
  <c r="L155" i="64"/>
  <c r="F33" i="11"/>
  <c r="B72" i="14"/>
  <c r="C72" i="14" s="1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B71" i="18"/>
  <c r="J100" i="64"/>
  <c r="J49" i="64"/>
  <c r="M100" i="64"/>
  <c r="M49" i="64"/>
  <c r="H52" i="61"/>
  <c r="B115" i="18"/>
  <c r="C240" i="48" s="1"/>
  <c r="B123" i="18"/>
  <c r="B125" i="18" s="1"/>
  <c r="C242" i="48" s="1"/>
  <c r="B118" i="18"/>
  <c r="B120" i="18" s="1"/>
  <c r="B112" i="18"/>
  <c r="G234" i="4"/>
  <c r="G238" i="4"/>
  <c r="B119" i="61"/>
  <c r="B120" i="61" s="1"/>
  <c r="N118" i="61"/>
  <c r="E214" i="16"/>
  <c r="E216" i="16" s="1"/>
  <c r="C121" i="16"/>
  <c r="C117" i="16"/>
  <c r="E115" i="16"/>
  <c r="E139" i="16" s="1"/>
  <c r="F104" i="4"/>
  <c r="H119" i="61"/>
  <c r="H120" i="61" s="1"/>
  <c r="N49" i="49"/>
  <c r="L295" i="64"/>
  <c r="L296" i="64" s="1"/>
  <c r="L320" i="64"/>
  <c r="L325" i="64" s="1"/>
  <c r="L326" i="64" s="1"/>
  <c r="H320" i="64"/>
  <c r="H325" i="64" s="1"/>
  <c r="H326" i="64" s="1"/>
  <c r="G245" i="64"/>
  <c r="I295" i="64"/>
  <c r="I296" i="64" s="1"/>
  <c r="D320" i="64"/>
  <c r="D325" i="64" s="1"/>
  <c r="D326" i="64" s="1"/>
  <c r="N77" i="16"/>
  <c r="N40" i="61"/>
  <c r="N112" i="61"/>
  <c r="N113" i="61"/>
  <c r="E293" i="4"/>
  <c r="E289" i="4"/>
  <c r="F254" i="64"/>
  <c r="F254" i="16" s="1"/>
  <c r="F256" i="16" s="1"/>
  <c r="J159" i="64"/>
  <c r="J160" i="64" s="1"/>
  <c r="J155" i="64"/>
  <c r="D159" i="64"/>
  <c r="D160" i="64" s="1"/>
  <c r="D155" i="64"/>
  <c r="K159" i="64"/>
  <c r="K160" i="64" s="1"/>
  <c r="K155" i="64"/>
  <c r="L14" i="48"/>
  <c r="L48" i="48"/>
  <c r="D238" i="4"/>
  <c r="D234" i="4"/>
  <c r="E319" i="64"/>
  <c r="E314" i="16" s="1"/>
  <c r="E316" i="16" s="1"/>
  <c r="F317" i="4"/>
  <c r="F31" i="91" s="1"/>
  <c r="F116" i="16"/>
  <c r="F121" i="16" s="1"/>
  <c r="F126" i="16" s="1"/>
  <c r="F112" i="16"/>
  <c r="I100" i="64"/>
  <c r="I49" i="64"/>
  <c r="E249" i="64"/>
  <c r="E249" i="16" s="1"/>
  <c r="E251" i="16" s="1"/>
  <c r="F214" i="16"/>
  <c r="F216" i="16" s="1"/>
  <c r="B78" i="24"/>
  <c r="B74" i="24"/>
  <c r="G38" i="11"/>
  <c r="B103" i="61"/>
  <c r="C103" i="61" s="1"/>
  <c r="D214" i="16"/>
  <c r="D269" i="64"/>
  <c r="N107" i="16"/>
  <c r="H159" i="64"/>
  <c r="H160" i="64" s="1"/>
  <c r="H155" i="64"/>
  <c r="I159" i="64"/>
  <c r="I160" i="64" s="1"/>
  <c r="I155" i="64"/>
  <c r="C159" i="64"/>
  <c r="C160" i="64" s="1"/>
  <c r="C155" i="64"/>
  <c r="B102" i="61"/>
  <c r="N101" i="61"/>
  <c r="H214" i="16"/>
  <c r="H216" i="16" s="1"/>
  <c r="D100" i="64"/>
  <c r="D49" i="64"/>
  <c r="F169" i="4"/>
  <c r="F165" i="4"/>
  <c r="B255" i="16"/>
  <c r="B256" i="16" s="1"/>
  <c r="B251" i="16"/>
  <c r="B291" i="64"/>
  <c r="N291" i="64" s="1"/>
  <c r="B295" i="64"/>
  <c r="I95" i="4"/>
  <c r="I91" i="4"/>
  <c r="E239" i="64"/>
  <c r="E239" i="16" s="1"/>
  <c r="E241" i="16" s="1"/>
  <c r="F237" i="4"/>
  <c r="H126" i="61"/>
  <c r="F320" i="64"/>
  <c r="F325" i="64" s="1"/>
  <c r="F326" i="64" s="1"/>
  <c r="I260" i="64"/>
  <c r="I265" i="64" s="1"/>
  <c r="I266" i="64" s="1"/>
  <c r="C320" i="64"/>
  <c r="C325" i="64" s="1"/>
  <c r="C326" i="64" s="1"/>
  <c r="F295" i="64"/>
  <c r="F296" i="64" s="1"/>
  <c r="D295" i="64"/>
  <c r="D296" i="64" s="1"/>
  <c r="C315" i="64"/>
  <c r="C316" i="64" s="1"/>
  <c r="I235" i="64"/>
  <c r="I236" i="64" s="1"/>
  <c r="J260" i="64"/>
  <c r="J265" i="64" s="1"/>
  <c r="J266" i="64" s="1"/>
  <c r="N214" i="64"/>
  <c r="M26" i="61"/>
  <c r="M27" i="61" s="1"/>
  <c r="M29" i="61" s="1"/>
  <c r="J126" i="61"/>
  <c r="J127" i="61" s="1"/>
  <c r="B185" i="16"/>
  <c r="B186" i="16" s="1"/>
  <c r="B181" i="16"/>
  <c r="E159" i="64"/>
  <c r="E160" i="64" s="1"/>
  <c r="E155" i="64"/>
  <c r="L100" i="64"/>
  <c r="L49" i="64"/>
  <c r="F100" i="64"/>
  <c r="F49" i="64"/>
  <c r="C100" i="64"/>
  <c r="C49" i="64"/>
  <c r="F309" i="64"/>
  <c r="F309" i="16" s="1"/>
  <c r="C78" i="61"/>
  <c r="B79" i="61"/>
  <c r="N13" i="49"/>
  <c r="F245" i="64"/>
  <c r="M260" i="64"/>
  <c r="M265" i="64" s="1"/>
  <c r="M266" i="64" s="1"/>
  <c r="K295" i="64"/>
  <c r="K296" i="64" s="1"/>
  <c r="M295" i="64"/>
  <c r="M296" i="64" s="1"/>
  <c r="L315" i="64"/>
  <c r="F260" i="64"/>
  <c r="F265" i="64" s="1"/>
  <c r="F266" i="64" s="1"/>
  <c r="D235" i="64"/>
  <c r="D236" i="64" s="1"/>
  <c r="J235" i="64"/>
  <c r="J236" i="64" s="1"/>
  <c r="E240" i="64"/>
  <c r="E250" i="64" s="1"/>
  <c r="J315" i="64"/>
  <c r="I315" i="64"/>
  <c r="E245" i="64"/>
  <c r="N32" i="49"/>
  <c r="M240" i="64"/>
  <c r="M250" i="64" s="1"/>
  <c r="F235" i="64"/>
  <c r="F236" i="64" s="1"/>
  <c r="I320" i="64"/>
  <c r="I325" i="64" s="1"/>
  <c r="I326" i="64" s="1"/>
  <c r="C240" i="64"/>
  <c r="C241" i="64" s="1"/>
  <c r="E260" i="64"/>
  <c r="E265" i="64" s="1"/>
  <c r="E266" i="64" s="1"/>
  <c r="C245" i="64"/>
  <c r="C246" i="64" s="1"/>
  <c r="K320" i="64"/>
  <c r="K325" i="64" s="1"/>
  <c r="K326" i="64" s="1"/>
  <c r="L245" i="64"/>
  <c r="J295" i="64"/>
  <c r="J296" i="64" s="1"/>
  <c r="L240" i="64"/>
  <c r="L250" i="64" s="1"/>
  <c r="I245" i="64"/>
  <c r="H295" i="64"/>
  <c r="H296" i="64" s="1"/>
  <c r="K260" i="64"/>
  <c r="K265" i="64" s="1"/>
  <c r="K266" i="64" s="1"/>
  <c r="C260" i="64"/>
  <c r="C265" i="64" s="1"/>
  <c r="C266" i="64" s="1"/>
  <c r="K240" i="64"/>
  <c r="K250" i="64" s="1"/>
  <c r="B39" i="64"/>
  <c r="B40" i="64" s="1"/>
  <c r="K235" i="64"/>
  <c r="K236" i="64" s="1"/>
  <c r="J320" i="64"/>
  <c r="J325" i="64" s="1"/>
  <c r="J326" i="64" s="1"/>
  <c r="D260" i="64"/>
  <c r="D261" i="64" s="1"/>
  <c r="L260" i="64"/>
  <c r="L265" i="64" s="1"/>
  <c r="L266" i="64" s="1"/>
  <c r="G315" i="64"/>
  <c r="J245" i="64"/>
  <c r="E295" i="64"/>
  <c r="E296" i="64" s="1"/>
  <c r="A95" i="61"/>
  <c r="A102" i="61"/>
  <c r="A113" i="61" s="1"/>
  <c r="F29" i="4"/>
  <c r="F25" i="4"/>
  <c r="K160" i="4"/>
  <c r="K164" i="4"/>
  <c r="D41" i="18"/>
  <c r="N38" i="18"/>
  <c r="E254" i="16"/>
  <c r="H22" i="49"/>
  <c r="H23" i="49" s="1"/>
  <c r="F159" i="64"/>
  <c r="F160" i="64" s="1"/>
  <c r="F155" i="64"/>
  <c r="M159" i="64"/>
  <c r="M160" i="64" s="1"/>
  <c r="M155" i="64"/>
  <c r="G159" i="64"/>
  <c r="G160" i="64" s="1"/>
  <c r="G155" i="64"/>
  <c r="K254" i="64"/>
  <c r="K254" i="16" s="1"/>
  <c r="K256" i="16" s="1"/>
  <c r="K22" i="48"/>
  <c r="K56" i="48"/>
  <c r="H100" i="64"/>
  <c r="H49" i="64"/>
  <c r="K100" i="64"/>
  <c r="K49" i="64"/>
  <c r="E100" i="64"/>
  <c r="E49" i="64"/>
  <c r="D24" i="11"/>
  <c r="C14" i="64"/>
  <c r="C15" i="64" s="1"/>
  <c r="G14" i="64"/>
  <c r="K14" i="64"/>
  <c r="E14" i="64"/>
  <c r="I14" i="64"/>
  <c r="M14" i="64"/>
  <c r="H14" i="64"/>
  <c r="J14" i="64"/>
  <c r="B14" i="64"/>
  <c r="D14" i="64"/>
  <c r="L14" i="64"/>
  <c r="F14" i="64"/>
  <c r="I34" i="4"/>
  <c r="I30" i="4"/>
  <c r="B169" i="4"/>
  <c r="B165" i="4"/>
  <c r="C90" i="48"/>
  <c r="B20" i="4"/>
  <c r="N20" i="4" s="1"/>
  <c r="B24" i="4"/>
  <c r="N144" i="48"/>
  <c r="O144" i="48" s="1"/>
  <c r="N52" i="70"/>
  <c r="I48" i="48"/>
  <c r="I14" i="48"/>
  <c r="E267" i="4"/>
  <c r="J112" i="16"/>
  <c r="J116" i="16"/>
  <c r="J121" i="16" s="1"/>
  <c r="J126" i="16" s="1"/>
  <c r="B112" i="16"/>
  <c r="B116" i="16"/>
  <c r="L50" i="48"/>
  <c r="L16" i="48"/>
  <c r="D119" i="61"/>
  <c r="D120" i="61" s="1"/>
  <c r="N96" i="64"/>
  <c r="B62" i="75"/>
  <c r="D62" i="75" s="1"/>
  <c r="E62" i="75" s="1"/>
  <c r="O88" i="48"/>
  <c r="B82" i="75"/>
  <c r="D82" i="75" s="1"/>
  <c r="E82" i="75" s="1"/>
  <c r="B72" i="56"/>
  <c r="D72" i="56" s="1"/>
  <c r="E72" i="56" s="1"/>
  <c r="F72" i="56" s="1"/>
  <c r="G72" i="56" s="1"/>
  <c r="B42" i="56"/>
  <c r="D42" i="56" s="1"/>
  <c r="E42" i="56" s="1"/>
  <c r="B45" i="75"/>
  <c r="D45" i="75" s="1"/>
  <c r="E45" i="75" s="1"/>
  <c r="I131" i="48"/>
  <c r="M131" i="48"/>
  <c r="I182" i="48"/>
  <c r="J45" i="48"/>
  <c r="B16" i="49"/>
  <c r="N16" i="49" s="1"/>
  <c r="N14" i="49"/>
  <c r="D16" i="75"/>
  <c r="E16" i="75" s="1"/>
  <c r="B16" i="56"/>
  <c r="D16" i="56" s="1"/>
  <c r="E16" i="56" s="1"/>
  <c r="M94" i="14"/>
  <c r="M101" i="14"/>
  <c r="M88" i="14"/>
  <c r="M89" i="14" s="1"/>
  <c r="M91" i="14" s="1"/>
  <c r="B75" i="75"/>
  <c r="D75" i="75" s="1"/>
  <c r="E75" i="75" s="1"/>
  <c r="B68" i="56"/>
  <c r="D68" i="56" s="1"/>
  <c r="E68" i="56" s="1"/>
  <c r="G160" i="4"/>
  <c r="G164" i="4"/>
  <c r="F10" i="60"/>
  <c r="I45" i="48"/>
  <c r="E127" i="14"/>
  <c r="E128" i="14" s="1"/>
  <c r="E130" i="14" s="1"/>
  <c r="F236" i="48" s="1"/>
  <c r="I45" i="14"/>
  <c r="I46" i="14" s="1"/>
  <c r="I48" i="14" s="1"/>
  <c r="E173" i="64"/>
  <c r="F168" i="4"/>
  <c r="I146" i="16"/>
  <c r="K77" i="14"/>
  <c r="K78" i="14" s="1"/>
  <c r="K80" i="14" s="1"/>
  <c r="K20" i="14"/>
  <c r="K21" i="14" s="1"/>
  <c r="D13" i="64"/>
  <c r="D68" i="64" s="1"/>
  <c r="D15" i="4"/>
  <c r="F76" i="14"/>
  <c r="F69" i="14"/>
  <c r="F70" i="14" s="1"/>
  <c r="F71" i="14" s="1"/>
  <c r="F63" i="14"/>
  <c r="F64" i="14" s="1"/>
  <c r="F66" i="14" s="1"/>
  <c r="C119" i="18"/>
  <c r="L77" i="14"/>
  <c r="L78" i="14" s="1"/>
  <c r="L80" i="14" s="1"/>
  <c r="M133" i="48" s="1"/>
  <c r="C37" i="14"/>
  <c r="C17" i="94" s="1"/>
  <c r="P20" i="63"/>
  <c r="O37" i="14"/>
  <c r="F182" i="48"/>
  <c r="E107" i="14"/>
  <c r="L27" i="14"/>
  <c r="L28" i="14" s="1"/>
  <c r="L30" i="14" s="1"/>
  <c r="B103" i="14"/>
  <c r="C112" i="14"/>
  <c r="C17" i="91" s="1"/>
  <c r="P23" i="63"/>
  <c r="O112" i="14"/>
  <c r="D100" i="4"/>
  <c r="D96" i="4"/>
  <c r="D20" i="14"/>
  <c r="D21" i="14" s="1"/>
  <c r="K52" i="14"/>
  <c r="K53" i="14" s="1"/>
  <c r="K55" i="14" s="1"/>
  <c r="L87" i="48" s="1"/>
  <c r="G89" i="49"/>
  <c r="N82" i="49"/>
  <c r="D237" i="48"/>
  <c r="O237" i="48" s="1"/>
  <c r="N115" i="61"/>
  <c r="C20" i="61"/>
  <c r="M38" i="14"/>
  <c r="M39" i="14" s="1"/>
  <c r="M41" i="14" s="1"/>
  <c r="N85" i="48" s="1"/>
  <c r="M44" i="14"/>
  <c r="M45" i="14" s="1"/>
  <c r="M46" i="14" s="1"/>
  <c r="M51" i="14"/>
  <c r="B126" i="75"/>
  <c r="D126" i="75" s="1"/>
  <c r="E126" i="75" s="1"/>
  <c r="B107" i="56"/>
  <c r="D107" i="56" s="1"/>
  <c r="E107" i="56" s="1"/>
  <c r="E253" i="4"/>
  <c r="E249" i="4"/>
  <c r="J70" i="14"/>
  <c r="J71" i="14" s="1"/>
  <c r="C234" i="48"/>
  <c r="E221" i="48"/>
  <c r="E170" i="48"/>
  <c r="E119" i="48"/>
  <c r="E273" i="48"/>
  <c r="I120" i="14"/>
  <c r="I121" i="14" s="1"/>
  <c r="B15" i="16"/>
  <c r="B139" i="75"/>
  <c r="D139" i="75" s="1"/>
  <c r="E139" i="75" s="1"/>
  <c r="B120" i="56"/>
  <c r="B45" i="14"/>
  <c r="B46" i="14" s="1"/>
  <c r="L165" i="4"/>
  <c r="L169" i="4"/>
  <c r="L30" i="4"/>
  <c r="L34" i="4"/>
  <c r="F119" i="64"/>
  <c r="F120" i="16"/>
  <c r="G109" i="4"/>
  <c r="L131" i="48"/>
  <c r="B123" i="14"/>
  <c r="C235" i="48" s="1"/>
  <c r="L72" i="24"/>
  <c r="N73" i="24"/>
  <c r="F45" i="48"/>
  <c r="H120" i="14"/>
  <c r="H121" i="14" s="1"/>
  <c r="H123" i="14" s="1"/>
  <c r="I235" i="48" s="1"/>
  <c r="L120" i="14"/>
  <c r="L121" i="14" s="1"/>
  <c r="B158" i="75"/>
  <c r="B133" i="56"/>
  <c r="B75" i="70"/>
  <c r="G36" i="11"/>
  <c r="B58" i="73"/>
  <c r="C58" i="73" s="1"/>
  <c r="G39" i="11"/>
  <c r="B121" i="61" s="1"/>
  <c r="B92" i="49"/>
  <c r="B93" i="49" s="1"/>
  <c r="E299" i="16"/>
  <c r="H77" i="14"/>
  <c r="H78" i="14" s="1"/>
  <c r="H80" i="14" s="1"/>
  <c r="I133" i="48" s="1"/>
  <c r="H95" i="14"/>
  <c r="H96" i="14" s="1"/>
  <c r="H98" i="14" s="1"/>
  <c r="C45" i="48"/>
  <c r="F19" i="14"/>
  <c r="F13" i="14"/>
  <c r="F14" i="14" s="1"/>
  <c r="F16" i="14" s="1"/>
  <c r="G45" i="48" s="1"/>
  <c r="F26" i="14"/>
  <c r="B94" i="75"/>
  <c r="D94" i="75" s="1"/>
  <c r="E94" i="75" s="1"/>
  <c r="B81" i="56"/>
  <c r="D81" i="56" s="1"/>
  <c r="E81" i="56" s="1"/>
  <c r="D301" i="16"/>
  <c r="J131" i="48"/>
  <c r="B130" i="14"/>
  <c r="C236" i="48" s="1"/>
  <c r="G26" i="61"/>
  <c r="G27" i="61" s="1"/>
  <c r="G29" i="61" s="1"/>
  <c r="B48" i="18"/>
  <c r="P18" i="63"/>
  <c r="Q18" i="63" s="1"/>
  <c r="P21" i="63"/>
  <c r="C15" i="61"/>
  <c r="N13" i="61"/>
  <c r="F113" i="14"/>
  <c r="F114" i="14" s="1"/>
  <c r="F116" i="14" s="1"/>
  <c r="F119" i="14"/>
  <c r="F126" i="14"/>
  <c r="F127" i="14" s="1"/>
  <c r="F128" i="14" s="1"/>
  <c r="F130" i="14" s="1"/>
  <c r="G236" i="48" s="1"/>
  <c r="K216" i="16"/>
  <c r="C133" i="48"/>
  <c r="F234" i="48"/>
  <c r="M119" i="14"/>
  <c r="M113" i="14"/>
  <c r="M114" i="14" s="1"/>
  <c r="M116" i="14" s="1"/>
  <c r="N234" i="48" s="1"/>
  <c r="M126" i="14"/>
  <c r="M127" i="14" s="1"/>
  <c r="M128" i="14" s="1"/>
  <c r="M130" i="14" s="1"/>
  <c r="B52" i="14"/>
  <c r="C164" i="4"/>
  <c r="C160" i="4"/>
  <c r="D169" i="16"/>
  <c r="M100" i="4"/>
  <c r="M96" i="4"/>
  <c r="C53" i="48"/>
  <c r="E160" i="4"/>
  <c r="E164" i="4"/>
  <c r="C301" i="16"/>
  <c r="E20" i="14"/>
  <c r="E21" i="14" s="1"/>
  <c r="B107" i="75"/>
  <c r="D107" i="75" s="1"/>
  <c r="E107" i="75" s="1"/>
  <c r="B94" i="56"/>
  <c r="D94" i="56" s="1"/>
  <c r="E94" i="56" s="1"/>
  <c r="C95" i="18"/>
  <c r="B96" i="18"/>
  <c r="C171" i="16"/>
  <c r="F299" i="64"/>
  <c r="G297" i="4"/>
  <c r="G29" i="91" s="1"/>
  <c r="F299" i="4"/>
  <c r="H70" i="14"/>
  <c r="H71" i="14" s="1"/>
  <c r="O87" i="14"/>
  <c r="P22" i="63"/>
  <c r="C87" i="14"/>
  <c r="C17" i="90" s="1"/>
  <c r="L102" i="14"/>
  <c r="L103" i="14" s="1"/>
  <c r="L105" i="14" s="1"/>
  <c r="M45" i="48"/>
  <c r="M19" i="14"/>
  <c r="M20" i="14" s="1"/>
  <c r="M21" i="14" s="1"/>
  <c r="M26" i="14"/>
  <c r="M13" i="14"/>
  <c r="M14" i="14" s="1"/>
  <c r="M16" i="14" s="1"/>
  <c r="B314" i="4"/>
  <c r="B318" i="4"/>
  <c r="B319" i="4" s="1"/>
  <c r="D160" i="4"/>
  <c r="D164" i="4"/>
  <c r="M120" i="48"/>
  <c r="M29" i="48"/>
  <c r="M222" i="48"/>
  <c r="M171" i="48"/>
  <c r="M74" i="48"/>
  <c r="M274" i="48"/>
  <c r="G102" i="14"/>
  <c r="G103" i="14" s="1"/>
  <c r="G105" i="14" s="1"/>
  <c r="G300" i="16"/>
  <c r="F310" i="16"/>
  <c r="E77" i="14"/>
  <c r="E78" i="14" s="1"/>
  <c r="E80" i="14" s="1"/>
  <c r="F58" i="49"/>
  <c r="J58" i="49"/>
  <c r="B58" i="49"/>
  <c r="B59" i="49" s="1"/>
  <c r="E36" i="11"/>
  <c r="E58" i="49"/>
  <c r="E59" i="49" s="1"/>
  <c r="I58" i="49"/>
  <c r="M58" i="49"/>
  <c r="B24" i="73"/>
  <c r="C24" i="73" s="1"/>
  <c r="C58" i="49"/>
  <c r="C59" i="49" s="1"/>
  <c r="G58" i="49"/>
  <c r="G59" i="49" s="1"/>
  <c r="K58" i="49"/>
  <c r="K59" i="49" s="1"/>
  <c r="B41" i="70"/>
  <c r="B42" i="70" s="1"/>
  <c r="H58" i="49"/>
  <c r="D58" i="49"/>
  <c r="L58" i="49"/>
  <c r="L59" i="49" s="1"/>
  <c r="E39" i="11"/>
  <c r="B71" i="61" s="1"/>
  <c r="B98" i="14"/>
  <c r="N266" i="16"/>
  <c r="O62" i="14"/>
  <c r="L275" i="48"/>
  <c r="L223" i="48"/>
  <c r="L75" i="48"/>
  <c r="L121" i="48"/>
  <c r="L30" i="48"/>
  <c r="L172" i="48"/>
  <c r="H160" i="4"/>
  <c r="H164" i="4"/>
  <c r="E137" i="48"/>
  <c r="O137" i="48" s="1"/>
  <c r="L224" i="4"/>
  <c r="L228" i="4"/>
  <c r="E48" i="24"/>
  <c r="E36" i="24"/>
  <c r="F44" i="14"/>
  <c r="F45" i="14" s="1"/>
  <c r="F46" i="14" s="1"/>
  <c r="F48" i="14" s="1"/>
  <c r="F51" i="14"/>
  <c r="F52" i="14" s="1"/>
  <c r="F53" i="14" s="1"/>
  <c r="F55" i="14" s="1"/>
  <c r="G87" i="48" s="1"/>
  <c r="F38" i="14"/>
  <c r="F39" i="14" s="1"/>
  <c r="F41" i="14" s="1"/>
  <c r="G85" i="48" s="1"/>
  <c r="B39" i="14"/>
  <c r="E122" i="16"/>
  <c r="J182" i="48"/>
  <c r="I107" i="14"/>
  <c r="L113" i="18"/>
  <c r="N110" i="18"/>
  <c r="C13" i="16"/>
  <c r="C68" i="16" s="1"/>
  <c r="K62" i="24"/>
  <c r="K50" i="24"/>
  <c r="L140" i="48" s="1"/>
  <c r="H48" i="48"/>
  <c r="H14" i="48"/>
  <c r="G293" i="4"/>
  <c r="G289" i="4"/>
  <c r="B75" i="73"/>
  <c r="C75" i="73" s="1"/>
  <c r="H36" i="11"/>
  <c r="B92" i="70"/>
  <c r="B93" i="70" s="1"/>
  <c r="H39" i="11"/>
  <c r="J58" i="16"/>
  <c r="C12" i="14"/>
  <c r="L95" i="14"/>
  <c r="L96" i="14" s="1"/>
  <c r="L98" i="14" s="1"/>
  <c r="M183" i="48" s="1"/>
  <c r="F72" i="49"/>
  <c r="N65" i="49"/>
  <c r="B22" i="49"/>
  <c r="N21" i="49"/>
  <c r="D186" i="16"/>
  <c r="E70" i="14"/>
  <c r="E71" i="14" s="1"/>
  <c r="I70" i="14"/>
  <c r="I71" i="14" s="1"/>
  <c r="C26" i="61"/>
  <c r="N25" i="61"/>
  <c r="B216" i="16"/>
  <c r="C63" i="14"/>
  <c r="C64" i="14" s="1"/>
  <c r="C66" i="14" s="1"/>
  <c r="N62" i="14"/>
  <c r="C69" i="14"/>
  <c r="C76" i="14"/>
  <c r="N40" i="70"/>
  <c r="G22" i="48"/>
  <c r="G56" i="48"/>
  <c r="N50" i="49"/>
  <c r="D30" i="64"/>
  <c r="J47" i="14"/>
  <c r="C35" i="64"/>
  <c r="G250" i="64"/>
  <c r="M325" i="64"/>
  <c r="M326" i="64" s="1"/>
  <c r="M59" i="4"/>
  <c r="I258" i="4"/>
  <c r="N151" i="16"/>
  <c r="G139" i="48"/>
  <c r="O139" i="48" s="1"/>
  <c r="N77" i="18"/>
  <c r="N82" i="16"/>
  <c r="N33" i="49"/>
  <c r="M248" i="4"/>
  <c r="M243" i="4"/>
  <c r="F239" i="4"/>
  <c r="F248" i="4"/>
  <c r="F243" i="4"/>
  <c r="M313" i="4"/>
  <c r="N74" i="70"/>
  <c r="H250" i="64"/>
  <c r="H265" i="64"/>
  <c r="H266" i="64" s="1"/>
  <c r="H39" i="4"/>
  <c r="H35" i="4"/>
  <c r="K93" i="48"/>
  <c r="C49" i="4"/>
  <c r="C50" i="4" s="1"/>
  <c r="C40" i="4"/>
  <c r="C54" i="4"/>
  <c r="C44" i="4"/>
  <c r="C45" i="4" s="1"/>
  <c r="I122" i="14"/>
  <c r="D190" i="48"/>
  <c r="E59" i="4"/>
  <c r="E55" i="4"/>
  <c r="M88" i="18"/>
  <c r="N88" i="18" s="1"/>
  <c r="M94" i="18"/>
  <c r="M91" i="18"/>
  <c r="M99" i="18"/>
  <c r="N89" i="18"/>
  <c r="H96" i="4" l="1"/>
  <c r="E105" i="4"/>
  <c r="E115" i="4" s="1"/>
  <c r="E116" i="4" s="1"/>
  <c r="E110" i="4"/>
  <c r="E111" i="4" s="1"/>
  <c r="L188" i="64"/>
  <c r="L184" i="16" s="1"/>
  <c r="L186" i="16" s="1"/>
  <c r="K148" i="14"/>
  <c r="L12" i="48" s="1"/>
  <c r="C125" i="4"/>
  <c r="C126" i="4" s="1"/>
  <c r="D209" i="16"/>
  <c r="L95" i="4"/>
  <c r="C96" i="4"/>
  <c r="C106" i="4"/>
  <c r="C116" i="4"/>
  <c r="C101" i="4"/>
  <c r="M148" i="14"/>
  <c r="N287" i="48" s="1"/>
  <c r="E37" i="91"/>
  <c r="L148" i="14"/>
  <c r="L157" i="14" s="1"/>
  <c r="F69" i="4"/>
  <c r="K173" i="14"/>
  <c r="L337" i="48" s="1"/>
  <c r="F182" i="14"/>
  <c r="O13" i="91"/>
  <c r="L173" i="14"/>
  <c r="B33" i="93"/>
  <c r="B384" i="16"/>
  <c r="B394" i="64"/>
  <c r="F382" i="4"/>
  <c r="E382" i="4"/>
  <c r="D382" i="4"/>
  <c r="C382" i="4"/>
  <c r="B384" i="4"/>
  <c r="B432" i="4"/>
  <c r="C170" i="18"/>
  <c r="D169" i="18"/>
  <c r="C86" i="86"/>
  <c r="B87" i="86"/>
  <c r="B133" i="95"/>
  <c r="B110" i="95"/>
  <c r="B156" i="95"/>
  <c r="B155" i="86"/>
  <c r="B159" i="85"/>
  <c r="B110" i="87"/>
  <c r="B156" i="87"/>
  <c r="B133" i="87"/>
  <c r="B132" i="86"/>
  <c r="B109" i="86"/>
  <c r="B135" i="85"/>
  <c r="B107" i="84"/>
  <c r="B91" i="84"/>
  <c r="B146" i="61"/>
  <c r="B147" i="61" s="1"/>
  <c r="B91" i="79"/>
  <c r="C91" i="79" s="1"/>
  <c r="D91" i="79" s="1"/>
  <c r="E91" i="79" s="1"/>
  <c r="F91" i="79" s="1"/>
  <c r="H91" i="79" s="1"/>
  <c r="B92" i="73"/>
  <c r="C92" i="73" s="1"/>
  <c r="B109" i="70"/>
  <c r="M59" i="49"/>
  <c r="N143" i="48" s="1"/>
  <c r="C143" i="48"/>
  <c r="G91" i="49"/>
  <c r="G90" i="49"/>
  <c r="N90" i="49" s="1"/>
  <c r="N17" i="91"/>
  <c r="O17" i="91"/>
  <c r="C24" i="91"/>
  <c r="C37" i="91" s="1"/>
  <c r="N17" i="94"/>
  <c r="O17" i="94"/>
  <c r="E73" i="14"/>
  <c r="F132" i="48" s="1"/>
  <c r="C75" i="70"/>
  <c r="C76" i="70" s="1"/>
  <c r="B76" i="70"/>
  <c r="C196" i="48" s="1"/>
  <c r="I287" i="48"/>
  <c r="D293" i="48"/>
  <c r="C152" i="18"/>
  <c r="C24" i="84"/>
  <c r="B25" i="84"/>
  <c r="D34" i="89"/>
  <c r="C343" i="48"/>
  <c r="B177" i="18"/>
  <c r="J173" i="14"/>
  <c r="C75" i="84"/>
  <c r="B76" i="84"/>
  <c r="I59" i="49"/>
  <c r="J143" i="48" s="1"/>
  <c r="J59" i="49"/>
  <c r="K143" i="48" s="1"/>
  <c r="C63" i="86"/>
  <c r="B64" i="86"/>
  <c r="D209" i="64"/>
  <c r="B178" i="61"/>
  <c r="B153" i="61"/>
  <c r="C153" i="61" s="1"/>
  <c r="C23" i="86"/>
  <c r="B24" i="86"/>
  <c r="D37" i="92"/>
  <c r="F29" i="90"/>
  <c r="F29" i="89"/>
  <c r="L73" i="14"/>
  <c r="M132" i="48" s="1"/>
  <c r="F138" i="4"/>
  <c r="F28" i="94"/>
  <c r="F32" i="94" s="1"/>
  <c r="F173" i="4"/>
  <c r="F207" i="4" s="1"/>
  <c r="B41" i="95"/>
  <c r="B41" i="87"/>
  <c r="B40" i="86"/>
  <c r="B41" i="84"/>
  <c r="B41" i="79"/>
  <c r="C41" i="79" s="1"/>
  <c r="D41" i="79" s="1"/>
  <c r="E41" i="79" s="1"/>
  <c r="F41" i="79" s="1"/>
  <c r="G41" i="79" s="1"/>
  <c r="H41" i="79" s="1"/>
  <c r="I41" i="79" s="1"/>
  <c r="J41" i="79" s="1"/>
  <c r="K41" i="79" s="1"/>
  <c r="L41" i="79" s="1"/>
  <c r="M41" i="79" s="1"/>
  <c r="F323" i="48"/>
  <c r="F370" i="48"/>
  <c r="F73" i="48"/>
  <c r="B34" i="92"/>
  <c r="B37" i="92" s="1"/>
  <c r="C24" i="87"/>
  <c r="B25" i="87"/>
  <c r="B126" i="49"/>
  <c r="C109" i="49"/>
  <c r="B110" i="49"/>
  <c r="C87" i="87"/>
  <c r="B88" i="87"/>
  <c r="E30" i="90"/>
  <c r="E34" i="90" s="1"/>
  <c r="E30" i="89"/>
  <c r="E34" i="89" s="1"/>
  <c r="E178" i="64"/>
  <c r="E174" i="16" s="1"/>
  <c r="G24" i="91"/>
  <c r="C64" i="95"/>
  <c r="B65" i="95"/>
  <c r="F25" i="85"/>
  <c r="E26" i="85"/>
  <c r="F67" i="48" s="1"/>
  <c r="H59" i="49"/>
  <c r="I143" i="48" s="1"/>
  <c r="F143" i="48"/>
  <c r="F59" i="49"/>
  <c r="G143" i="48" s="1"/>
  <c r="M188" i="64"/>
  <c r="M184" i="16" s="1"/>
  <c r="M186" i="16" s="1"/>
  <c r="M31" i="90"/>
  <c r="M31" i="89"/>
  <c r="E144" i="18"/>
  <c r="D145" i="18"/>
  <c r="C64" i="87"/>
  <c r="B65" i="87"/>
  <c r="E67" i="48"/>
  <c r="F74" i="49"/>
  <c r="F73" i="49" s="1"/>
  <c r="N73" i="49" s="1"/>
  <c r="N17" i="90"/>
  <c r="O17" i="90"/>
  <c r="N17" i="92"/>
  <c r="N24" i="92" s="1"/>
  <c r="O17" i="92"/>
  <c r="O24" i="92" s="1"/>
  <c r="C24" i="92"/>
  <c r="C37" i="92" s="1"/>
  <c r="M182" i="14"/>
  <c r="J337" i="48"/>
  <c r="I182" i="14"/>
  <c r="E37" i="92"/>
  <c r="F34" i="91"/>
  <c r="F37" i="91" s="1"/>
  <c r="C24" i="95"/>
  <c r="B25" i="95"/>
  <c r="J287" i="48"/>
  <c r="I157" i="14"/>
  <c r="J12" i="48"/>
  <c r="D37" i="91"/>
  <c r="C87" i="95"/>
  <c r="B88" i="95"/>
  <c r="D59" i="49"/>
  <c r="E143" i="48" s="1"/>
  <c r="L31" i="90"/>
  <c r="L31" i="89"/>
  <c r="O31" i="89" s="1"/>
  <c r="E32" i="94"/>
  <c r="E207" i="4"/>
  <c r="C58" i="84"/>
  <c r="B59" i="84"/>
  <c r="J395" i="64"/>
  <c r="F395" i="64"/>
  <c r="K395" i="64"/>
  <c r="G395" i="64"/>
  <c r="C395" i="64"/>
  <c r="H395" i="64"/>
  <c r="L395" i="64"/>
  <c r="M395" i="64"/>
  <c r="E395" i="64"/>
  <c r="D395" i="64"/>
  <c r="I395" i="64"/>
  <c r="G73" i="14"/>
  <c r="H132" i="48" s="1"/>
  <c r="M73" i="14"/>
  <c r="N132" i="48" s="1"/>
  <c r="J73" i="14"/>
  <c r="K132" i="48" s="1"/>
  <c r="B420" i="64"/>
  <c r="B416" i="64"/>
  <c r="N416" i="64" s="1"/>
  <c r="L445" i="64"/>
  <c r="L446" i="64" s="1"/>
  <c r="L441" i="64"/>
  <c r="K445" i="64"/>
  <c r="K446" i="64" s="1"/>
  <c r="K441" i="64"/>
  <c r="E445" i="64"/>
  <c r="E446" i="64" s="1"/>
  <c r="E441" i="64"/>
  <c r="D445" i="64"/>
  <c r="D446" i="64" s="1"/>
  <c r="D441" i="64"/>
  <c r="C445" i="64"/>
  <c r="C446" i="64" s="1"/>
  <c r="C441" i="64"/>
  <c r="F73" i="14"/>
  <c r="G132" i="48" s="1"/>
  <c r="C416" i="16"/>
  <c r="D415" i="16"/>
  <c r="M445" i="64"/>
  <c r="M446" i="64" s="1"/>
  <c r="M441" i="64"/>
  <c r="F441" i="64"/>
  <c r="F445" i="64"/>
  <c r="F446" i="64" s="1"/>
  <c r="H445" i="64"/>
  <c r="H446" i="64" s="1"/>
  <c r="H441" i="64"/>
  <c r="G441" i="64"/>
  <c r="G445" i="64"/>
  <c r="G446" i="64" s="1"/>
  <c r="I73" i="14"/>
  <c r="J132" i="48" s="1"/>
  <c r="H73" i="14"/>
  <c r="I132" i="48" s="1"/>
  <c r="D73" i="14"/>
  <c r="E132" i="48" s="1"/>
  <c r="B73" i="14"/>
  <c r="B82" i="14" s="1"/>
  <c r="E410" i="16"/>
  <c r="D420" i="16"/>
  <c r="D421" i="16" s="1"/>
  <c r="D411" i="16"/>
  <c r="J445" i="64"/>
  <c r="J446" i="64" s="1"/>
  <c r="J441" i="64"/>
  <c r="I445" i="64"/>
  <c r="I446" i="64" s="1"/>
  <c r="I441" i="64"/>
  <c r="N17" i="89"/>
  <c r="O17" i="89"/>
  <c r="F288" i="48"/>
  <c r="J107" i="14"/>
  <c r="E286" i="48"/>
  <c r="I288" i="48"/>
  <c r="G132" i="14"/>
  <c r="G157" i="14"/>
  <c r="H236" i="48"/>
  <c r="H12" i="48"/>
  <c r="L287" i="48"/>
  <c r="D157" i="14"/>
  <c r="H13" i="48"/>
  <c r="E13" i="48"/>
  <c r="K157" i="14"/>
  <c r="Q25" i="63"/>
  <c r="L11" i="48"/>
  <c r="D182" i="14"/>
  <c r="E336" i="48"/>
  <c r="N169" i="14"/>
  <c r="C170" i="14"/>
  <c r="N170" i="14" s="1"/>
  <c r="I11" i="48"/>
  <c r="E182" i="14"/>
  <c r="F336" i="48"/>
  <c r="L336" i="48"/>
  <c r="C177" i="14"/>
  <c r="N177" i="14" s="1"/>
  <c r="N176" i="14"/>
  <c r="H157" i="14"/>
  <c r="I336" i="48"/>
  <c r="H182" i="14"/>
  <c r="N164" i="14"/>
  <c r="C166" i="14"/>
  <c r="N163" i="14"/>
  <c r="G182" i="14"/>
  <c r="H336" i="48"/>
  <c r="J100" i="4"/>
  <c r="J101" i="4" s="1"/>
  <c r="K100" i="4"/>
  <c r="K101" i="4" s="1"/>
  <c r="G286" i="48"/>
  <c r="G11" i="48"/>
  <c r="K286" i="48"/>
  <c r="K11" i="48"/>
  <c r="F287" i="48"/>
  <c r="F12" i="48"/>
  <c r="E157" i="14"/>
  <c r="N286" i="48"/>
  <c r="M157" i="14"/>
  <c r="N11" i="48"/>
  <c r="J145" i="14"/>
  <c r="J146" i="14" s="1"/>
  <c r="J148" i="14" s="1"/>
  <c r="G288" i="48"/>
  <c r="G13" i="48"/>
  <c r="C144" i="14"/>
  <c r="C138" i="14"/>
  <c r="N138" i="14" s="1"/>
  <c r="N137" i="14"/>
  <c r="P137" i="14" s="1"/>
  <c r="C151" i="14"/>
  <c r="N288" i="48"/>
  <c r="N13" i="48"/>
  <c r="Q24" i="63"/>
  <c r="K288" i="48"/>
  <c r="K13" i="48"/>
  <c r="F145" i="14"/>
  <c r="F146" i="14" s="1"/>
  <c r="F148" i="14" s="1"/>
  <c r="D324" i="16"/>
  <c r="D329" i="64"/>
  <c r="M201" i="16"/>
  <c r="M204" i="16"/>
  <c r="M205" i="16" s="1"/>
  <c r="C201" i="16"/>
  <c r="C204" i="16"/>
  <c r="C205" i="16" s="1"/>
  <c r="K201" i="16"/>
  <c r="K204" i="16"/>
  <c r="K205" i="16" s="1"/>
  <c r="C324" i="16"/>
  <c r="C323" i="16"/>
  <c r="D272" i="48" s="1"/>
  <c r="N86" i="4"/>
  <c r="B95" i="4"/>
  <c r="B91" i="4"/>
  <c r="F91" i="4"/>
  <c r="F95" i="4"/>
  <c r="E334" i="64"/>
  <c r="E389" i="64" s="1"/>
  <c r="E329" i="16"/>
  <c r="E329" i="4"/>
  <c r="E376" i="4" s="1"/>
  <c r="F320" i="48" s="1"/>
  <c r="E377" i="4"/>
  <c r="G327" i="4"/>
  <c r="G33" i="92" s="1"/>
  <c r="G34" i="92" s="1"/>
  <c r="G37" i="92" s="1"/>
  <c r="F329" i="16"/>
  <c r="F329" i="4"/>
  <c r="F376" i="4" s="1"/>
  <c r="G320" i="48" s="1"/>
  <c r="F334" i="64"/>
  <c r="F389" i="64" s="1"/>
  <c r="F377" i="4"/>
  <c r="B389" i="64"/>
  <c r="C329" i="64"/>
  <c r="D334" i="64"/>
  <c r="D389" i="64" s="1"/>
  <c r="D329" i="4"/>
  <c r="D376" i="4" s="1"/>
  <c r="E320" i="48" s="1"/>
  <c r="D329" i="16"/>
  <c r="D379" i="16" s="1"/>
  <c r="D377" i="4"/>
  <c r="C329" i="4"/>
  <c r="C376" i="4" s="1"/>
  <c r="D320" i="48" s="1"/>
  <c r="C334" i="64"/>
  <c r="C389" i="64" s="1"/>
  <c r="C329" i="16"/>
  <c r="C331" i="16" s="1"/>
  <c r="C377" i="4"/>
  <c r="B331" i="16"/>
  <c r="B378" i="16" s="1"/>
  <c r="C322" i="48" s="1"/>
  <c r="B379" i="16"/>
  <c r="H272" i="4"/>
  <c r="H33" i="91" s="1"/>
  <c r="G274" i="64"/>
  <c r="G274" i="16" s="1"/>
  <c r="G276" i="16" s="1"/>
  <c r="G274" i="4"/>
  <c r="B376" i="4"/>
  <c r="F16" i="60"/>
  <c r="N251" i="48"/>
  <c r="N236" i="48"/>
  <c r="I251" i="48"/>
  <c r="I236" i="48"/>
  <c r="K251" i="48"/>
  <c r="K236" i="48"/>
  <c r="E235" i="48"/>
  <c r="L251" i="48"/>
  <c r="L236" i="48"/>
  <c r="F22" i="24"/>
  <c r="G54" i="48" s="1"/>
  <c r="D265" i="64"/>
  <c r="D266" i="64" s="1"/>
  <c r="B49" i="64"/>
  <c r="B105" i="64" s="1"/>
  <c r="I60" i="16"/>
  <c r="F64" i="16"/>
  <c r="F65" i="16" s="1"/>
  <c r="G60" i="16"/>
  <c r="D138" i="16"/>
  <c r="E118" i="48" s="1"/>
  <c r="D64" i="16"/>
  <c r="D65" i="16" s="1"/>
  <c r="E132" i="16"/>
  <c r="E135" i="16"/>
  <c r="E136" i="16" s="1"/>
  <c r="G132" i="16"/>
  <c r="G135" i="16"/>
  <c r="G136" i="16" s="1"/>
  <c r="N55" i="16"/>
  <c r="H60" i="16"/>
  <c r="E246" i="64"/>
  <c r="F319" i="4"/>
  <c r="G43" i="4"/>
  <c r="F38" i="16"/>
  <c r="E58" i="64"/>
  <c r="E40" i="16"/>
  <c r="F244" i="64"/>
  <c r="F244" i="16" s="1"/>
  <c r="F246" i="16" s="1"/>
  <c r="E129" i="64"/>
  <c r="E143" i="64" s="1"/>
  <c r="I18" i="24"/>
  <c r="L22" i="24"/>
  <c r="M54" i="48" s="1"/>
  <c r="D22" i="24"/>
  <c r="E54" i="48" s="1"/>
  <c r="M18" i="24"/>
  <c r="M22" i="24"/>
  <c r="N54" i="48" s="1"/>
  <c r="G22" i="24"/>
  <c r="H54" i="48" s="1"/>
  <c r="G18" i="24"/>
  <c r="J22" i="24"/>
  <c r="K54" i="48" s="1"/>
  <c r="J18" i="24"/>
  <c r="H18" i="24"/>
  <c r="H22" i="24"/>
  <c r="I54" i="48" s="1"/>
  <c r="D323" i="16"/>
  <c r="E272" i="48" s="1"/>
  <c r="N146" i="16"/>
  <c r="N196" i="16"/>
  <c r="F127" i="16"/>
  <c r="F131" i="16"/>
  <c r="J127" i="16"/>
  <c r="J131" i="16"/>
  <c r="C60" i="16"/>
  <c r="C64" i="16"/>
  <c r="C65" i="16" s="1"/>
  <c r="E60" i="16"/>
  <c r="E64" i="16"/>
  <c r="E65" i="16" s="1"/>
  <c r="B60" i="16"/>
  <c r="B64" i="16"/>
  <c r="B65" i="16" s="1"/>
  <c r="E117" i="16"/>
  <c r="D241" i="64"/>
  <c r="D321" i="64"/>
  <c r="E50" i="16"/>
  <c r="C122" i="16"/>
  <c r="C126" i="16"/>
  <c r="C39" i="64"/>
  <c r="D39" i="64" s="1"/>
  <c r="C261" i="64"/>
  <c r="C250" i="64"/>
  <c r="C255" i="64" s="1"/>
  <c r="C256" i="64" s="1"/>
  <c r="C321" i="64"/>
  <c r="B360" i="64"/>
  <c r="B356" i="64"/>
  <c r="N356" i="64" s="1"/>
  <c r="E385" i="64"/>
  <c r="E386" i="64" s="1"/>
  <c r="E381" i="64"/>
  <c r="F385" i="64"/>
  <c r="F386" i="64" s="1"/>
  <c r="F381" i="64"/>
  <c r="C385" i="64"/>
  <c r="C386" i="64" s="1"/>
  <c r="C381" i="64"/>
  <c r="D385" i="64"/>
  <c r="D386" i="64" s="1"/>
  <c r="D381" i="64"/>
  <c r="I385" i="64"/>
  <c r="I386" i="64" s="1"/>
  <c r="I381" i="64"/>
  <c r="H385" i="64"/>
  <c r="H386" i="64" s="1"/>
  <c r="H381" i="64"/>
  <c r="J385" i="64"/>
  <c r="J386" i="64" s="1"/>
  <c r="J381" i="64"/>
  <c r="M335" i="64"/>
  <c r="I335" i="64"/>
  <c r="E335" i="64"/>
  <c r="K335" i="64"/>
  <c r="C335" i="64"/>
  <c r="L335" i="64"/>
  <c r="H335" i="64"/>
  <c r="D335" i="64"/>
  <c r="G335" i="64"/>
  <c r="J335" i="64"/>
  <c r="F335" i="64"/>
  <c r="L385" i="64"/>
  <c r="L386" i="64" s="1"/>
  <c r="L381" i="64"/>
  <c r="M385" i="64"/>
  <c r="M386" i="64" s="1"/>
  <c r="M381" i="64"/>
  <c r="K385" i="64"/>
  <c r="K386" i="64" s="1"/>
  <c r="K381" i="64"/>
  <c r="G385" i="64"/>
  <c r="G386" i="64" s="1"/>
  <c r="G381" i="64"/>
  <c r="D356" i="16"/>
  <c r="D365" i="16"/>
  <c r="D366" i="16" s="1"/>
  <c r="E355" i="16"/>
  <c r="D360" i="16"/>
  <c r="C361" i="16"/>
  <c r="D143" i="48"/>
  <c r="C243" i="48"/>
  <c r="N151" i="61"/>
  <c r="B98" i="56"/>
  <c r="D98" i="56" s="1"/>
  <c r="E98" i="56" s="1"/>
  <c r="F98" i="56" s="1"/>
  <c r="G98" i="56" s="1"/>
  <c r="N145" i="61"/>
  <c r="B152" i="61"/>
  <c r="N138" i="61"/>
  <c r="B140" i="61"/>
  <c r="C289" i="48" s="1"/>
  <c r="O289" i="48" s="1"/>
  <c r="N144" i="61"/>
  <c r="D89" i="24"/>
  <c r="D93" i="24"/>
  <c r="E295" i="48" s="1"/>
  <c r="F124" i="18"/>
  <c r="E86" i="24"/>
  <c r="E125" i="18"/>
  <c r="F242" i="48" s="1"/>
  <c r="Q21" i="63"/>
  <c r="Q19" i="63"/>
  <c r="I86" i="48"/>
  <c r="H57" i="14"/>
  <c r="O51" i="48"/>
  <c r="M195" i="4"/>
  <c r="M199" i="4"/>
  <c r="N155" i="4"/>
  <c r="E60" i="4"/>
  <c r="E64" i="4"/>
  <c r="E65" i="4" s="1"/>
  <c r="C303" i="4"/>
  <c r="C304" i="4" s="1"/>
  <c r="M60" i="4"/>
  <c r="M64" i="4"/>
  <c r="M65" i="4" s="1"/>
  <c r="I308" i="4"/>
  <c r="I313" i="4" s="1"/>
  <c r="E106" i="4"/>
  <c r="F311" i="16"/>
  <c r="F309" i="4"/>
  <c r="C299" i="4"/>
  <c r="D316" i="64"/>
  <c r="K238" i="4"/>
  <c r="K243" i="4" s="1"/>
  <c r="F244" i="4"/>
  <c r="D289" i="4"/>
  <c r="N289" i="4" s="1"/>
  <c r="F259" i="64"/>
  <c r="G53" i="4"/>
  <c r="F48" i="64"/>
  <c r="F48" i="16" s="1"/>
  <c r="E261" i="64"/>
  <c r="F304" i="64"/>
  <c r="F304" i="16" s="1"/>
  <c r="F306" i="16" s="1"/>
  <c r="G302" i="4"/>
  <c r="G30" i="91" s="1"/>
  <c r="F304" i="4"/>
  <c r="E314" i="64"/>
  <c r="E316" i="64" s="1"/>
  <c r="F319" i="16"/>
  <c r="F321" i="16" s="1"/>
  <c r="E322" i="4"/>
  <c r="C229" i="4"/>
  <c r="C233" i="4"/>
  <c r="F183" i="64"/>
  <c r="F179" i="16" s="1"/>
  <c r="F181" i="16" s="1"/>
  <c r="H248" i="4"/>
  <c r="H253" i="4" s="1"/>
  <c r="H258" i="4" s="1"/>
  <c r="H259" i="4" s="1"/>
  <c r="E321" i="64"/>
  <c r="G40" i="4"/>
  <c r="G54" i="4"/>
  <c r="G59" i="4" s="1"/>
  <c r="B229" i="4"/>
  <c r="B233" i="4"/>
  <c r="J298" i="4"/>
  <c r="J294" i="4"/>
  <c r="J30" i="4"/>
  <c r="J234" i="4"/>
  <c r="J238" i="4"/>
  <c r="I160" i="4"/>
  <c r="I164" i="4"/>
  <c r="K294" i="4"/>
  <c r="K298" i="4"/>
  <c r="D35" i="4"/>
  <c r="D39" i="4"/>
  <c r="G44" i="4"/>
  <c r="N112" i="16"/>
  <c r="K39" i="4"/>
  <c r="K35" i="4"/>
  <c r="L303" i="4"/>
  <c r="L308" i="4"/>
  <c r="L313" i="4" s="1"/>
  <c r="L318" i="4" s="1"/>
  <c r="G96" i="4"/>
  <c r="G100" i="4"/>
  <c r="J165" i="4"/>
  <c r="J169" i="4"/>
  <c r="E269" i="16"/>
  <c r="N22" i="49"/>
  <c r="N29" i="18"/>
  <c r="N126" i="61"/>
  <c r="N27" i="18"/>
  <c r="C19" i="24"/>
  <c r="O53" i="48"/>
  <c r="N22" i="18"/>
  <c r="N19" i="18"/>
  <c r="N16" i="18"/>
  <c r="N57" i="49"/>
  <c r="F87" i="48"/>
  <c r="E57" i="14"/>
  <c r="L47" i="48"/>
  <c r="B121" i="16"/>
  <c r="B117" i="16"/>
  <c r="I39" i="4"/>
  <c r="I35" i="4"/>
  <c r="D275" i="64"/>
  <c r="D276" i="64" s="1"/>
  <c r="E275" i="64"/>
  <c r="E276" i="64" s="1"/>
  <c r="K275" i="64"/>
  <c r="L275" i="64"/>
  <c r="M275" i="64"/>
  <c r="F275" i="64"/>
  <c r="F276" i="64" s="1"/>
  <c r="I275" i="64"/>
  <c r="J275" i="64"/>
  <c r="C275" i="64"/>
  <c r="C276" i="64" s="1"/>
  <c r="H275" i="64"/>
  <c r="G275" i="64"/>
  <c r="B15" i="64"/>
  <c r="K105" i="64"/>
  <c r="K59" i="64"/>
  <c r="K64" i="64" s="1"/>
  <c r="K120" i="64" s="1"/>
  <c r="K169" i="4"/>
  <c r="K165" i="4"/>
  <c r="G309" i="64"/>
  <c r="G309" i="16" s="1"/>
  <c r="F105" i="64"/>
  <c r="F59" i="64"/>
  <c r="F64" i="64" s="1"/>
  <c r="F120" i="64" s="1"/>
  <c r="N16" i="48"/>
  <c r="N50" i="48"/>
  <c r="F174" i="4"/>
  <c r="F175" i="4" s="1"/>
  <c r="F179" i="4"/>
  <c r="D174" i="64"/>
  <c r="D101" i="64"/>
  <c r="B104" i="61"/>
  <c r="N102" i="61"/>
  <c r="F249" i="64"/>
  <c r="F249" i="16" s="1"/>
  <c r="F251" i="16" s="1"/>
  <c r="I174" i="64"/>
  <c r="I101" i="64"/>
  <c r="E294" i="4"/>
  <c r="E298" i="4"/>
  <c r="N52" i="61"/>
  <c r="J174" i="64"/>
  <c r="J101" i="64"/>
  <c r="F36" i="11"/>
  <c r="B58" i="70"/>
  <c r="B59" i="70" s="1"/>
  <c r="B41" i="73"/>
  <c r="C41" i="73" s="1"/>
  <c r="B75" i="49"/>
  <c r="B76" i="49" s="1"/>
  <c r="F39" i="11"/>
  <c r="B96" i="61" s="1"/>
  <c r="G174" i="64"/>
  <c r="G101" i="64"/>
  <c r="N119" i="61"/>
  <c r="E241" i="64"/>
  <c r="B23" i="49"/>
  <c r="N188" i="4"/>
  <c r="M143" i="48"/>
  <c r="L143" i="48"/>
  <c r="B29" i="4"/>
  <c r="B25" i="4"/>
  <c r="D27" i="11"/>
  <c r="E80" i="64"/>
  <c r="I80" i="64"/>
  <c r="M80" i="64"/>
  <c r="C80" i="64"/>
  <c r="G80" i="64"/>
  <c r="K80" i="64"/>
  <c r="F80" i="64"/>
  <c r="B80" i="64"/>
  <c r="C19" i="64"/>
  <c r="G19" i="64"/>
  <c r="G24" i="64" s="1"/>
  <c r="K19" i="64"/>
  <c r="K24" i="64" s="1"/>
  <c r="J80" i="64"/>
  <c r="E19" i="64"/>
  <c r="I19" i="64"/>
  <c r="I24" i="64" s="1"/>
  <c r="M19" i="64"/>
  <c r="M24" i="64" s="1"/>
  <c r="D19" i="64"/>
  <c r="L19" i="64"/>
  <c r="L24" i="64" s="1"/>
  <c r="D80" i="64"/>
  <c r="F19" i="64"/>
  <c r="B19" i="64"/>
  <c r="J19" i="64"/>
  <c r="J24" i="64" s="1"/>
  <c r="H80" i="64"/>
  <c r="H19" i="64"/>
  <c r="H24" i="64" s="1"/>
  <c r="L80" i="64"/>
  <c r="K174" i="64"/>
  <c r="K101" i="64"/>
  <c r="E256" i="16"/>
  <c r="E268" i="16" s="1"/>
  <c r="F220" i="48" s="1"/>
  <c r="F30" i="4"/>
  <c r="F34" i="4"/>
  <c r="N39" i="49"/>
  <c r="F174" i="64"/>
  <c r="F101" i="64"/>
  <c r="H127" i="61"/>
  <c r="N127" i="61" s="1"/>
  <c r="D216" i="16"/>
  <c r="D268" i="16" s="1"/>
  <c r="E220" i="48" s="1"/>
  <c r="D269" i="16"/>
  <c r="G104" i="4"/>
  <c r="F115" i="16"/>
  <c r="F139" i="16" s="1"/>
  <c r="N120" i="61"/>
  <c r="M105" i="64"/>
  <c r="M59" i="64"/>
  <c r="M64" i="64" s="1"/>
  <c r="M120" i="64" s="1"/>
  <c r="K73" i="14"/>
  <c r="L132" i="48" s="1"/>
  <c r="P62" i="14"/>
  <c r="Q22" i="63"/>
  <c r="B174" i="4"/>
  <c r="B175" i="4" s="1"/>
  <c r="B179" i="4"/>
  <c r="B170" i="4"/>
  <c r="E105" i="64"/>
  <c r="E59" i="64"/>
  <c r="E64" i="64" s="1"/>
  <c r="E120" i="64" s="1"/>
  <c r="E130" i="64" s="1"/>
  <c r="H105" i="64"/>
  <c r="H59" i="64"/>
  <c r="H64" i="64" s="1"/>
  <c r="H120" i="64" s="1"/>
  <c r="L254" i="64"/>
  <c r="M257" i="4"/>
  <c r="M254" i="64" s="1"/>
  <c r="M254" i="16" s="1"/>
  <c r="M256" i="16" s="1"/>
  <c r="A120" i="61"/>
  <c r="A127" i="61"/>
  <c r="A138" i="61" s="1"/>
  <c r="C136" i="48"/>
  <c r="C105" i="64"/>
  <c r="C59" i="64"/>
  <c r="C64" i="64" s="1"/>
  <c r="C120" i="64" s="1"/>
  <c r="C130" i="64" s="1"/>
  <c r="C131" i="64" s="1"/>
  <c r="L105" i="64"/>
  <c r="L59" i="64"/>
  <c r="L64" i="64" s="1"/>
  <c r="L120" i="64" s="1"/>
  <c r="I96" i="4"/>
  <c r="I100" i="4"/>
  <c r="B174" i="64"/>
  <c r="B101" i="64"/>
  <c r="D103" i="61"/>
  <c r="C104" i="61"/>
  <c r="D187" i="48" s="1"/>
  <c r="D248" i="4"/>
  <c r="D243" i="4"/>
  <c r="D244" i="4" s="1"/>
  <c r="D239" i="4"/>
  <c r="G248" i="4"/>
  <c r="G253" i="4" s="1"/>
  <c r="G243" i="4"/>
  <c r="M174" i="64"/>
  <c r="M101" i="64"/>
  <c r="C71" i="18"/>
  <c r="B72" i="18"/>
  <c r="E53" i="61"/>
  <c r="D54" i="61"/>
  <c r="M190" i="4"/>
  <c r="N63" i="14"/>
  <c r="N64" i="14" s="1"/>
  <c r="N214" i="16"/>
  <c r="N26" i="61"/>
  <c r="F122" i="16"/>
  <c r="E174" i="64"/>
  <c r="E101" i="64"/>
  <c r="H174" i="64"/>
  <c r="H101" i="64"/>
  <c r="D51" i="18"/>
  <c r="D43" i="18"/>
  <c r="D40" i="18"/>
  <c r="N40" i="18" s="1"/>
  <c r="D46" i="18"/>
  <c r="N46" i="18" s="1"/>
  <c r="N41" i="18"/>
  <c r="N56" i="49"/>
  <c r="D78" i="61"/>
  <c r="C79" i="61"/>
  <c r="D136" i="48" s="1"/>
  <c r="C174" i="64"/>
  <c r="C101" i="64"/>
  <c r="L174" i="64"/>
  <c r="L101" i="64"/>
  <c r="F239" i="64"/>
  <c r="G237" i="4"/>
  <c r="F267" i="4"/>
  <c r="B300" i="64"/>
  <c r="B296" i="64"/>
  <c r="N296" i="64" s="1"/>
  <c r="D105" i="64"/>
  <c r="D59" i="64"/>
  <c r="D64" i="64" s="1"/>
  <c r="D120" i="64" s="1"/>
  <c r="D130" i="64" s="1"/>
  <c r="D131" i="64" s="1"/>
  <c r="H38" i="11"/>
  <c r="B128" i="61"/>
  <c r="I105" i="64"/>
  <c r="I59" i="64"/>
  <c r="I64" i="64" s="1"/>
  <c r="I120" i="64" s="1"/>
  <c r="G317" i="4"/>
  <c r="G31" i="91" s="1"/>
  <c r="F319" i="64"/>
  <c r="E269" i="64"/>
  <c r="J105" i="64"/>
  <c r="J59" i="64"/>
  <c r="J64" i="64" s="1"/>
  <c r="J120" i="64" s="1"/>
  <c r="G105" i="64"/>
  <c r="G59" i="64"/>
  <c r="G64" i="64" s="1"/>
  <c r="G120" i="64" s="1"/>
  <c r="D175" i="16"/>
  <c r="C176" i="16"/>
  <c r="D33" i="24"/>
  <c r="N30" i="24"/>
  <c r="H50" i="48"/>
  <c r="H16" i="48"/>
  <c r="M47" i="48"/>
  <c r="G131" i="48"/>
  <c r="E87" i="48"/>
  <c r="D57" i="14"/>
  <c r="F133" i="48"/>
  <c r="E82" i="14"/>
  <c r="H184" i="48"/>
  <c r="G107" i="14"/>
  <c r="K107" i="14"/>
  <c r="L183" i="48"/>
  <c r="G234" i="48"/>
  <c r="B48" i="14"/>
  <c r="C86" i="48" s="1"/>
  <c r="N133" i="48"/>
  <c r="G184" i="48"/>
  <c r="F107" i="14"/>
  <c r="H143" i="48"/>
  <c r="N182" i="48"/>
  <c r="H87" i="48"/>
  <c r="G57" i="14"/>
  <c r="I183" i="48"/>
  <c r="H107" i="14"/>
  <c r="L133" i="48"/>
  <c r="E132" i="14"/>
  <c r="C19" i="14"/>
  <c r="C26" i="14"/>
  <c r="C13" i="14"/>
  <c r="N12" i="14"/>
  <c r="P12" i="14" s="1"/>
  <c r="C15" i="16"/>
  <c r="L112" i="18"/>
  <c r="N112" i="18" s="1"/>
  <c r="L118" i="18"/>
  <c r="N113" i="18"/>
  <c r="L123" i="18"/>
  <c r="L115" i="18"/>
  <c r="K110" i="4"/>
  <c r="E62" i="24"/>
  <c r="E50" i="24"/>
  <c r="M223" i="48"/>
  <c r="M121" i="48"/>
  <c r="M172" i="48"/>
  <c r="M75" i="48"/>
  <c r="M275" i="48"/>
  <c r="M30" i="48"/>
  <c r="C183" i="48"/>
  <c r="D165" i="4"/>
  <c r="D169" i="4"/>
  <c r="N45" i="48"/>
  <c r="M184" i="48"/>
  <c r="L107" i="14"/>
  <c r="G299" i="64"/>
  <c r="H297" i="4"/>
  <c r="H29" i="91" s="1"/>
  <c r="C189" i="48"/>
  <c r="B103" i="18"/>
  <c r="D47" i="18"/>
  <c r="C48" i="18"/>
  <c r="L35" i="4"/>
  <c r="L39" i="4"/>
  <c r="D298" i="4"/>
  <c r="D294" i="4"/>
  <c r="E254" i="4"/>
  <c r="E258" i="4"/>
  <c r="B105" i="14"/>
  <c r="C44" i="14"/>
  <c r="C51" i="14"/>
  <c r="C38" i="14"/>
  <c r="N38" i="14" s="1"/>
  <c r="N37" i="14"/>
  <c r="P37" i="14" s="1"/>
  <c r="D119" i="18"/>
  <c r="C120" i="18"/>
  <c r="E13" i="64"/>
  <c r="E15" i="4"/>
  <c r="G169" i="4"/>
  <c r="G165" i="4"/>
  <c r="D131" i="48"/>
  <c r="N66" i="14"/>
  <c r="K58" i="16"/>
  <c r="J60" i="16"/>
  <c r="C92" i="70"/>
  <c r="C93" i="70" s="1"/>
  <c r="G294" i="4"/>
  <c r="G298" i="4"/>
  <c r="K76" i="24"/>
  <c r="K64" i="24"/>
  <c r="L191" i="48" s="1"/>
  <c r="F94" i="48"/>
  <c r="E165" i="4"/>
  <c r="E169" i="4"/>
  <c r="D171" i="16"/>
  <c r="B53" i="14"/>
  <c r="F120" i="14"/>
  <c r="F121" i="14" s="1"/>
  <c r="F123" i="14" s="1"/>
  <c r="G235" i="48" s="1"/>
  <c r="D48" i="48"/>
  <c r="O48" i="48" s="1"/>
  <c r="D14" i="48"/>
  <c r="O14" i="48" s="1"/>
  <c r="N15" i="61"/>
  <c r="C92" i="48"/>
  <c r="B55" i="18"/>
  <c r="F27" i="14"/>
  <c r="D58" i="73"/>
  <c r="G119" i="64"/>
  <c r="G120" i="16"/>
  <c r="G122" i="16" s="1"/>
  <c r="H109" i="4"/>
  <c r="L100" i="4"/>
  <c r="L96" i="4"/>
  <c r="M52" i="14"/>
  <c r="M53" i="14" s="1"/>
  <c r="M55" i="14" s="1"/>
  <c r="N87" i="48" s="1"/>
  <c r="D105" i="4"/>
  <c r="D110" i="4"/>
  <c r="D111" i="4" s="1"/>
  <c r="D101" i="4"/>
  <c r="C241" i="48"/>
  <c r="B127" i="18"/>
  <c r="E169" i="16"/>
  <c r="E209" i="16" s="1"/>
  <c r="M95" i="14"/>
  <c r="M96" i="14" s="1"/>
  <c r="M98" i="14" s="1"/>
  <c r="N183" i="48" s="1"/>
  <c r="C27" i="61"/>
  <c r="B321" i="4"/>
  <c r="Q20" i="63"/>
  <c r="C70" i="14"/>
  <c r="N69" i="14"/>
  <c r="B41" i="14"/>
  <c r="F57" i="14"/>
  <c r="G86" i="48"/>
  <c r="N224" i="4"/>
  <c r="H169" i="4"/>
  <c r="H165" i="4"/>
  <c r="C121" i="61"/>
  <c r="B122" i="61"/>
  <c r="L179" i="4"/>
  <c r="L184" i="4" s="1"/>
  <c r="L174" i="4"/>
  <c r="C119" i="14"/>
  <c r="C113" i="14"/>
  <c r="C126" i="14"/>
  <c r="N112" i="14"/>
  <c r="P112" i="14" s="1"/>
  <c r="F77" i="14"/>
  <c r="F78" i="14" s="1"/>
  <c r="F80" i="14" s="1"/>
  <c r="G133" i="48" s="1"/>
  <c r="J39" i="4"/>
  <c r="J35" i="4"/>
  <c r="F173" i="64"/>
  <c r="G168" i="4"/>
  <c r="F170" i="4"/>
  <c r="G10" i="60"/>
  <c r="M102" i="14"/>
  <c r="M103" i="14" s="1"/>
  <c r="M105" i="14" s="1"/>
  <c r="C56" i="48"/>
  <c r="O56" i="48" s="1"/>
  <c r="C22" i="48"/>
  <c r="O22" i="48" s="1"/>
  <c r="D132" i="14"/>
  <c r="C77" i="14"/>
  <c r="N76" i="14"/>
  <c r="N72" i="49"/>
  <c r="D75" i="73"/>
  <c r="L229" i="4"/>
  <c r="L233" i="4"/>
  <c r="C71" i="61"/>
  <c r="B72" i="61"/>
  <c r="C41" i="70"/>
  <c r="C42" i="70" s="1"/>
  <c r="C99" i="48"/>
  <c r="D24" i="73"/>
  <c r="G310" i="16"/>
  <c r="H300" i="16"/>
  <c r="N120" i="48"/>
  <c r="O120" i="48" s="1"/>
  <c r="N222" i="48"/>
  <c r="O222" i="48" s="1"/>
  <c r="N274" i="48"/>
  <c r="O274" i="48" s="1"/>
  <c r="N74" i="48"/>
  <c r="O74" i="48" s="1"/>
  <c r="N171" i="48"/>
  <c r="O171" i="48" s="1"/>
  <c r="N29" i="48"/>
  <c r="O29" i="48" s="1"/>
  <c r="P9" i="12"/>
  <c r="M27" i="14"/>
  <c r="M28" i="14" s="1"/>
  <c r="M30" i="14" s="1"/>
  <c r="C94" i="14"/>
  <c r="C101" i="14"/>
  <c r="C88" i="14"/>
  <c r="N87" i="14"/>
  <c r="P87" i="14" s="1"/>
  <c r="F299" i="16"/>
  <c r="D95" i="18"/>
  <c r="C96" i="18"/>
  <c r="M110" i="4"/>
  <c r="M105" i="4"/>
  <c r="M115" i="4" s="1"/>
  <c r="M120" i="4" s="1"/>
  <c r="M121" i="4" s="1"/>
  <c r="M101" i="4"/>
  <c r="C165" i="4"/>
  <c r="C169" i="4"/>
  <c r="M120" i="14"/>
  <c r="M121" i="14" s="1"/>
  <c r="F20" i="14"/>
  <c r="F21" i="14" s="1"/>
  <c r="E324" i="16"/>
  <c r="E301" i="16"/>
  <c r="E323" i="16" s="1"/>
  <c r="F272" i="48" s="1"/>
  <c r="C92" i="49"/>
  <c r="C93" i="49" s="1"/>
  <c r="D196" i="48"/>
  <c r="L75" i="24"/>
  <c r="N72" i="24"/>
  <c r="N20" i="61"/>
  <c r="N89" i="49"/>
  <c r="H101" i="4"/>
  <c r="H105" i="4"/>
  <c r="H115" i="4" s="1"/>
  <c r="H120" i="4" s="1"/>
  <c r="H121" i="4" s="1"/>
  <c r="H110" i="4"/>
  <c r="D13" i="16"/>
  <c r="D68" i="16" s="1"/>
  <c r="D15" i="64"/>
  <c r="F119" i="48"/>
  <c r="F273" i="48"/>
  <c r="F221" i="48"/>
  <c r="F170" i="48"/>
  <c r="B132" i="14"/>
  <c r="Q23" i="63"/>
  <c r="D107" i="14"/>
  <c r="N94" i="18"/>
  <c r="M255" i="64"/>
  <c r="J122" i="14"/>
  <c r="I123" i="14"/>
  <c r="J235" i="48" s="1"/>
  <c r="E251" i="64"/>
  <c r="E255" i="64"/>
  <c r="E256" i="64" s="1"/>
  <c r="M318" i="4"/>
  <c r="F249" i="4"/>
  <c r="F253" i="4"/>
  <c r="C313" i="4"/>
  <c r="C309" i="4"/>
  <c r="N40" i="49"/>
  <c r="D35" i="64"/>
  <c r="J86" i="48"/>
  <c r="I57" i="14"/>
  <c r="N188" i="48"/>
  <c r="N91" i="18"/>
  <c r="B45" i="64"/>
  <c r="K255" i="64"/>
  <c r="K256" i="64" s="1"/>
  <c r="C59" i="4"/>
  <c r="C55" i="4"/>
  <c r="I255" i="64"/>
  <c r="I256" i="64" s="1"/>
  <c r="D96" i="48"/>
  <c r="N35" i="49"/>
  <c r="J48" i="14"/>
  <c r="K47" i="14"/>
  <c r="M101" i="18"/>
  <c r="N99" i="18"/>
  <c r="J255" i="64"/>
  <c r="J256" i="64" s="1"/>
  <c r="F255" i="64"/>
  <c r="F256" i="64" s="1"/>
  <c r="I263" i="4"/>
  <c r="I264" i="4" s="1"/>
  <c r="I259" i="4"/>
  <c r="L255" i="64"/>
  <c r="H132" i="14"/>
  <c r="H44" i="4"/>
  <c r="H49" i="4"/>
  <c r="H50" i="4" s="1"/>
  <c r="H54" i="4"/>
  <c r="H40" i="4"/>
  <c r="H255" i="64"/>
  <c r="H256" i="64" s="1"/>
  <c r="M253" i="4"/>
  <c r="D255" i="64"/>
  <c r="D256" i="64" s="1"/>
  <c r="D251" i="64"/>
  <c r="B73" i="75"/>
  <c r="D73" i="75" s="1"/>
  <c r="E73" i="75" s="1"/>
  <c r="B66" i="56"/>
  <c r="D66" i="56" s="1"/>
  <c r="E66" i="56" s="1"/>
  <c r="C245" i="48"/>
  <c r="G255" i="64"/>
  <c r="G256" i="64" s="1"/>
  <c r="B131" i="56"/>
  <c r="E30" i="64"/>
  <c r="C142" i="48"/>
  <c r="N52" i="49"/>
  <c r="E125" i="4" l="1"/>
  <c r="M12" i="48"/>
  <c r="E120" i="4"/>
  <c r="E121" i="4" s="1"/>
  <c r="J110" i="4"/>
  <c r="C132" i="48"/>
  <c r="N186" i="16"/>
  <c r="L82" i="14"/>
  <c r="D75" i="70"/>
  <c r="D76" i="70" s="1"/>
  <c r="G69" i="4"/>
  <c r="C130" i="4"/>
  <c r="E336" i="64"/>
  <c r="N12" i="48"/>
  <c r="K182" i="14"/>
  <c r="N184" i="16"/>
  <c r="M287" i="48"/>
  <c r="G34" i="91"/>
  <c r="G37" i="91" s="1"/>
  <c r="J105" i="4"/>
  <c r="J115" i="4" s="1"/>
  <c r="J120" i="4" s="1"/>
  <c r="J121" i="4" s="1"/>
  <c r="O31" i="90"/>
  <c r="N201" i="16"/>
  <c r="M337" i="48"/>
  <c r="L182" i="14"/>
  <c r="B127" i="49"/>
  <c r="C126" i="49"/>
  <c r="C41" i="87"/>
  <c r="B42" i="87"/>
  <c r="B171" i="61"/>
  <c r="C146" i="61"/>
  <c r="C110" i="87"/>
  <c r="B111" i="87"/>
  <c r="C110" i="95"/>
  <c r="B111" i="95"/>
  <c r="B449" i="64"/>
  <c r="I82" i="14"/>
  <c r="K105" i="4"/>
  <c r="K115" i="4" s="1"/>
  <c r="K120" i="4" s="1"/>
  <c r="K121" i="4" s="1"/>
  <c r="N188" i="64"/>
  <c r="G138" i="4"/>
  <c r="G28" i="94"/>
  <c r="G173" i="4"/>
  <c r="D24" i="95"/>
  <c r="C25" i="95"/>
  <c r="C157" i="48"/>
  <c r="C163" i="48"/>
  <c r="D87" i="87"/>
  <c r="C88" i="87"/>
  <c r="D208" i="48" s="1"/>
  <c r="C41" i="95"/>
  <c r="B42" i="95"/>
  <c r="C69" i="48"/>
  <c r="D75" i="84"/>
  <c r="C76" i="84"/>
  <c r="D24" i="84"/>
  <c r="C25" i="84"/>
  <c r="B126" i="70"/>
  <c r="C109" i="70"/>
  <c r="B110" i="70"/>
  <c r="C91" i="84"/>
  <c r="B92" i="84"/>
  <c r="C132" i="86"/>
  <c r="B133" i="86"/>
  <c r="C159" i="85"/>
  <c r="B160" i="85"/>
  <c r="C133" i="95"/>
  <c r="B134" i="95"/>
  <c r="N31" i="89"/>
  <c r="D33" i="93"/>
  <c r="D34" i="93" s="1"/>
  <c r="D37" i="93" s="1"/>
  <c r="D384" i="16"/>
  <c r="D394" i="64"/>
  <c r="D449" i="64" s="1"/>
  <c r="D384" i="4"/>
  <c r="D431" i="4" s="1"/>
  <c r="E367" i="48" s="1"/>
  <c r="D432" i="4"/>
  <c r="B434" i="16"/>
  <c r="B386" i="16"/>
  <c r="G25" i="85"/>
  <c r="F26" i="85"/>
  <c r="C178" i="61"/>
  <c r="B179" i="61"/>
  <c r="C109" i="86"/>
  <c r="B110" i="86"/>
  <c r="C33" i="93"/>
  <c r="C34" i="93" s="1"/>
  <c r="C37" i="93" s="1"/>
  <c r="C384" i="16"/>
  <c r="C394" i="64"/>
  <c r="C449" i="64" s="1"/>
  <c r="C384" i="4"/>
  <c r="C431" i="4" s="1"/>
  <c r="D367" i="48" s="1"/>
  <c r="C432" i="4"/>
  <c r="G323" i="48"/>
  <c r="G370" i="48"/>
  <c r="G73" i="48"/>
  <c r="D64" i="87"/>
  <c r="C65" i="87"/>
  <c r="D157" i="48" s="1"/>
  <c r="D64" i="95"/>
  <c r="C65" i="95"/>
  <c r="D163" i="48" s="1"/>
  <c r="C298" i="48"/>
  <c r="C41" i="84"/>
  <c r="B42" i="84"/>
  <c r="F30" i="90"/>
  <c r="F30" i="89"/>
  <c r="F34" i="89" s="1"/>
  <c r="F178" i="64"/>
  <c r="F174" i="16" s="1"/>
  <c r="D23" i="86"/>
  <c r="C24" i="86"/>
  <c r="D69" i="48" s="1"/>
  <c r="K337" i="48"/>
  <c r="J182" i="14"/>
  <c r="D92" i="73"/>
  <c r="C93" i="73"/>
  <c r="C107" i="84"/>
  <c r="B108" i="84"/>
  <c r="C133" i="87"/>
  <c r="B134" i="87"/>
  <c r="C155" i="86"/>
  <c r="B156" i="86"/>
  <c r="C211" i="48"/>
  <c r="E169" i="18"/>
  <c r="D170" i="18"/>
  <c r="E384" i="4"/>
  <c r="E431" i="4" s="1"/>
  <c r="F367" i="48" s="1"/>
  <c r="E33" i="93"/>
  <c r="E34" i="93" s="1"/>
  <c r="E37" i="93" s="1"/>
  <c r="E394" i="64"/>
  <c r="E449" i="64" s="1"/>
  <c r="E384" i="16"/>
  <c r="E432" i="4"/>
  <c r="B34" i="93"/>
  <c r="B37" i="93" s="1"/>
  <c r="N31" i="90"/>
  <c r="D87" i="95"/>
  <c r="C88" i="95"/>
  <c r="F144" i="18"/>
  <c r="E145" i="18"/>
  <c r="C208" i="48"/>
  <c r="D24" i="87"/>
  <c r="C25" i="87"/>
  <c r="D63" i="86"/>
  <c r="C64" i="86"/>
  <c r="D160" i="48" s="1"/>
  <c r="G29" i="90"/>
  <c r="G29" i="89"/>
  <c r="D58" i="84"/>
  <c r="C59" i="84"/>
  <c r="C214" i="48"/>
  <c r="E293" i="48"/>
  <c r="D152" i="18"/>
  <c r="D109" i="49"/>
  <c r="C110" i="49"/>
  <c r="D298" i="48" s="1"/>
  <c r="C40" i="86"/>
  <c r="B41" i="86"/>
  <c r="D153" i="61"/>
  <c r="C154" i="61"/>
  <c r="C160" i="48"/>
  <c r="E209" i="64"/>
  <c r="I91" i="79"/>
  <c r="H92" i="79"/>
  <c r="I252" i="48" s="1"/>
  <c r="C135" i="85"/>
  <c r="B136" i="85"/>
  <c r="C156" i="87"/>
  <c r="B157" i="87"/>
  <c r="C156" i="95"/>
  <c r="B157" i="95"/>
  <c r="C363" i="48" s="1"/>
  <c r="D86" i="86"/>
  <c r="C87" i="86"/>
  <c r="D211" i="48" s="1"/>
  <c r="D343" i="48"/>
  <c r="C177" i="18"/>
  <c r="B431" i="4"/>
  <c r="F33" i="93"/>
  <c r="F34" i="93" s="1"/>
  <c r="F37" i="93" s="1"/>
  <c r="F384" i="16"/>
  <c r="F394" i="64"/>
  <c r="F449" i="64" s="1"/>
  <c r="F384" i="4"/>
  <c r="F431" i="4" s="1"/>
  <c r="G367" i="48" s="1"/>
  <c r="G382" i="4"/>
  <c r="F432" i="4"/>
  <c r="G82" i="14"/>
  <c r="D416" i="16"/>
  <c r="E415" i="16"/>
  <c r="H82" i="14"/>
  <c r="K400" i="64"/>
  <c r="K401" i="64" s="1"/>
  <c r="G400" i="64"/>
  <c r="G401" i="64" s="1"/>
  <c r="C400" i="64"/>
  <c r="C401" i="64" s="1"/>
  <c r="L400" i="64"/>
  <c r="L401" i="64" s="1"/>
  <c r="H400" i="64"/>
  <c r="H401" i="64" s="1"/>
  <c r="D400" i="64"/>
  <c r="D401" i="64" s="1"/>
  <c r="M400" i="64"/>
  <c r="M401" i="64" s="1"/>
  <c r="E400" i="64"/>
  <c r="E401" i="64" s="1"/>
  <c r="J400" i="64"/>
  <c r="J401" i="64" s="1"/>
  <c r="I400" i="64"/>
  <c r="I401" i="64" s="1"/>
  <c r="F400" i="64"/>
  <c r="F401" i="64" s="1"/>
  <c r="J82" i="14"/>
  <c r="E411" i="16"/>
  <c r="F410" i="16"/>
  <c r="E420" i="16"/>
  <c r="E421" i="16" s="1"/>
  <c r="D82" i="14"/>
  <c r="M82" i="14"/>
  <c r="B425" i="64"/>
  <c r="C420" i="64"/>
  <c r="B421" i="64"/>
  <c r="B430" i="64"/>
  <c r="B431" i="64" s="1"/>
  <c r="N166" i="14"/>
  <c r="D336" i="48"/>
  <c r="O336" i="48" s="1"/>
  <c r="C178" i="14"/>
  <c r="C171" i="14"/>
  <c r="K287" i="48"/>
  <c r="K12" i="48"/>
  <c r="J157" i="14"/>
  <c r="N151" i="14"/>
  <c r="C152" i="14"/>
  <c r="N152" i="14" s="1"/>
  <c r="G287" i="48"/>
  <c r="G12" i="48"/>
  <c r="F157" i="14"/>
  <c r="C139" i="14"/>
  <c r="N144" i="14"/>
  <c r="C145" i="14"/>
  <c r="N145" i="14" s="1"/>
  <c r="F336" i="64"/>
  <c r="D336" i="64"/>
  <c r="N205" i="16"/>
  <c r="C208" i="16"/>
  <c r="D169" i="48" s="1"/>
  <c r="N91" i="4"/>
  <c r="G45" i="4"/>
  <c r="D331" i="16"/>
  <c r="B96" i="4"/>
  <c r="B100" i="4"/>
  <c r="G276" i="64"/>
  <c r="F100" i="4"/>
  <c r="F96" i="4"/>
  <c r="C336" i="64"/>
  <c r="E68" i="4"/>
  <c r="F70" i="48" s="1"/>
  <c r="C320" i="48"/>
  <c r="H327" i="4"/>
  <c r="H33" i="92" s="1"/>
  <c r="H34" i="92" s="1"/>
  <c r="H37" i="92" s="1"/>
  <c r="G334" i="64"/>
  <c r="G389" i="64" s="1"/>
  <c r="G329" i="16"/>
  <c r="G329" i="4"/>
  <c r="G376" i="4" s="1"/>
  <c r="H320" i="48" s="1"/>
  <c r="G377" i="4"/>
  <c r="M200" i="4"/>
  <c r="M203" i="4"/>
  <c r="M204" i="4" s="1"/>
  <c r="I272" i="4"/>
  <c r="I33" i="91" s="1"/>
  <c r="H274" i="64"/>
  <c r="H274" i="16" s="1"/>
  <c r="H276" i="16" s="1"/>
  <c r="H274" i="4"/>
  <c r="C379" i="16"/>
  <c r="C270" i="48"/>
  <c r="N160" i="4"/>
  <c r="G16" i="60"/>
  <c r="B59" i="64"/>
  <c r="B64" i="64" s="1"/>
  <c r="B120" i="64" s="1"/>
  <c r="B121" i="64" s="1"/>
  <c r="E138" i="16"/>
  <c r="F118" i="48" s="1"/>
  <c r="B67" i="16"/>
  <c r="C72" i="48" s="1"/>
  <c r="F132" i="16"/>
  <c r="F135" i="16"/>
  <c r="F136" i="16" s="1"/>
  <c r="J132" i="16"/>
  <c r="J135" i="16"/>
  <c r="J136" i="16" s="1"/>
  <c r="C67" i="16"/>
  <c r="D72" i="48" s="1"/>
  <c r="C131" i="4"/>
  <c r="C134" i="4"/>
  <c r="C135" i="4" s="1"/>
  <c r="I244" i="64"/>
  <c r="H244" i="64"/>
  <c r="H244" i="16" s="1"/>
  <c r="G244" i="4"/>
  <c r="F58" i="64"/>
  <c r="F40" i="16"/>
  <c r="E68" i="64"/>
  <c r="H43" i="4"/>
  <c r="G38" i="16"/>
  <c r="G244" i="64"/>
  <c r="G246" i="64" s="1"/>
  <c r="E131" i="64"/>
  <c r="F129" i="64"/>
  <c r="F143" i="64" s="1"/>
  <c r="G299" i="16"/>
  <c r="G301" i="16" s="1"/>
  <c r="B79" i="56"/>
  <c r="D79" i="56" s="1"/>
  <c r="E79" i="56" s="1"/>
  <c r="B14" i="56"/>
  <c r="D14" i="56" s="1"/>
  <c r="E14" i="56" s="1"/>
  <c r="B14" i="75"/>
  <c r="D14" i="75" s="1"/>
  <c r="E14" i="75" s="1"/>
  <c r="C290" i="48"/>
  <c r="C40" i="64"/>
  <c r="J125" i="64"/>
  <c r="J126" i="64" s="1"/>
  <c r="J130" i="64"/>
  <c r="H125" i="64"/>
  <c r="H126" i="64" s="1"/>
  <c r="H130" i="64"/>
  <c r="M125" i="64"/>
  <c r="M126" i="64" s="1"/>
  <c r="M130" i="64"/>
  <c r="K125" i="64"/>
  <c r="K126" i="64" s="1"/>
  <c r="K130" i="64"/>
  <c r="I125" i="64"/>
  <c r="I126" i="64" s="1"/>
  <c r="I130" i="64"/>
  <c r="C251" i="64"/>
  <c r="G125" i="64"/>
  <c r="G126" i="64" s="1"/>
  <c r="G130" i="64"/>
  <c r="F125" i="64"/>
  <c r="F126" i="64" s="1"/>
  <c r="F130" i="64"/>
  <c r="L125" i="64"/>
  <c r="L126" i="64" s="1"/>
  <c r="L130" i="64"/>
  <c r="C127" i="16"/>
  <c r="C131" i="16"/>
  <c r="N65" i="16"/>
  <c r="F117" i="16"/>
  <c r="F121" i="64"/>
  <c r="D121" i="64"/>
  <c r="D125" i="64"/>
  <c r="D126" i="64" s="1"/>
  <c r="E121" i="64"/>
  <c r="E125" i="64"/>
  <c r="E126" i="64" s="1"/>
  <c r="C121" i="64"/>
  <c r="C125" i="64"/>
  <c r="C126" i="64" s="1"/>
  <c r="B122" i="16"/>
  <c r="B126" i="16"/>
  <c r="F50" i="16"/>
  <c r="G20" i="64"/>
  <c r="K340" i="64"/>
  <c r="K341" i="64" s="1"/>
  <c r="G340" i="64"/>
  <c r="G341" i="64" s="1"/>
  <c r="C340" i="64"/>
  <c r="C341" i="64" s="1"/>
  <c r="E340" i="64"/>
  <c r="E341" i="64" s="1"/>
  <c r="J340" i="64"/>
  <c r="J341" i="64" s="1"/>
  <c r="F340" i="64"/>
  <c r="F341" i="64" s="1"/>
  <c r="M340" i="64"/>
  <c r="M341" i="64" s="1"/>
  <c r="I340" i="64"/>
  <c r="I341" i="64" s="1"/>
  <c r="D340" i="64"/>
  <c r="D341" i="64" s="1"/>
  <c r="L340" i="64"/>
  <c r="L341" i="64" s="1"/>
  <c r="H340" i="64"/>
  <c r="H341" i="64" s="1"/>
  <c r="B370" i="64"/>
  <c r="B371" i="64" s="1"/>
  <c r="C360" i="64"/>
  <c r="B361" i="64"/>
  <c r="B365" i="64"/>
  <c r="G121" i="64"/>
  <c r="E365" i="16"/>
  <c r="E366" i="16" s="1"/>
  <c r="F355" i="16"/>
  <c r="E356" i="16"/>
  <c r="C378" i="16"/>
  <c r="D322" i="48" s="1"/>
  <c r="D361" i="16"/>
  <c r="E360" i="16"/>
  <c r="B154" i="61"/>
  <c r="N152" i="61"/>
  <c r="N140" i="61"/>
  <c r="A145" i="61"/>
  <c r="A152" i="61"/>
  <c r="A163" i="61" s="1"/>
  <c r="E87" i="24"/>
  <c r="G124" i="18"/>
  <c r="F86" i="24"/>
  <c r="F87" i="24" s="1"/>
  <c r="F90" i="24" s="1"/>
  <c r="F125" i="18"/>
  <c r="G242" i="48" s="1"/>
  <c r="N77" i="14"/>
  <c r="O131" i="48"/>
  <c r="K78" i="24"/>
  <c r="K91" i="24"/>
  <c r="K106" i="24" s="1"/>
  <c r="K108" i="24" s="1"/>
  <c r="L345" i="48" s="1"/>
  <c r="N67" i="49"/>
  <c r="E126" i="4"/>
  <c r="E130" i="4"/>
  <c r="N25" i="4"/>
  <c r="K248" i="4"/>
  <c r="K253" i="4" s="1"/>
  <c r="K258" i="4" s="1"/>
  <c r="K263" i="4" s="1"/>
  <c r="K264" i="4" s="1"/>
  <c r="H244" i="4"/>
  <c r="G60" i="4"/>
  <c r="G64" i="4"/>
  <c r="G65" i="4" s="1"/>
  <c r="C60" i="4"/>
  <c r="C64" i="4"/>
  <c r="C65" i="4" s="1"/>
  <c r="H263" i="4"/>
  <c r="H264" i="4" s="1"/>
  <c r="G183" i="64"/>
  <c r="G179" i="16" s="1"/>
  <c r="G181" i="16" s="1"/>
  <c r="H302" i="4"/>
  <c r="H30" i="91" s="1"/>
  <c r="G304" i="64"/>
  <c r="G304" i="16" s="1"/>
  <c r="G306" i="16" s="1"/>
  <c r="G259" i="64"/>
  <c r="H254" i="4"/>
  <c r="N229" i="4"/>
  <c r="E329" i="64"/>
  <c r="C234" i="4"/>
  <c r="C238" i="4"/>
  <c r="G319" i="16"/>
  <c r="G321" i="16" s="1"/>
  <c r="F314" i="64"/>
  <c r="F316" i="64" s="1"/>
  <c r="F314" i="4"/>
  <c r="F321" i="4" s="1"/>
  <c r="G270" i="48" s="1"/>
  <c r="F322" i="4"/>
  <c r="G48" i="64"/>
  <c r="G48" i="16" s="1"/>
  <c r="H53" i="4"/>
  <c r="F261" i="64"/>
  <c r="F259" i="16"/>
  <c r="F261" i="16" s="1"/>
  <c r="F246" i="64"/>
  <c r="G55" i="4"/>
  <c r="F251" i="64"/>
  <c r="K308" i="4"/>
  <c r="K313" i="4" s="1"/>
  <c r="K303" i="4"/>
  <c r="L256" i="64"/>
  <c r="J303" i="4"/>
  <c r="J308" i="4"/>
  <c r="J313" i="4" s="1"/>
  <c r="B234" i="4"/>
  <c r="B238" i="4"/>
  <c r="J243" i="4"/>
  <c r="J248" i="4"/>
  <c r="J253" i="4" s="1"/>
  <c r="J258" i="4" s="1"/>
  <c r="J263" i="4" s="1"/>
  <c r="J264" i="4" s="1"/>
  <c r="I169" i="4"/>
  <c r="I165" i="4"/>
  <c r="N165" i="4" s="1"/>
  <c r="J174" i="4"/>
  <c r="J179" i="4"/>
  <c r="J184" i="4" s="1"/>
  <c r="G110" i="4"/>
  <c r="G111" i="4" s="1"/>
  <c r="G101" i="4"/>
  <c r="G105" i="4"/>
  <c r="G115" i="4" s="1"/>
  <c r="G120" i="4" s="1"/>
  <c r="G121" i="4" s="1"/>
  <c r="K49" i="4"/>
  <c r="K50" i="4" s="1"/>
  <c r="K40" i="4"/>
  <c r="K54" i="4"/>
  <c r="K59" i="4" s="1"/>
  <c r="K44" i="4"/>
  <c r="D54" i="4"/>
  <c r="D49" i="4"/>
  <c r="D50" i="4" s="1"/>
  <c r="D44" i="4"/>
  <c r="D45" i="4" s="1"/>
  <c r="D40" i="4"/>
  <c r="G311" i="16"/>
  <c r="M256" i="64"/>
  <c r="O143" i="48"/>
  <c r="C18" i="24"/>
  <c r="N18" i="24" s="1"/>
  <c r="C22" i="24"/>
  <c r="N19" i="24"/>
  <c r="K82" i="14"/>
  <c r="E175" i="16"/>
  <c r="D176" i="16"/>
  <c r="D208" i="16" s="1"/>
  <c r="J110" i="64"/>
  <c r="J149" i="64"/>
  <c r="J150" i="64" s="1"/>
  <c r="J106" i="64"/>
  <c r="L179" i="64"/>
  <c r="L184" i="64"/>
  <c r="L189" i="64" s="1"/>
  <c r="L194" i="64" s="1"/>
  <c r="E78" i="61"/>
  <c r="D79" i="61"/>
  <c r="C138" i="48"/>
  <c r="B79" i="18"/>
  <c r="D253" i="4"/>
  <c r="D249" i="4"/>
  <c r="M110" i="64"/>
  <c r="M149" i="64"/>
  <c r="M150" i="64" s="1"/>
  <c r="M106" i="64"/>
  <c r="H104" i="4"/>
  <c r="G115" i="16"/>
  <c r="G139" i="16" s="1"/>
  <c r="B110" i="64"/>
  <c r="B149" i="64"/>
  <c r="B150" i="64" s="1"/>
  <c r="B106" i="64"/>
  <c r="F24" i="64"/>
  <c r="F25" i="64" s="1"/>
  <c r="F20" i="64"/>
  <c r="F85" i="64"/>
  <c r="F86" i="64" s="1"/>
  <c r="F81" i="64"/>
  <c r="M85" i="64"/>
  <c r="M86" i="64" s="1"/>
  <c r="M81" i="64"/>
  <c r="G184" i="64"/>
  <c r="G179" i="64"/>
  <c r="C58" i="70"/>
  <c r="C59" i="70" s="1"/>
  <c r="C145" i="48"/>
  <c r="F180" i="4"/>
  <c r="F184" i="4"/>
  <c r="C78" i="14"/>
  <c r="C80" i="14" s="1"/>
  <c r="N59" i="49"/>
  <c r="I110" i="64"/>
  <c r="I149" i="64"/>
  <c r="I150" i="64" s="1"/>
  <c r="I106" i="64"/>
  <c r="D149" i="64"/>
  <c r="D150" i="64" s="1"/>
  <c r="D110" i="64"/>
  <c r="D106" i="64"/>
  <c r="G239" i="64"/>
  <c r="H237" i="4"/>
  <c r="G239" i="4"/>
  <c r="G267" i="4"/>
  <c r="H179" i="64"/>
  <c r="H184" i="64"/>
  <c r="D71" i="18"/>
  <c r="C72" i="18"/>
  <c r="G254" i="4"/>
  <c r="G258" i="4"/>
  <c r="L149" i="64"/>
  <c r="L150" i="64" s="1"/>
  <c r="L110" i="64"/>
  <c r="L106" i="64"/>
  <c r="L254" i="16"/>
  <c r="N254" i="64"/>
  <c r="E110" i="64"/>
  <c r="E149" i="64"/>
  <c r="E150" i="64" s="1"/>
  <c r="E106" i="64"/>
  <c r="F35" i="4"/>
  <c r="F39" i="4"/>
  <c r="H85" i="64"/>
  <c r="H86" i="64" s="1"/>
  <c r="H81" i="64"/>
  <c r="D85" i="64"/>
  <c r="D86" i="64" s="1"/>
  <c r="D81" i="64"/>
  <c r="K85" i="64"/>
  <c r="K86" i="64" s="1"/>
  <c r="K81" i="64"/>
  <c r="I85" i="64"/>
  <c r="I86" i="64" s="1"/>
  <c r="I81" i="64"/>
  <c r="B30" i="4"/>
  <c r="B34" i="4"/>
  <c r="B97" i="61"/>
  <c r="C96" i="61"/>
  <c r="I184" i="64"/>
  <c r="I189" i="64" s="1"/>
  <c r="I194" i="64" s="1"/>
  <c r="I179" i="64"/>
  <c r="C187" i="48"/>
  <c r="F110" i="64"/>
  <c r="F149" i="64"/>
  <c r="F150" i="64" s="1"/>
  <c r="F106" i="64"/>
  <c r="K174" i="4"/>
  <c r="K179" i="4"/>
  <c r="K184" i="4" s="1"/>
  <c r="I54" i="4"/>
  <c r="I40" i="4"/>
  <c r="I44" i="4"/>
  <c r="I49" i="4"/>
  <c r="I50" i="4" s="1"/>
  <c r="D36" i="24"/>
  <c r="D32" i="24"/>
  <c r="N32" i="24" s="1"/>
  <c r="N33" i="24"/>
  <c r="G149" i="64"/>
  <c r="G150" i="64" s="1"/>
  <c r="G110" i="64"/>
  <c r="G106" i="64"/>
  <c r="F314" i="16"/>
  <c r="F316" i="16" s="1"/>
  <c r="F321" i="64"/>
  <c r="C128" i="61"/>
  <c r="B129" i="61"/>
  <c r="C239" i="48" s="1"/>
  <c r="F239" i="16"/>
  <c r="F269" i="64"/>
  <c r="F241" i="64"/>
  <c r="C184" i="64"/>
  <c r="C179" i="64"/>
  <c r="C180" i="64" s="1"/>
  <c r="C175" i="64"/>
  <c r="E91" i="48"/>
  <c r="O91" i="48" s="1"/>
  <c r="N43" i="18"/>
  <c r="E90" i="48"/>
  <c r="E103" i="61"/>
  <c r="D104" i="61"/>
  <c r="E187" i="48" s="1"/>
  <c r="I101" i="4"/>
  <c r="I110" i="4"/>
  <c r="I105" i="4"/>
  <c r="I115" i="4" s="1"/>
  <c r="I120" i="4" s="1"/>
  <c r="I121" i="4" s="1"/>
  <c r="K184" i="64"/>
  <c r="K189" i="64" s="1"/>
  <c r="K194" i="64" s="1"/>
  <c r="K179" i="64"/>
  <c r="E24" i="64"/>
  <c r="E25" i="64" s="1"/>
  <c r="E20" i="64"/>
  <c r="C24" i="64"/>
  <c r="C25" i="64" s="1"/>
  <c r="C20" i="64"/>
  <c r="G85" i="64"/>
  <c r="G86" i="64" s="1"/>
  <c r="G81" i="64"/>
  <c r="E85" i="64"/>
  <c r="E86" i="64" s="1"/>
  <c r="E81" i="64"/>
  <c r="C75" i="49"/>
  <c r="C76" i="49" s="1"/>
  <c r="C194" i="48"/>
  <c r="E303" i="4"/>
  <c r="E304" i="4" s="1"/>
  <c r="E299" i="4"/>
  <c r="E308" i="4"/>
  <c r="G249" i="4"/>
  <c r="G249" i="64"/>
  <c r="N91" i="49"/>
  <c r="N216" i="16"/>
  <c r="G319" i="64"/>
  <c r="H317" i="4"/>
  <c r="H31" i="91" s="1"/>
  <c r="B301" i="64"/>
  <c r="B310" i="64"/>
  <c r="B311" i="64" s="1"/>
  <c r="C300" i="64"/>
  <c r="B305" i="64"/>
  <c r="D53" i="18"/>
  <c r="N51" i="18"/>
  <c r="E184" i="64"/>
  <c r="E179" i="64"/>
  <c r="E180" i="64" s="1"/>
  <c r="E175" i="64"/>
  <c r="F53" i="61"/>
  <c r="E54" i="61"/>
  <c r="F90" i="48" s="1"/>
  <c r="M184" i="64"/>
  <c r="M189" i="64" s="1"/>
  <c r="M194" i="64" s="1"/>
  <c r="M179" i="64"/>
  <c r="N101" i="64"/>
  <c r="C149" i="64"/>
  <c r="C150" i="64" s="1"/>
  <c r="C110" i="64"/>
  <c r="C106" i="64"/>
  <c r="H149" i="64"/>
  <c r="H150" i="64" s="1"/>
  <c r="H110" i="64"/>
  <c r="H106" i="64"/>
  <c r="B180" i="4"/>
  <c r="B184" i="4"/>
  <c r="N84" i="49"/>
  <c r="F179" i="64"/>
  <c r="F184" i="64"/>
  <c r="L85" i="64"/>
  <c r="L86" i="64" s="1"/>
  <c r="L81" i="64"/>
  <c r="B24" i="64"/>
  <c r="D220" i="64"/>
  <c r="D221" i="64" s="1"/>
  <c r="H220" i="64"/>
  <c r="H221" i="64" s="1"/>
  <c r="C220" i="64"/>
  <c r="C221" i="64" s="1"/>
  <c r="J220" i="64"/>
  <c r="J221" i="64" s="1"/>
  <c r="C280" i="64"/>
  <c r="C281" i="64" s="1"/>
  <c r="D280" i="64"/>
  <c r="D281" i="64" s="1"/>
  <c r="E220" i="64"/>
  <c r="E221" i="64" s="1"/>
  <c r="E280" i="64"/>
  <c r="E281" i="64" s="1"/>
  <c r="J280" i="64"/>
  <c r="J281" i="64" s="1"/>
  <c r="F280" i="64"/>
  <c r="F281" i="64" s="1"/>
  <c r="B20" i="64"/>
  <c r="H280" i="64"/>
  <c r="H281" i="64" s="1"/>
  <c r="L280" i="64"/>
  <c r="L281" i="64" s="1"/>
  <c r="F220" i="64"/>
  <c r="F221" i="64" s="1"/>
  <c r="K220" i="64"/>
  <c r="K221" i="64" s="1"/>
  <c r="I280" i="64"/>
  <c r="I281" i="64" s="1"/>
  <c r="G220" i="64"/>
  <c r="G221" i="64" s="1"/>
  <c r="G280" i="64"/>
  <c r="G281" i="64" s="1"/>
  <c r="I220" i="64"/>
  <c r="I221" i="64" s="1"/>
  <c r="L220" i="64"/>
  <c r="L221" i="64" s="1"/>
  <c r="M280" i="64"/>
  <c r="M281" i="64" s="1"/>
  <c r="M220" i="64"/>
  <c r="M221" i="64" s="1"/>
  <c r="K280" i="64"/>
  <c r="K281" i="64" s="1"/>
  <c r="D24" i="64"/>
  <c r="D25" i="64" s="1"/>
  <c r="D20" i="64"/>
  <c r="J85" i="64"/>
  <c r="J86" i="64" s="1"/>
  <c r="J81" i="64"/>
  <c r="B85" i="64"/>
  <c r="B86" i="64" s="1"/>
  <c r="B81" i="64"/>
  <c r="C85" i="64"/>
  <c r="C86" i="64" s="1"/>
  <c r="C81" i="64"/>
  <c r="E90" i="64"/>
  <c r="E91" i="64" s="1"/>
  <c r="I90" i="64"/>
  <c r="I91" i="64" s="1"/>
  <c r="M90" i="64"/>
  <c r="M91" i="64" s="1"/>
  <c r="C90" i="64"/>
  <c r="C91" i="64" s="1"/>
  <c r="G90" i="64"/>
  <c r="G91" i="64" s="1"/>
  <c r="K90" i="64"/>
  <c r="K91" i="64" s="1"/>
  <c r="F90" i="64"/>
  <c r="F91" i="64" s="1"/>
  <c r="B90" i="64"/>
  <c r="B91" i="64" s="1"/>
  <c r="J90" i="64"/>
  <c r="J91" i="64" s="1"/>
  <c r="H90" i="64"/>
  <c r="H91" i="64" s="1"/>
  <c r="L90" i="64"/>
  <c r="L91" i="64" s="1"/>
  <c r="D90" i="64"/>
  <c r="D91" i="64" s="1"/>
  <c r="B22" i="14"/>
  <c r="D30" i="11"/>
  <c r="N23" i="49"/>
  <c r="D41" i="73"/>
  <c r="J179" i="64"/>
  <c r="J184" i="64"/>
  <c r="J189" i="64" s="1"/>
  <c r="J194" i="64" s="1"/>
  <c r="D179" i="64"/>
  <c r="D180" i="64" s="1"/>
  <c r="D184" i="64"/>
  <c r="D175" i="64"/>
  <c r="H309" i="4"/>
  <c r="H309" i="64"/>
  <c r="H309" i="16" s="1"/>
  <c r="K149" i="64"/>
  <c r="K150" i="64" s="1"/>
  <c r="K110" i="64"/>
  <c r="K106" i="64"/>
  <c r="N257" i="4"/>
  <c r="N47" i="48"/>
  <c r="F132" i="14"/>
  <c r="N184" i="48"/>
  <c r="M107" i="14"/>
  <c r="D92" i="49"/>
  <c r="D93" i="49" s="1"/>
  <c r="D246" i="48"/>
  <c r="M116" i="4"/>
  <c r="M125" i="4"/>
  <c r="C103" i="18"/>
  <c r="D189" i="48"/>
  <c r="C89" i="14"/>
  <c r="N88" i="14"/>
  <c r="I300" i="16"/>
  <c r="H310" i="16"/>
  <c r="G221" i="48"/>
  <c r="G170" i="48"/>
  <c r="G273" i="48"/>
  <c r="G119" i="48"/>
  <c r="G173" i="64"/>
  <c r="H168" i="4"/>
  <c r="G170" i="4"/>
  <c r="C114" i="14"/>
  <c r="N113" i="14"/>
  <c r="H20" i="64"/>
  <c r="C85" i="48"/>
  <c r="C29" i="61"/>
  <c r="N27" i="61"/>
  <c r="D106" i="4"/>
  <c r="D115" i="4"/>
  <c r="D120" i="4" s="1"/>
  <c r="D121" i="4" s="1"/>
  <c r="B55" i="14"/>
  <c r="B57" i="14" s="1"/>
  <c r="C248" i="48"/>
  <c r="F13" i="64"/>
  <c r="F15" i="4"/>
  <c r="C45" i="14"/>
  <c r="N44" i="14"/>
  <c r="E259" i="4"/>
  <c r="E263" i="4"/>
  <c r="E264" i="4" s="1"/>
  <c r="D92" i="48"/>
  <c r="C55" i="18"/>
  <c r="N223" i="48"/>
  <c r="O223" i="48" s="1"/>
  <c r="B122" i="75" s="1"/>
  <c r="D122" i="75" s="1"/>
  <c r="E122" i="75" s="1"/>
  <c r="N30" i="48"/>
  <c r="O30" i="48" s="1"/>
  <c r="N172" i="48"/>
  <c r="O172" i="48" s="1"/>
  <c r="B76" i="56" s="1"/>
  <c r="D76" i="56" s="1"/>
  <c r="E76" i="56" s="1"/>
  <c r="N75" i="48"/>
  <c r="O75" i="48" s="1"/>
  <c r="B24" i="56" s="1"/>
  <c r="D24" i="56" s="1"/>
  <c r="E24" i="56" s="1"/>
  <c r="N121" i="48"/>
  <c r="O121" i="48" s="1"/>
  <c r="B58" i="75" s="1"/>
  <c r="D58" i="75" s="1"/>
  <c r="E58" i="75" s="1"/>
  <c r="N275" i="48"/>
  <c r="O275" i="48" s="1"/>
  <c r="B128" i="56" s="1"/>
  <c r="N50" i="24"/>
  <c r="F140" i="48"/>
  <c r="O140" i="48" s="1"/>
  <c r="N118" i="18"/>
  <c r="C20" i="14"/>
  <c r="N20" i="14" s="1"/>
  <c r="N19" i="14"/>
  <c r="D15" i="16"/>
  <c r="D67" i="16" s="1"/>
  <c r="E72" i="48" s="1"/>
  <c r="C246" i="48"/>
  <c r="E24" i="73"/>
  <c r="D71" i="61"/>
  <c r="C72" i="61"/>
  <c r="J44" i="4"/>
  <c r="J54" i="4"/>
  <c r="J49" i="4"/>
  <c r="J50" i="4" s="1"/>
  <c r="J40" i="4"/>
  <c r="C127" i="14"/>
  <c r="N126" i="14"/>
  <c r="L194" i="4"/>
  <c r="L185" i="4"/>
  <c r="L189" i="4"/>
  <c r="L190" i="4" s="1"/>
  <c r="H179" i="4"/>
  <c r="H174" i="4"/>
  <c r="C71" i="14"/>
  <c r="C73" i="14" s="1"/>
  <c r="N70" i="14"/>
  <c r="N71" i="14" s="1"/>
  <c r="E171" i="16"/>
  <c r="H120" i="16"/>
  <c r="H122" i="16" s="1"/>
  <c r="H119" i="64"/>
  <c r="I109" i="4"/>
  <c r="H111" i="4"/>
  <c r="L58" i="16"/>
  <c r="K60" i="16"/>
  <c r="G174" i="4"/>
  <c r="G179" i="4"/>
  <c r="E13" i="16"/>
  <c r="E68" i="16" s="1"/>
  <c r="E15" i="64"/>
  <c r="E119" i="18"/>
  <c r="D120" i="18"/>
  <c r="C52" i="14"/>
  <c r="N51" i="14"/>
  <c r="D303" i="4"/>
  <c r="D304" i="4" s="1"/>
  <c r="D308" i="4"/>
  <c r="D299" i="4"/>
  <c r="D174" i="4"/>
  <c r="D175" i="4" s="1"/>
  <c r="D179" i="4"/>
  <c r="D170" i="4"/>
  <c r="C27" i="14"/>
  <c r="N27" i="14" s="1"/>
  <c r="N26" i="14"/>
  <c r="H125" i="4"/>
  <c r="H116" i="4"/>
  <c r="L78" i="24"/>
  <c r="L74" i="24"/>
  <c r="N74" i="24" s="1"/>
  <c r="N75" i="24"/>
  <c r="F301" i="16"/>
  <c r="C95" i="14"/>
  <c r="N95" i="14" s="1"/>
  <c r="N94" i="14"/>
  <c r="C135" i="48"/>
  <c r="B81" i="61"/>
  <c r="L234" i="4"/>
  <c r="L238" i="4"/>
  <c r="D121" i="61"/>
  <c r="C122" i="61"/>
  <c r="J244" i="64"/>
  <c r="I244" i="4"/>
  <c r="G299" i="4"/>
  <c r="G308" i="4"/>
  <c r="G303" i="4"/>
  <c r="G304" i="4" s="1"/>
  <c r="D241" i="48"/>
  <c r="C127" i="18"/>
  <c r="C184" i="48"/>
  <c r="B107" i="14"/>
  <c r="L49" i="4"/>
  <c r="L50" i="4" s="1"/>
  <c r="L54" i="4"/>
  <c r="L59" i="4" s="1"/>
  <c r="L40" i="4"/>
  <c r="L44" i="4"/>
  <c r="N123" i="18"/>
  <c r="C14" i="14"/>
  <c r="N13" i="14"/>
  <c r="G193" i="48"/>
  <c r="O193" i="48" s="1"/>
  <c r="N69" i="49"/>
  <c r="N294" i="4"/>
  <c r="C179" i="4"/>
  <c r="C174" i="4"/>
  <c r="C175" i="4" s="1"/>
  <c r="C170" i="4"/>
  <c r="E95" i="18"/>
  <c r="D96" i="18"/>
  <c r="C102" i="14"/>
  <c r="N102" i="14" s="1"/>
  <c r="N101" i="14"/>
  <c r="D41" i="70"/>
  <c r="D42" i="70" s="1"/>
  <c r="E75" i="73"/>
  <c r="H10" i="60"/>
  <c r="F169" i="16"/>
  <c r="F175" i="64"/>
  <c r="C120" i="14"/>
  <c r="N119" i="14"/>
  <c r="C238" i="48"/>
  <c r="L105" i="4"/>
  <c r="L115" i="4" s="1"/>
  <c r="L120" i="4" s="1"/>
  <c r="L121" i="4" s="1"/>
  <c r="L110" i="4"/>
  <c r="L101" i="4"/>
  <c r="E58" i="73"/>
  <c r="E179" i="4"/>
  <c r="E174" i="4"/>
  <c r="E175" i="4" s="1"/>
  <c r="E170" i="4"/>
  <c r="D92" i="70"/>
  <c r="D93" i="70" s="1"/>
  <c r="D248" i="48"/>
  <c r="E47" i="18"/>
  <c r="D48" i="18"/>
  <c r="H299" i="64"/>
  <c r="I297" i="4"/>
  <c r="I29" i="91" s="1"/>
  <c r="H299" i="4"/>
  <c r="E76" i="24"/>
  <c r="E64" i="24"/>
  <c r="M240" i="48"/>
  <c r="O240" i="48" s="1"/>
  <c r="N115" i="18"/>
  <c r="F28" i="14"/>
  <c r="F30" i="14" s="1"/>
  <c r="C39" i="14"/>
  <c r="F82" i="14"/>
  <c r="F30" i="64"/>
  <c r="H59" i="4"/>
  <c r="B155" i="64"/>
  <c r="N155" i="64" s="1"/>
  <c r="L47" i="14"/>
  <c r="K48" i="14"/>
  <c r="O96" i="48"/>
  <c r="B50" i="64"/>
  <c r="O188" i="48"/>
  <c r="K122" i="14"/>
  <c r="J123" i="14"/>
  <c r="K235" i="48" s="1"/>
  <c r="N190" i="48"/>
  <c r="O190" i="48" s="1"/>
  <c r="N101" i="18"/>
  <c r="E35" i="64"/>
  <c r="I132" i="14"/>
  <c r="O142" i="48"/>
  <c r="I318" i="4"/>
  <c r="M258" i="4"/>
  <c r="C314" i="4"/>
  <c r="C318" i="4"/>
  <c r="C319" i="4" s="1"/>
  <c r="D40" i="64"/>
  <c r="E39" i="64"/>
  <c r="K86" i="48"/>
  <c r="J57" i="14"/>
  <c r="C45" i="64"/>
  <c r="F258" i="4"/>
  <c r="F254" i="4"/>
  <c r="K125" i="4" l="1"/>
  <c r="D396" i="64"/>
  <c r="E75" i="70"/>
  <c r="E76" i="70" s="1"/>
  <c r="F196" i="48" s="1"/>
  <c r="H34" i="91"/>
  <c r="H37" i="91" s="1"/>
  <c r="J125" i="4"/>
  <c r="J126" i="4" s="1"/>
  <c r="C27" i="48"/>
  <c r="J116" i="4"/>
  <c r="A170" i="61"/>
  <c r="A177" i="61"/>
  <c r="C367" i="48"/>
  <c r="C357" i="48"/>
  <c r="D41" i="84"/>
  <c r="C42" i="84"/>
  <c r="E64" i="95"/>
  <c r="D65" i="95"/>
  <c r="C341" i="48"/>
  <c r="B433" i="16"/>
  <c r="C369" i="48" s="1"/>
  <c r="D41" i="87"/>
  <c r="C42" i="87"/>
  <c r="D111" i="48" s="1"/>
  <c r="G175" i="4"/>
  <c r="F180" i="64"/>
  <c r="K116" i="4"/>
  <c r="H138" i="4"/>
  <c r="H28" i="94"/>
  <c r="H32" i="94" s="1"/>
  <c r="H173" i="4"/>
  <c r="H175" i="4" s="1"/>
  <c r="H323" i="48"/>
  <c r="H370" i="48"/>
  <c r="H73" i="48"/>
  <c r="G33" i="93"/>
  <c r="G34" i="93" s="1"/>
  <c r="G37" i="93" s="1"/>
  <c r="G394" i="64"/>
  <c r="G384" i="16"/>
  <c r="H382" i="4"/>
  <c r="G384" i="4"/>
  <c r="G431" i="4" s="1"/>
  <c r="H367" i="48" s="1"/>
  <c r="G432" i="4"/>
  <c r="D156" i="95"/>
  <c r="C157" i="95"/>
  <c r="D363" i="48" s="1"/>
  <c r="D135" i="85"/>
  <c r="C136" i="85"/>
  <c r="D306" i="48" s="1"/>
  <c r="F34" i="90"/>
  <c r="E63" i="86"/>
  <c r="D64" i="86"/>
  <c r="E87" i="95"/>
  <c r="D88" i="95"/>
  <c r="C310" i="48"/>
  <c r="C434" i="16"/>
  <c r="C386" i="16"/>
  <c r="C433" i="16" s="1"/>
  <c r="D369" i="48" s="1"/>
  <c r="H25" i="85"/>
  <c r="G26" i="85"/>
  <c r="H67" i="48" s="1"/>
  <c r="F209" i="64"/>
  <c r="D133" i="95"/>
  <c r="C134" i="95"/>
  <c r="D316" i="48" s="1"/>
  <c r="D132" i="86"/>
  <c r="C133" i="86"/>
  <c r="D313" i="48" s="1"/>
  <c r="D109" i="70"/>
  <c r="C110" i="70"/>
  <c r="D300" i="48" s="1"/>
  <c r="E396" i="64"/>
  <c r="D110" i="87"/>
  <c r="C111" i="87"/>
  <c r="D260" i="48" s="1"/>
  <c r="C111" i="48"/>
  <c r="H29" i="90"/>
  <c r="H29" i="89"/>
  <c r="E434" i="16"/>
  <c r="E386" i="16"/>
  <c r="D133" i="87"/>
  <c r="C134" i="87"/>
  <c r="D310" i="48" s="1"/>
  <c r="E92" i="73"/>
  <c r="D93" i="73"/>
  <c r="E250" i="48" s="1"/>
  <c r="E87" i="87"/>
  <c r="D88" i="87"/>
  <c r="E24" i="95"/>
  <c r="D25" i="95"/>
  <c r="G30" i="90"/>
  <c r="G30" i="89"/>
  <c r="G178" i="64"/>
  <c r="G174" i="16" s="1"/>
  <c r="E86" i="86"/>
  <c r="D87" i="86"/>
  <c r="E211" i="48" s="1"/>
  <c r="D156" i="87"/>
  <c r="C157" i="87"/>
  <c r="D357" i="48" s="1"/>
  <c r="J91" i="79"/>
  <c r="I92" i="79"/>
  <c r="J252" i="48" s="1"/>
  <c r="D291" i="48"/>
  <c r="D40" i="86"/>
  <c r="C41" i="86"/>
  <c r="D114" i="48" s="1"/>
  <c r="E109" i="49"/>
  <c r="D110" i="49"/>
  <c r="E298" i="48" s="1"/>
  <c r="E58" i="84"/>
  <c r="D59" i="84"/>
  <c r="G207" i="4"/>
  <c r="E24" i="87"/>
  <c r="D25" i="87"/>
  <c r="G144" i="18"/>
  <c r="F145" i="18"/>
  <c r="E343" i="48"/>
  <c r="D177" i="18"/>
  <c r="C360" i="48"/>
  <c r="E23" i="86"/>
  <c r="D24" i="86"/>
  <c r="E69" i="48" s="1"/>
  <c r="C263" i="48"/>
  <c r="D178" i="61"/>
  <c r="C179" i="61"/>
  <c r="D159" i="85"/>
  <c r="C160" i="85"/>
  <c r="D354" i="48" s="1"/>
  <c r="D91" i="84"/>
  <c r="C92" i="84"/>
  <c r="E75" i="84"/>
  <c r="D76" i="84"/>
  <c r="D41" i="95"/>
  <c r="C42" i="95"/>
  <c r="G32" i="94"/>
  <c r="D110" i="95"/>
  <c r="C111" i="95"/>
  <c r="D266" i="48" s="1"/>
  <c r="C171" i="61"/>
  <c r="B172" i="61"/>
  <c r="B181" i="61" s="1"/>
  <c r="C127" i="49"/>
  <c r="D348" i="48" s="1"/>
  <c r="D126" i="49"/>
  <c r="C114" i="48"/>
  <c r="F293" i="48"/>
  <c r="E152" i="18"/>
  <c r="C354" i="48"/>
  <c r="B127" i="70"/>
  <c r="C126" i="70"/>
  <c r="C266" i="48"/>
  <c r="D146" i="61"/>
  <c r="C147" i="61"/>
  <c r="F209" i="16"/>
  <c r="F434" i="16"/>
  <c r="F386" i="16"/>
  <c r="C306" i="48"/>
  <c r="E153" i="61"/>
  <c r="D154" i="61"/>
  <c r="D214" i="48"/>
  <c r="E170" i="18"/>
  <c r="F169" i="18"/>
  <c r="D155" i="86"/>
  <c r="C156" i="86"/>
  <c r="D360" i="48" s="1"/>
  <c r="D107" i="84"/>
  <c r="C108" i="84"/>
  <c r="E64" i="87"/>
  <c r="D65" i="87"/>
  <c r="E157" i="48" s="1"/>
  <c r="D109" i="86"/>
  <c r="C110" i="86"/>
  <c r="D263" i="48" s="1"/>
  <c r="G67" i="48"/>
  <c r="F396" i="64"/>
  <c r="D434" i="16"/>
  <c r="D386" i="16"/>
  <c r="D433" i="16" s="1"/>
  <c r="E369" i="48" s="1"/>
  <c r="C316" i="48"/>
  <c r="C313" i="48"/>
  <c r="C300" i="48"/>
  <c r="E24" i="84"/>
  <c r="D25" i="84"/>
  <c r="C396" i="64"/>
  <c r="C260" i="48"/>
  <c r="C348" i="48"/>
  <c r="E416" i="16"/>
  <c r="F415" i="16"/>
  <c r="M405" i="64"/>
  <c r="M406" i="64" s="1"/>
  <c r="I405" i="64"/>
  <c r="I406" i="64" s="1"/>
  <c r="E405" i="64"/>
  <c r="E406" i="64" s="1"/>
  <c r="J405" i="64"/>
  <c r="J406" i="64" s="1"/>
  <c r="F405" i="64"/>
  <c r="F406" i="64" s="1"/>
  <c r="L405" i="64"/>
  <c r="L406" i="64" s="1"/>
  <c r="D405" i="64"/>
  <c r="D406" i="64" s="1"/>
  <c r="G405" i="64"/>
  <c r="G406" i="64" s="1"/>
  <c r="K405" i="64"/>
  <c r="K406" i="64" s="1"/>
  <c r="C405" i="64"/>
  <c r="C406" i="64" s="1"/>
  <c r="H405" i="64"/>
  <c r="H406" i="64" s="1"/>
  <c r="B130" i="64"/>
  <c r="B131" i="64" s="1"/>
  <c r="B125" i="64"/>
  <c r="B126" i="64" s="1"/>
  <c r="N126" i="64" s="1"/>
  <c r="C430" i="64"/>
  <c r="C431" i="64" s="1"/>
  <c r="D420" i="64"/>
  <c r="C421" i="64"/>
  <c r="F420" i="16"/>
  <c r="F421" i="16" s="1"/>
  <c r="G410" i="16"/>
  <c r="F411" i="16"/>
  <c r="B435" i="64"/>
  <c r="B426" i="64"/>
  <c r="C425" i="64"/>
  <c r="N178" i="14"/>
  <c r="C180" i="14"/>
  <c r="C173" i="14"/>
  <c r="N171" i="14"/>
  <c r="C68" i="4"/>
  <c r="D70" i="48" s="1"/>
  <c r="C324" i="48"/>
  <c r="C141" i="14"/>
  <c r="N139" i="14"/>
  <c r="C153" i="14"/>
  <c r="C146" i="14"/>
  <c r="N96" i="4"/>
  <c r="F105" i="4"/>
  <c r="F110" i="4"/>
  <c r="F111" i="4" s="1"/>
  <c r="F101" i="4"/>
  <c r="B101" i="4"/>
  <c r="B105" i="4"/>
  <c r="B110" i="4"/>
  <c r="B111" i="4" s="1"/>
  <c r="J272" i="4"/>
  <c r="J33" i="91" s="1"/>
  <c r="I274" i="4"/>
  <c r="I274" i="64"/>
  <c r="G336" i="64"/>
  <c r="H55" i="4"/>
  <c r="H69" i="4"/>
  <c r="H334" i="64"/>
  <c r="H329" i="4"/>
  <c r="H329" i="16"/>
  <c r="I327" i="4"/>
  <c r="I33" i="92" s="1"/>
  <c r="I34" i="92" s="1"/>
  <c r="I37" i="92" s="1"/>
  <c r="H377" i="4"/>
  <c r="H276" i="64"/>
  <c r="N30" i="4"/>
  <c r="H16" i="60"/>
  <c r="C137" i="4"/>
  <c r="B28" i="75"/>
  <c r="D28" i="75" s="1"/>
  <c r="E28" i="75" s="1"/>
  <c r="F138" i="16"/>
  <c r="G118" i="48" s="1"/>
  <c r="F131" i="64"/>
  <c r="C132" i="16"/>
  <c r="C135" i="16"/>
  <c r="C136" i="16" s="1"/>
  <c r="E131" i="4"/>
  <c r="E134" i="4"/>
  <c r="E135" i="4" s="1"/>
  <c r="F68" i="64"/>
  <c r="G244" i="16"/>
  <c r="G246" i="16" s="1"/>
  <c r="I43" i="4"/>
  <c r="I45" i="4" s="1"/>
  <c r="H38" i="16"/>
  <c r="H106" i="4"/>
  <c r="G58" i="64"/>
  <c r="G40" i="16"/>
  <c r="H45" i="4"/>
  <c r="G129" i="64"/>
  <c r="G143" i="64" s="1"/>
  <c r="I190" i="64"/>
  <c r="H121" i="64"/>
  <c r="B105" i="56"/>
  <c r="D105" i="56" s="1"/>
  <c r="E105" i="56" s="1"/>
  <c r="C291" i="48"/>
  <c r="B156" i="61"/>
  <c r="B135" i="64"/>
  <c r="B139" i="64" s="1"/>
  <c r="B140" i="64" s="1"/>
  <c r="D27" i="48"/>
  <c r="E169" i="48"/>
  <c r="B127" i="16"/>
  <c r="B131" i="16"/>
  <c r="G117" i="16"/>
  <c r="G138" i="16" s="1"/>
  <c r="J190" i="64"/>
  <c r="K190" i="64"/>
  <c r="G50" i="16"/>
  <c r="L345" i="64"/>
  <c r="L346" i="64" s="1"/>
  <c r="H345" i="64"/>
  <c r="H346" i="64" s="1"/>
  <c r="D345" i="64"/>
  <c r="D346" i="64" s="1"/>
  <c r="F345" i="64"/>
  <c r="F346" i="64" s="1"/>
  <c r="K345" i="64"/>
  <c r="K346" i="64" s="1"/>
  <c r="G345" i="64"/>
  <c r="G346" i="64" s="1"/>
  <c r="C345" i="64"/>
  <c r="C346" i="64" s="1"/>
  <c r="J345" i="64"/>
  <c r="J346" i="64" s="1"/>
  <c r="E345" i="64"/>
  <c r="E346" i="64" s="1"/>
  <c r="M345" i="64"/>
  <c r="M346" i="64" s="1"/>
  <c r="I345" i="64"/>
  <c r="I346" i="64" s="1"/>
  <c r="C370" i="64"/>
  <c r="C371" i="64" s="1"/>
  <c r="D360" i="64"/>
  <c r="C361" i="64"/>
  <c r="E379" i="16"/>
  <c r="E331" i="16"/>
  <c r="B366" i="64"/>
  <c r="C365" i="64"/>
  <c r="B375" i="64"/>
  <c r="D378" i="16"/>
  <c r="E322" i="48" s="1"/>
  <c r="F360" i="16"/>
  <c r="E361" i="16"/>
  <c r="F356" i="16"/>
  <c r="F365" i="16"/>
  <c r="F366" i="16" s="1"/>
  <c r="G355" i="16"/>
  <c r="L243" i="48"/>
  <c r="M243" i="48"/>
  <c r="F89" i="24"/>
  <c r="F93" i="24"/>
  <c r="G295" i="48" s="1"/>
  <c r="H124" i="18"/>
  <c r="G86" i="24"/>
  <c r="G87" i="24" s="1"/>
  <c r="G90" i="24" s="1"/>
  <c r="G125" i="18"/>
  <c r="H242" i="48" s="1"/>
  <c r="E90" i="24"/>
  <c r="N78" i="14"/>
  <c r="L195" i="4"/>
  <c r="L199" i="4"/>
  <c r="E78" i="24"/>
  <c r="E91" i="24"/>
  <c r="E106" i="24" s="1"/>
  <c r="E108" i="24" s="1"/>
  <c r="C28" i="14"/>
  <c r="N28" i="14" s="1"/>
  <c r="H246" i="64"/>
  <c r="K126" i="4"/>
  <c r="K130" i="4"/>
  <c r="H126" i="4"/>
  <c r="H130" i="4"/>
  <c r="M126" i="4"/>
  <c r="M130" i="4"/>
  <c r="F324" i="16"/>
  <c r="K259" i="4"/>
  <c r="F329" i="64"/>
  <c r="H60" i="4"/>
  <c r="H64" i="4"/>
  <c r="H65" i="4" s="1"/>
  <c r="L60" i="4"/>
  <c r="L64" i="4"/>
  <c r="L65" i="4" s="1"/>
  <c r="K60" i="4"/>
  <c r="K64" i="4"/>
  <c r="K65" i="4" s="1"/>
  <c r="G261" i="64"/>
  <c r="G259" i="16"/>
  <c r="G261" i="16" s="1"/>
  <c r="G314" i="64"/>
  <c r="G316" i="64" s="1"/>
  <c r="H319" i="16"/>
  <c r="H321" i="16" s="1"/>
  <c r="G322" i="4"/>
  <c r="I302" i="4"/>
  <c r="I30" i="91" s="1"/>
  <c r="H304" i="4"/>
  <c r="H304" i="64"/>
  <c r="H304" i="16" s="1"/>
  <c r="H306" i="16" s="1"/>
  <c r="H183" i="64"/>
  <c r="H179" i="16" s="1"/>
  <c r="H181" i="16" s="1"/>
  <c r="N234" i="4"/>
  <c r="I53" i="4"/>
  <c r="H48" i="64"/>
  <c r="H48" i="16" s="1"/>
  <c r="C239" i="4"/>
  <c r="C248" i="4"/>
  <c r="C243" i="4"/>
  <c r="C244" i="4" s="1"/>
  <c r="H259" i="64"/>
  <c r="J259" i="4"/>
  <c r="G106" i="4"/>
  <c r="B239" i="4"/>
  <c r="B248" i="4"/>
  <c r="B243" i="4"/>
  <c r="B244" i="4" s="1"/>
  <c r="N81" i="64"/>
  <c r="N150" i="64"/>
  <c r="I179" i="4"/>
  <c r="I174" i="4"/>
  <c r="H311" i="16"/>
  <c r="J318" i="4"/>
  <c r="K318" i="4"/>
  <c r="D55" i="4"/>
  <c r="D59" i="4"/>
  <c r="J194" i="4"/>
  <c r="J189" i="4"/>
  <c r="J190" i="4" s="1"/>
  <c r="J185" i="4"/>
  <c r="F323" i="16"/>
  <c r="G272" i="48" s="1"/>
  <c r="G125" i="4"/>
  <c r="G116" i="4"/>
  <c r="E266" i="4"/>
  <c r="F218" i="48" s="1"/>
  <c r="D54" i="48"/>
  <c r="O54" i="48" s="1"/>
  <c r="B15" i="75" s="1"/>
  <c r="N22" i="24"/>
  <c r="I309" i="64"/>
  <c r="I309" i="16" s="1"/>
  <c r="I309" i="4"/>
  <c r="D189" i="64"/>
  <c r="D185" i="64"/>
  <c r="D33" i="11"/>
  <c r="B23" i="18"/>
  <c r="F189" i="64"/>
  <c r="F185" i="64"/>
  <c r="B185" i="4"/>
  <c r="B194" i="4"/>
  <c r="B189" i="4"/>
  <c r="B190" i="4" s="1"/>
  <c r="G53" i="61"/>
  <c r="F54" i="61"/>
  <c r="G249" i="16"/>
  <c r="G251" i="16" s="1"/>
  <c r="G251" i="64"/>
  <c r="C189" i="64"/>
  <c r="C185" i="64"/>
  <c r="D96" i="61"/>
  <c r="C97" i="61"/>
  <c r="F44" i="4"/>
  <c r="F45" i="4" s="1"/>
  <c r="F40" i="4"/>
  <c r="F54" i="4"/>
  <c r="F49" i="4"/>
  <c r="F50" i="4" s="1"/>
  <c r="E115" i="64"/>
  <c r="E116" i="64" s="1"/>
  <c r="E111" i="64"/>
  <c r="G239" i="16"/>
  <c r="G241" i="64"/>
  <c r="G269" i="64"/>
  <c r="B115" i="64"/>
  <c r="B116" i="64" s="1"/>
  <c r="B111" i="64"/>
  <c r="D254" i="4"/>
  <c r="D258" i="4"/>
  <c r="E136" i="48"/>
  <c r="F175" i="16"/>
  <c r="E176" i="16"/>
  <c r="E208" i="16" s="1"/>
  <c r="M190" i="64"/>
  <c r="B131" i="61"/>
  <c r="C103" i="14"/>
  <c r="N103" i="14" s="1"/>
  <c r="C96" i="14"/>
  <c r="C98" i="14" s="1"/>
  <c r="E41" i="73"/>
  <c r="C22" i="14"/>
  <c r="D22" i="14" s="1"/>
  <c r="B23" i="14"/>
  <c r="N86" i="64"/>
  <c r="I225" i="64"/>
  <c r="I226" i="64" s="1"/>
  <c r="G225" i="64"/>
  <c r="G226" i="64" s="1"/>
  <c r="C285" i="64"/>
  <c r="C286" i="64" s="1"/>
  <c r="M285" i="64"/>
  <c r="M286" i="64" s="1"/>
  <c r="D285" i="64"/>
  <c r="D286" i="64" s="1"/>
  <c r="M225" i="64"/>
  <c r="M226" i="64" s="1"/>
  <c r="F285" i="64"/>
  <c r="F286" i="64" s="1"/>
  <c r="C225" i="64"/>
  <c r="C226" i="64" s="1"/>
  <c r="J285" i="64"/>
  <c r="J286" i="64" s="1"/>
  <c r="H285" i="64"/>
  <c r="H286" i="64" s="1"/>
  <c r="K225" i="64"/>
  <c r="K226" i="64" s="1"/>
  <c r="I285" i="64"/>
  <c r="I286" i="64" s="1"/>
  <c r="L225" i="64"/>
  <c r="L226" i="64" s="1"/>
  <c r="K285" i="64"/>
  <c r="K286" i="64" s="1"/>
  <c r="E285" i="64"/>
  <c r="E286" i="64" s="1"/>
  <c r="L285" i="64"/>
  <c r="L286" i="64" s="1"/>
  <c r="E225" i="64"/>
  <c r="E226" i="64" s="1"/>
  <c r="F225" i="64"/>
  <c r="F226" i="64" s="1"/>
  <c r="J225" i="64"/>
  <c r="J226" i="64" s="1"/>
  <c r="B25" i="64"/>
  <c r="D225" i="64"/>
  <c r="D226" i="64" s="1"/>
  <c r="H225" i="64"/>
  <c r="H226" i="64" s="1"/>
  <c r="G285" i="64"/>
  <c r="G286" i="64" s="1"/>
  <c r="E93" i="48"/>
  <c r="O93" i="48" s="1"/>
  <c r="N53" i="18"/>
  <c r="H249" i="64"/>
  <c r="H249" i="4"/>
  <c r="K215" i="64"/>
  <c r="K216" i="64" s="1"/>
  <c r="K199" i="64"/>
  <c r="I125" i="4"/>
  <c r="I116" i="4"/>
  <c r="F103" i="61"/>
  <c r="E104" i="61"/>
  <c r="F187" i="48" s="1"/>
  <c r="D128" i="61"/>
  <c r="C129" i="61"/>
  <c r="D239" i="48" s="1"/>
  <c r="G115" i="64"/>
  <c r="G116" i="64" s="1"/>
  <c r="G111" i="64"/>
  <c r="E94" i="48"/>
  <c r="O94" i="48" s="1"/>
  <c r="N36" i="24"/>
  <c r="B106" i="61"/>
  <c r="C186" i="48"/>
  <c r="L115" i="64"/>
  <c r="L111" i="64"/>
  <c r="D138" i="48"/>
  <c r="C79" i="18"/>
  <c r="D145" i="48"/>
  <c r="D58" i="70"/>
  <c r="D59" i="70" s="1"/>
  <c r="F78" i="61"/>
  <c r="E79" i="61"/>
  <c r="F136" i="48" s="1"/>
  <c r="K115" i="64"/>
  <c r="K111" i="64"/>
  <c r="J199" i="64"/>
  <c r="J215" i="64"/>
  <c r="J216" i="64" s="1"/>
  <c r="N91" i="64"/>
  <c r="C115" i="64"/>
  <c r="C116" i="64" s="1"/>
  <c r="C111" i="64"/>
  <c r="M215" i="64"/>
  <c r="M216" i="64" s="1"/>
  <c r="M199" i="64"/>
  <c r="B306" i="64"/>
  <c r="C305" i="64"/>
  <c r="B315" i="64"/>
  <c r="H319" i="64"/>
  <c r="I317" i="4"/>
  <c r="H319" i="4"/>
  <c r="I59" i="4"/>
  <c r="B39" i="4"/>
  <c r="B35" i="4"/>
  <c r="L256" i="16"/>
  <c r="N256" i="16" s="1"/>
  <c r="N254" i="16"/>
  <c r="E71" i="18"/>
  <c r="D72" i="18"/>
  <c r="D115" i="64"/>
  <c r="D116" i="64" s="1"/>
  <c r="D111" i="64"/>
  <c r="I115" i="64"/>
  <c r="I111" i="64"/>
  <c r="F189" i="4"/>
  <c r="F190" i="4" s="1"/>
  <c r="F185" i="4"/>
  <c r="F194" i="4"/>
  <c r="N106" i="64"/>
  <c r="H115" i="16"/>
  <c r="H139" i="16" s="1"/>
  <c r="I104" i="4"/>
  <c r="L199" i="64"/>
  <c r="L215" i="64"/>
  <c r="L216" i="64" s="1"/>
  <c r="J115" i="64"/>
  <c r="J111" i="64"/>
  <c r="L190" i="64"/>
  <c r="H245" i="48"/>
  <c r="O245" i="48" s="1"/>
  <c r="N86" i="49"/>
  <c r="H115" i="64"/>
  <c r="H111" i="64"/>
  <c r="E189" i="64"/>
  <c r="E185" i="64"/>
  <c r="C310" i="64"/>
  <c r="C311" i="64" s="1"/>
  <c r="D300" i="64"/>
  <c r="C301" i="64"/>
  <c r="G314" i="16"/>
  <c r="G321" i="64"/>
  <c r="E309" i="4"/>
  <c r="E313" i="4"/>
  <c r="D75" i="49"/>
  <c r="D76" i="49" s="1"/>
  <c r="D194" i="48"/>
  <c r="F241" i="16"/>
  <c r="F269" i="16"/>
  <c r="K185" i="4"/>
  <c r="K194" i="4"/>
  <c r="K189" i="4"/>
  <c r="K190" i="4" s="1"/>
  <c r="F115" i="64"/>
  <c r="F116" i="64" s="1"/>
  <c r="F111" i="64"/>
  <c r="I215" i="64"/>
  <c r="I216" i="64" s="1"/>
  <c r="I199" i="64"/>
  <c r="G263" i="4"/>
  <c r="G264" i="4" s="1"/>
  <c r="G259" i="4"/>
  <c r="H189" i="64"/>
  <c r="H239" i="64"/>
  <c r="I237" i="4"/>
  <c r="H239" i="4"/>
  <c r="H267" i="4"/>
  <c r="G189" i="64"/>
  <c r="G185" i="64"/>
  <c r="M115" i="64"/>
  <c r="M111" i="64"/>
  <c r="F47" i="18"/>
  <c r="E48" i="18"/>
  <c r="E180" i="4"/>
  <c r="E184" i="4"/>
  <c r="F95" i="18"/>
  <c r="E96" i="18"/>
  <c r="D238" i="48"/>
  <c r="F75" i="70"/>
  <c r="F76" i="70" s="1"/>
  <c r="N74" i="49"/>
  <c r="C53" i="14"/>
  <c r="N52" i="14"/>
  <c r="G180" i="4"/>
  <c r="G184" i="4"/>
  <c r="M58" i="16"/>
  <c r="L60" i="16"/>
  <c r="C128" i="14"/>
  <c r="N127" i="14"/>
  <c r="E71" i="61"/>
  <c r="D72" i="61"/>
  <c r="B74" i="75"/>
  <c r="D74" i="75" s="1"/>
  <c r="E74" i="75" s="1"/>
  <c r="B67" i="56"/>
  <c r="D67" i="56" s="1"/>
  <c r="E67" i="56" s="1"/>
  <c r="C46" i="14"/>
  <c r="N45" i="14"/>
  <c r="G13" i="64"/>
  <c r="G15" i="4"/>
  <c r="G68" i="4" s="1"/>
  <c r="H70" i="48" s="1"/>
  <c r="B50" i="56"/>
  <c r="D50" i="56" s="1"/>
  <c r="E50" i="56" s="1"/>
  <c r="B90" i="75"/>
  <c r="D90" i="75" s="1"/>
  <c r="E90" i="75" s="1"/>
  <c r="B154" i="75"/>
  <c r="D154" i="75" s="1"/>
  <c r="E154" i="75" s="1"/>
  <c r="F191" i="48"/>
  <c r="O191" i="48" s="1"/>
  <c r="N64" i="24"/>
  <c r="H299" i="16"/>
  <c r="C16" i="14"/>
  <c r="N14" i="14"/>
  <c r="I299" i="64"/>
  <c r="J297" i="4"/>
  <c r="J29" i="91" s="1"/>
  <c r="I299" i="4"/>
  <c r="E92" i="48"/>
  <c r="D55" i="18"/>
  <c r="E92" i="70"/>
  <c r="E93" i="70" s="1"/>
  <c r="E248" i="48"/>
  <c r="C121" i="14"/>
  <c r="N120" i="14"/>
  <c r="F171" i="16"/>
  <c r="E41" i="70"/>
  <c r="E42" i="70" s="1"/>
  <c r="E99" i="48"/>
  <c r="E189" i="48"/>
  <c r="D103" i="18"/>
  <c r="C184" i="4"/>
  <c r="C180" i="4"/>
  <c r="D133" i="48"/>
  <c r="O133" i="48" s="1"/>
  <c r="N80" i="14"/>
  <c r="C82" i="14"/>
  <c r="N82" i="14" s="1"/>
  <c r="E196" i="48"/>
  <c r="D184" i="4"/>
  <c r="D180" i="4"/>
  <c r="D132" i="48"/>
  <c r="N73" i="14"/>
  <c r="J59" i="4"/>
  <c r="D135" i="48"/>
  <c r="C81" i="61"/>
  <c r="D116" i="4"/>
  <c r="D125" i="4"/>
  <c r="E92" i="49"/>
  <c r="E93" i="49" s="1"/>
  <c r="C21" i="14"/>
  <c r="F58" i="73"/>
  <c r="I10" i="60"/>
  <c r="D99" i="48"/>
  <c r="I244" i="16"/>
  <c r="I246" i="16" s="1"/>
  <c r="I246" i="64"/>
  <c r="L243" i="4"/>
  <c r="L248" i="4"/>
  <c r="L253" i="4" s="1"/>
  <c r="L258" i="4" s="1"/>
  <c r="F119" i="18"/>
  <c r="E120" i="18"/>
  <c r="I120" i="16"/>
  <c r="I122" i="16" s="1"/>
  <c r="I119" i="64"/>
  <c r="J109" i="4"/>
  <c r="I111" i="4"/>
  <c r="F24" i="73"/>
  <c r="D16" i="48"/>
  <c r="O16" i="48" s="1"/>
  <c r="D50" i="48"/>
  <c r="O50" i="48" s="1"/>
  <c r="B12" i="75" s="1"/>
  <c r="N29" i="61"/>
  <c r="I20" i="64"/>
  <c r="G169" i="16"/>
  <c r="G175" i="64"/>
  <c r="B102" i="56"/>
  <c r="D102" i="56" s="1"/>
  <c r="E102" i="56" s="1"/>
  <c r="C41" i="14"/>
  <c r="N39" i="14"/>
  <c r="G47" i="48"/>
  <c r="H246" i="16"/>
  <c r="L125" i="4"/>
  <c r="L116" i="4"/>
  <c r="H119" i="48"/>
  <c r="H170" i="48"/>
  <c r="H221" i="48"/>
  <c r="H273" i="48"/>
  <c r="F75" i="73"/>
  <c r="G313" i="4"/>
  <c r="G309" i="4"/>
  <c r="J244" i="4"/>
  <c r="E121" i="61"/>
  <c r="D122" i="61"/>
  <c r="D309" i="4"/>
  <c r="D313" i="4"/>
  <c r="E241" i="48"/>
  <c r="D127" i="18"/>
  <c r="E15" i="16"/>
  <c r="E67" i="16" s="1"/>
  <c r="F72" i="48" s="1"/>
  <c r="H184" i="4"/>
  <c r="H180" i="4"/>
  <c r="F13" i="16"/>
  <c r="F68" i="16" s="1"/>
  <c r="F15" i="64"/>
  <c r="C87" i="48"/>
  <c r="C116" i="14"/>
  <c r="N114" i="14"/>
  <c r="H173" i="64"/>
  <c r="I168" i="4"/>
  <c r="H170" i="4"/>
  <c r="I310" i="16"/>
  <c r="J300" i="16"/>
  <c r="N89" i="14"/>
  <c r="C91" i="14"/>
  <c r="D45" i="64"/>
  <c r="M195" i="64"/>
  <c r="F263" i="4"/>
  <c r="F264" i="4" s="1"/>
  <c r="F259" i="4"/>
  <c r="E40" i="64"/>
  <c r="F39" i="64"/>
  <c r="L195" i="64"/>
  <c r="K123" i="14"/>
  <c r="L235" i="48" s="1"/>
  <c r="L122" i="14"/>
  <c r="B60" i="64"/>
  <c r="B65" i="64"/>
  <c r="M47" i="14"/>
  <c r="M48" i="14" s="1"/>
  <c r="L48" i="14"/>
  <c r="B160" i="64"/>
  <c r="C321" i="4"/>
  <c r="M263" i="4"/>
  <c r="M264" i="4" s="1"/>
  <c r="M259" i="4"/>
  <c r="G25" i="64"/>
  <c r="I195" i="64"/>
  <c r="J132" i="14"/>
  <c r="C50" i="64"/>
  <c r="L86" i="48"/>
  <c r="K57" i="14"/>
  <c r="B69" i="56"/>
  <c r="B76" i="75"/>
  <c r="D76" i="75" s="1"/>
  <c r="E76" i="75" s="1"/>
  <c r="F35" i="64"/>
  <c r="J195" i="64"/>
  <c r="K195" i="64"/>
  <c r="B105" i="75"/>
  <c r="D105" i="75" s="1"/>
  <c r="E105" i="75" s="1"/>
  <c r="B92" i="56"/>
  <c r="D92" i="56" s="1"/>
  <c r="E92" i="56" s="1"/>
  <c r="G30" i="64"/>
  <c r="J130" i="4" l="1"/>
  <c r="G209" i="64"/>
  <c r="E433" i="16"/>
  <c r="F369" i="48" s="1"/>
  <c r="G209" i="16"/>
  <c r="G180" i="64"/>
  <c r="I319" i="4"/>
  <c r="I31" i="91"/>
  <c r="I34" i="91" s="1"/>
  <c r="I37" i="91" s="1"/>
  <c r="E133" i="87"/>
  <c r="D134" i="87"/>
  <c r="E310" i="48" s="1"/>
  <c r="G34" i="89"/>
  <c r="E135" i="85"/>
  <c r="D136" i="85"/>
  <c r="I29" i="90"/>
  <c r="I29" i="89"/>
  <c r="F24" i="84"/>
  <c r="E25" i="84"/>
  <c r="F64" i="87"/>
  <c r="E65" i="87"/>
  <c r="F157" i="48" s="1"/>
  <c r="C350" i="48"/>
  <c r="D171" i="61"/>
  <c r="C172" i="61"/>
  <c r="D340" i="48" s="1"/>
  <c r="E41" i="95"/>
  <c r="D42" i="95"/>
  <c r="E91" i="84"/>
  <c r="D92" i="84"/>
  <c r="D341" i="48"/>
  <c r="F58" i="84"/>
  <c r="E59" i="84"/>
  <c r="F24" i="95"/>
  <c r="E25" i="95"/>
  <c r="E110" i="87"/>
  <c r="D111" i="87"/>
  <c r="I25" i="85"/>
  <c r="H26" i="85"/>
  <c r="F63" i="86"/>
  <c r="E64" i="86"/>
  <c r="F160" i="48" s="1"/>
  <c r="G449" i="64"/>
  <c r="G396" i="64"/>
  <c r="E41" i="84"/>
  <c r="D42" i="84"/>
  <c r="E291" i="48"/>
  <c r="D127" i="49"/>
  <c r="E126" i="49"/>
  <c r="E178" i="61"/>
  <c r="D179" i="61"/>
  <c r="E40" i="86"/>
  <c r="D41" i="86"/>
  <c r="E208" i="48"/>
  <c r="E109" i="70"/>
  <c r="D110" i="70"/>
  <c r="E109" i="86"/>
  <c r="D110" i="86"/>
  <c r="E263" i="48" s="1"/>
  <c r="G169" i="18"/>
  <c r="F170" i="18"/>
  <c r="F153" i="61"/>
  <c r="E154" i="61"/>
  <c r="D290" i="48"/>
  <c r="E110" i="95"/>
  <c r="D111" i="95"/>
  <c r="E266" i="48" s="1"/>
  <c r="F75" i="84"/>
  <c r="E76" i="84"/>
  <c r="E159" i="85"/>
  <c r="D160" i="85"/>
  <c r="F23" i="86"/>
  <c r="E24" i="86"/>
  <c r="F69" i="48" s="1"/>
  <c r="G293" i="48"/>
  <c r="F152" i="18"/>
  <c r="C156" i="61"/>
  <c r="F87" i="87"/>
  <c r="E88" i="87"/>
  <c r="F208" i="48" s="1"/>
  <c r="F87" i="95"/>
  <c r="E88" i="95"/>
  <c r="F214" i="48" s="1"/>
  <c r="H33" i="93"/>
  <c r="H384" i="16"/>
  <c r="H394" i="64"/>
  <c r="H384" i="4"/>
  <c r="H431" i="4" s="1"/>
  <c r="I367" i="48" s="1"/>
  <c r="I382" i="4"/>
  <c r="H432" i="4"/>
  <c r="F64" i="95"/>
  <c r="E65" i="95"/>
  <c r="F163" i="48" s="1"/>
  <c r="E155" i="86"/>
  <c r="D156" i="86"/>
  <c r="F24" i="87"/>
  <c r="E25" i="87"/>
  <c r="K91" i="79"/>
  <c r="J92" i="79"/>
  <c r="K252" i="48" s="1"/>
  <c r="F86" i="86"/>
  <c r="E87" i="86"/>
  <c r="F211" i="48" s="1"/>
  <c r="E133" i="95"/>
  <c r="D134" i="95"/>
  <c r="E214" i="48"/>
  <c r="H30" i="90"/>
  <c r="H34" i="90" s="1"/>
  <c r="H30" i="89"/>
  <c r="H34" i="89" s="1"/>
  <c r="H178" i="64"/>
  <c r="E163" i="48"/>
  <c r="I138" i="4"/>
  <c r="I28" i="94"/>
  <c r="I173" i="4"/>
  <c r="I323" i="48"/>
  <c r="I370" i="48"/>
  <c r="I73" i="48"/>
  <c r="E107" i="84"/>
  <c r="D108" i="84"/>
  <c r="F343" i="48"/>
  <c r="E177" i="18"/>
  <c r="E146" i="61"/>
  <c r="D147" i="61"/>
  <c r="E290" i="48" s="1"/>
  <c r="C127" i="70"/>
  <c r="D350" i="48" s="1"/>
  <c r="D126" i="70"/>
  <c r="C340" i="48"/>
  <c r="H144" i="18"/>
  <c r="G145" i="18"/>
  <c r="F109" i="49"/>
  <c r="E110" i="49"/>
  <c r="E156" i="87"/>
  <c r="D157" i="87"/>
  <c r="F92" i="73"/>
  <c r="E93" i="73"/>
  <c r="F250" i="48" s="1"/>
  <c r="H207" i="4"/>
  <c r="E132" i="86"/>
  <c r="D133" i="86"/>
  <c r="E160" i="48"/>
  <c r="E156" i="95"/>
  <c r="D157" i="95"/>
  <c r="G434" i="16"/>
  <c r="G386" i="16"/>
  <c r="E41" i="87"/>
  <c r="D42" i="87"/>
  <c r="G34" i="90"/>
  <c r="B440" i="64"/>
  <c r="B436" i="64"/>
  <c r="N436" i="64" s="1"/>
  <c r="C426" i="64"/>
  <c r="C448" i="64" s="1"/>
  <c r="D368" i="48" s="1"/>
  <c r="D425" i="64"/>
  <c r="G420" i="16"/>
  <c r="G421" i="16" s="1"/>
  <c r="H410" i="16"/>
  <c r="G411" i="16"/>
  <c r="G415" i="16"/>
  <c r="F416" i="16"/>
  <c r="F433" i="16" s="1"/>
  <c r="G369" i="48" s="1"/>
  <c r="D430" i="64"/>
  <c r="D431" i="64" s="1"/>
  <c r="D421" i="64"/>
  <c r="E420" i="64"/>
  <c r="D337" i="48"/>
  <c r="O337" i="48" s="1"/>
  <c r="B195" i="75" s="1"/>
  <c r="N173" i="14"/>
  <c r="D338" i="48"/>
  <c r="O338" i="48" s="1"/>
  <c r="B196" i="75" s="1"/>
  <c r="D196" i="75" s="1"/>
  <c r="E196" i="75" s="1"/>
  <c r="N180" i="14"/>
  <c r="C182" i="14"/>
  <c r="N182" i="14" s="1"/>
  <c r="F345" i="48"/>
  <c r="O345" i="48" s="1"/>
  <c r="B201" i="75" s="1"/>
  <c r="D201" i="75" s="1"/>
  <c r="E201" i="75" s="1"/>
  <c r="N108" i="24"/>
  <c r="C155" i="14"/>
  <c r="N153" i="14"/>
  <c r="D286" i="48"/>
  <c r="O286" i="48" s="1"/>
  <c r="N141" i="14"/>
  <c r="D324" i="48" s="1"/>
  <c r="O324" i="48" s="1"/>
  <c r="B186" i="75" s="1"/>
  <c r="D186" i="75" s="1"/>
  <c r="E186" i="75" s="1"/>
  <c r="D11" i="48"/>
  <c r="O11" i="48" s="1"/>
  <c r="C148" i="14"/>
  <c r="N146" i="14"/>
  <c r="N101" i="4"/>
  <c r="E137" i="4"/>
  <c r="F116" i="48" s="1"/>
  <c r="B115" i="4"/>
  <c r="B106" i="4"/>
  <c r="F106" i="4"/>
  <c r="F115" i="4"/>
  <c r="H209" i="64"/>
  <c r="L200" i="4"/>
  <c r="L203" i="4"/>
  <c r="L204" i="4" s="1"/>
  <c r="H376" i="4"/>
  <c r="I274" i="16"/>
  <c r="I276" i="16" s="1"/>
  <c r="I276" i="64"/>
  <c r="H389" i="64"/>
  <c r="H336" i="64"/>
  <c r="J327" i="4"/>
  <c r="J33" i="92" s="1"/>
  <c r="I329" i="4"/>
  <c r="I376" i="4" s="1"/>
  <c r="J320" i="48" s="1"/>
  <c r="I329" i="16"/>
  <c r="I334" i="64"/>
  <c r="I377" i="4"/>
  <c r="K272" i="4"/>
  <c r="K33" i="91" s="1"/>
  <c r="J274" i="4"/>
  <c r="J274" i="64"/>
  <c r="I55" i="4"/>
  <c r="I69" i="4"/>
  <c r="I16" i="60"/>
  <c r="D116" i="48"/>
  <c r="I200" i="64"/>
  <c r="I203" i="64"/>
  <c r="I204" i="64" s="1"/>
  <c r="L200" i="64"/>
  <c r="L203" i="64"/>
  <c r="L204" i="64" s="1"/>
  <c r="M200" i="64"/>
  <c r="M203" i="64"/>
  <c r="M204" i="64" s="1"/>
  <c r="J200" i="64"/>
  <c r="J203" i="64"/>
  <c r="J204" i="64" s="1"/>
  <c r="K200" i="64"/>
  <c r="K203" i="64"/>
  <c r="K204" i="64" s="1"/>
  <c r="C138" i="16"/>
  <c r="D118" i="48" s="1"/>
  <c r="B132" i="16"/>
  <c r="N132" i="16" s="1"/>
  <c r="B135" i="16"/>
  <c r="B136" i="16" s="1"/>
  <c r="N136" i="16" s="1"/>
  <c r="H131" i="4"/>
  <c r="H134" i="4"/>
  <c r="H135" i="4" s="1"/>
  <c r="M131" i="4"/>
  <c r="M134" i="4"/>
  <c r="M135" i="4" s="1"/>
  <c r="J131" i="4"/>
  <c r="J134" i="4"/>
  <c r="J135" i="4" s="1"/>
  <c r="K131" i="4"/>
  <c r="K134" i="4"/>
  <c r="K135" i="4" s="1"/>
  <c r="G131" i="64"/>
  <c r="H58" i="64"/>
  <c r="H40" i="16"/>
  <c r="J43" i="4"/>
  <c r="I38" i="16"/>
  <c r="G68" i="64"/>
  <c r="H129" i="64"/>
  <c r="H143" i="64" s="1"/>
  <c r="G329" i="64"/>
  <c r="C30" i="14"/>
  <c r="D47" i="48" s="1"/>
  <c r="O47" i="48" s="1"/>
  <c r="B10" i="75" s="1"/>
  <c r="C135" i="64"/>
  <c r="C139" i="64" s="1"/>
  <c r="C140" i="64" s="1"/>
  <c r="B136" i="64"/>
  <c r="B142" i="64" s="1"/>
  <c r="B67" i="64"/>
  <c r="C71" i="48" s="1"/>
  <c r="N127" i="16"/>
  <c r="H118" i="48"/>
  <c r="H50" i="16"/>
  <c r="B380" i="64"/>
  <c r="B395" i="64" s="1"/>
  <c r="B376" i="64"/>
  <c r="N376" i="64" s="1"/>
  <c r="F379" i="16"/>
  <c r="F331" i="16"/>
  <c r="D365" i="64"/>
  <c r="C366" i="64"/>
  <c r="C388" i="64" s="1"/>
  <c r="D321" i="48" s="1"/>
  <c r="E360" i="64"/>
  <c r="D370" i="64"/>
  <c r="D371" i="64" s="1"/>
  <c r="D361" i="64"/>
  <c r="G360" i="16"/>
  <c r="F361" i="16"/>
  <c r="E378" i="16"/>
  <c r="F322" i="48" s="1"/>
  <c r="G356" i="16"/>
  <c r="H355" i="16"/>
  <c r="G365" i="16"/>
  <c r="G366" i="16" s="1"/>
  <c r="F243" i="48"/>
  <c r="O243" i="48" s="1"/>
  <c r="B138" i="75" s="1"/>
  <c r="D138" i="75" s="1"/>
  <c r="E138" i="75" s="1"/>
  <c r="C131" i="61"/>
  <c r="H86" i="24"/>
  <c r="I124" i="18"/>
  <c r="H125" i="18"/>
  <c r="E89" i="24"/>
  <c r="G89" i="24"/>
  <c r="G93" i="24"/>
  <c r="H295" i="48" s="1"/>
  <c r="N78" i="24"/>
  <c r="C105" i="14"/>
  <c r="C107" i="14" s="1"/>
  <c r="N107" i="14" s="1"/>
  <c r="B195" i="4"/>
  <c r="B199" i="4"/>
  <c r="K195" i="4"/>
  <c r="K199" i="4"/>
  <c r="F195" i="4"/>
  <c r="F199" i="4"/>
  <c r="E93" i="24"/>
  <c r="F295" i="48" s="1"/>
  <c r="N96" i="14"/>
  <c r="J195" i="4"/>
  <c r="J199" i="4"/>
  <c r="G126" i="4"/>
  <c r="G130" i="4"/>
  <c r="D126" i="4"/>
  <c r="D130" i="4"/>
  <c r="I126" i="4"/>
  <c r="I130" i="4"/>
  <c r="L126" i="4"/>
  <c r="L130" i="4"/>
  <c r="J60" i="4"/>
  <c r="J64" i="4"/>
  <c r="J65" i="4" s="1"/>
  <c r="I60" i="4"/>
  <c r="I64" i="4"/>
  <c r="I65" i="4" s="1"/>
  <c r="D60" i="4"/>
  <c r="D64" i="4"/>
  <c r="D65" i="4" s="1"/>
  <c r="H185" i="64"/>
  <c r="C253" i="4"/>
  <c r="C249" i="4"/>
  <c r="I183" i="64"/>
  <c r="I259" i="64"/>
  <c r="I254" i="4"/>
  <c r="J53" i="4"/>
  <c r="I48" i="64"/>
  <c r="I48" i="16" s="1"/>
  <c r="I304" i="64"/>
  <c r="I304" i="16" s="1"/>
  <c r="I306" i="16" s="1"/>
  <c r="I304" i="4"/>
  <c r="J302" i="4"/>
  <c r="J30" i="91" s="1"/>
  <c r="H314" i="64"/>
  <c r="I319" i="16"/>
  <c r="I321" i="16" s="1"/>
  <c r="H314" i="4"/>
  <c r="H321" i="4" s="1"/>
  <c r="I270" i="48" s="1"/>
  <c r="H322" i="4"/>
  <c r="H261" i="64"/>
  <c r="H259" i="16"/>
  <c r="H261" i="16" s="1"/>
  <c r="I184" i="4"/>
  <c r="I180" i="4"/>
  <c r="B253" i="4"/>
  <c r="B249" i="4"/>
  <c r="I311" i="16"/>
  <c r="H266" i="4"/>
  <c r="I218" i="48" s="1"/>
  <c r="D15" i="75"/>
  <c r="E15" i="75" s="1"/>
  <c r="B15" i="56"/>
  <c r="D15" i="56" s="1"/>
  <c r="E15" i="56" s="1"/>
  <c r="G194" i="64"/>
  <c r="G190" i="64"/>
  <c r="B316" i="64"/>
  <c r="B320" i="64"/>
  <c r="B335" i="64" s="1"/>
  <c r="H251" i="64"/>
  <c r="H249" i="16"/>
  <c r="H251" i="16" s="1"/>
  <c r="E22" i="14"/>
  <c r="D23" i="14"/>
  <c r="C24" i="49"/>
  <c r="C25" i="49" s="1"/>
  <c r="G24" i="49"/>
  <c r="G25" i="49" s="1"/>
  <c r="K24" i="49"/>
  <c r="K25" i="49" s="1"/>
  <c r="E24" i="49"/>
  <c r="E25" i="49" s="1"/>
  <c r="I24" i="49"/>
  <c r="I25" i="49" s="1"/>
  <c r="M24" i="49"/>
  <c r="M25" i="49" s="1"/>
  <c r="D24" i="49"/>
  <c r="D25" i="49" s="1"/>
  <c r="L24" i="49"/>
  <c r="L25" i="49" s="1"/>
  <c r="F24" i="49"/>
  <c r="F25" i="49" s="1"/>
  <c r="B24" i="49"/>
  <c r="B25" i="49" s="1"/>
  <c r="H24" i="49"/>
  <c r="H25" i="49" s="1"/>
  <c r="J24" i="49"/>
  <c r="J25" i="49" s="1"/>
  <c r="B41" i="49"/>
  <c r="B42" i="49" s="1"/>
  <c r="M41" i="49"/>
  <c r="L41" i="49"/>
  <c r="D36" i="11"/>
  <c r="C41" i="49"/>
  <c r="H41" i="49"/>
  <c r="F41" i="49"/>
  <c r="E41" i="49"/>
  <c r="G41" i="49"/>
  <c r="D41" i="49"/>
  <c r="J41" i="49"/>
  <c r="I41" i="49"/>
  <c r="K41" i="49"/>
  <c r="D39" i="11"/>
  <c r="E75" i="49"/>
  <c r="E76" i="49" s="1"/>
  <c r="E194" i="48"/>
  <c r="E58" i="70"/>
  <c r="E59" i="70" s="1"/>
  <c r="E145" i="48"/>
  <c r="G103" i="61"/>
  <c r="F104" i="61"/>
  <c r="G187" i="48" s="1"/>
  <c r="H194" i="64"/>
  <c r="H190" i="64"/>
  <c r="F268" i="16"/>
  <c r="G220" i="48" s="1"/>
  <c r="E318" i="4"/>
  <c r="E319" i="4" s="1"/>
  <c r="E314" i="4"/>
  <c r="E194" i="64"/>
  <c r="E190" i="64"/>
  <c r="I115" i="16"/>
  <c r="I139" i="16" s="1"/>
  <c r="J104" i="4"/>
  <c r="I106" i="4"/>
  <c r="F71" i="18"/>
  <c r="E72" i="18"/>
  <c r="B54" i="4"/>
  <c r="B49" i="4"/>
  <c r="B50" i="4" s="1"/>
  <c r="N50" i="4" s="1"/>
  <c r="B44" i="4"/>
  <c r="B45" i="4" s="1"/>
  <c r="B40" i="4"/>
  <c r="N40" i="4" s="1"/>
  <c r="J317" i="4"/>
  <c r="J31" i="91" s="1"/>
  <c r="I319" i="64"/>
  <c r="B43" i="75"/>
  <c r="D43" i="75" s="1"/>
  <c r="E43" i="75" s="1"/>
  <c r="B40" i="56"/>
  <c r="D40" i="56" s="1"/>
  <c r="E40" i="56" s="1"/>
  <c r="F41" i="73"/>
  <c r="F194" i="64"/>
  <c r="F190" i="64"/>
  <c r="D194" i="64"/>
  <c r="D190" i="64"/>
  <c r="H239" i="16"/>
  <c r="H241" i="64"/>
  <c r="H269" i="64"/>
  <c r="H116" i="64"/>
  <c r="G175" i="16"/>
  <c r="F176" i="16"/>
  <c r="F208" i="16" s="1"/>
  <c r="D186" i="48"/>
  <c r="C106" i="61"/>
  <c r="C194" i="64"/>
  <c r="C190" i="64"/>
  <c r="G90" i="48"/>
  <c r="J309" i="4"/>
  <c r="J309" i="64"/>
  <c r="J309" i="16" s="1"/>
  <c r="G316" i="16"/>
  <c r="G323" i="16" s="1"/>
  <c r="H272" i="48" s="1"/>
  <c r="G324" i="16"/>
  <c r="E138" i="48"/>
  <c r="D79" i="18"/>
  <c r="N35" i="4"/>
  <c r="D305" i="64"/>
  <c r="C306" i="64"/>
  <c r="C328" i="64" s="1"/>
  <c r="D271" i="48" s="1"/>
  <c r="G78" i="61"/>
  <c r="F79" i="61"/>
  <c r="G136" i="48" s="1"/>
  <c r="N111" i="64"/>
  <c r="G241" i="16"/>
  <c r="G268" i="16" s="1"/>
  <c r="H220" i="48" s="1"/>
  <c r="G269" i="16"/>
  <c r="F55" i="4"/>
  <c r="F59" i="4"/>
  <c r="E96" i="61"/>
  <c r="D97" i="61"/>
  <c r="H53" i="61"/>
  <c r="G54" i="61"/>
  <c r="H90" i="48" s="1"/>
  <c r="I239" i="64"/>
  <c r="J237" i="4"/>
  <c r="I239" i="4"/>
  <c r="I267" i="4"/>
  <c r="G266" i="4"/>
  <c r="H218" i="48" s="1"/>
  <c r="E300" i="64"/>
  <c r="D301" i="64"/>
  <c r="D310" i="64"/>
  <c r="D311" i="64" s="1"/>
  <c r="H117" i="16"/>
  <c r="H138" i="16" s="1"/>
  <c r="H314" i="16"/>
  <c r="H316" i="16" s="1"/>
  <c r="H321" i="64"/>
  <c r="B44" i="75"/>
  <c r="D44" i="75" s="1"/>
  <c r="E44" i="75" s="1"/>
  <c r="B41" i="56"/>
  <c r="D41" i="56" s="1"/>
  <c r="E41" i="56" s="1"/>
  <c r="D129" i="61"/>
  <c r="E239" i="48" s="1"/>
  <c r="E128" i="61"/>
  <c r="I249" i="64"/>
  <c r="I249" i="4"/>
  <c r="C46" i="48"/>
  <c r="B32" i="14"/>
  <c r="D259" i="4"/>
  <c r="D263" i="4"/>
  <c r="D264" i="4" s="1"/>
  <c r="C23" i="18"/>
  <c r="B24" i="18"/>
  <c r="O132" i="48"/>
  <c r="K300" i="16"/>
  <c r="J310" i="16"/>
  <c r="I173" i="64"/>
  <c r="J168" i="4"/>
  <c r="I170" i="4"/>
  <c r="F241" i="48"/>
  <c r="E127" i="18"/>
  <c r="I28" i="48"/>
  <c r="I170" i="48"/>
  <c r="I273" i="48"/>
  <c r="I119" i="48"/>
  <c r="I221" i="48"/>
  <c r="C23" i="14"/>
  <c r="N21" i="14"/>
  <c r="B69" i="75"/>
  <c r="D69" i="75" s="1"/>
  <c r="E69" i="75" s="1"/>
  <c r="B62" i="56"/>
  <c r="D62" i="56" s="1"/>
  <c r="E62" i="56" s="1"/>
  <c r="C189" i="4"/>
  <c r="C190" i="4" s="1"/>
  <c r="C194" i="4"/>
  <c r="C185" i="4"/>
  <c r="F41" i="70"/>
  <c r="F42" i="70" s="1"/>
  <c r="C123" i="14"/>
  <c r="N121" i="14"/>
  <c r="F92" i="70"/>
  <c r="F93" i="70" s="1"/>
  <c r="F248" i="48"/>
  <c r="B93" i="56"/>
  <c r="D93" i="56" s="1"/>
  <c r="E93" i="56" s="1"/>
  <c r="B106" i="75"/>
  <c r="D106" i="75" s="1"/>
  <c r="E106" i="75" s="1"/>
  <c r="G13" i="16"/>
  <c r="G68" i="16" s="1"/>
  <c r="G15" i="64"/>
  <c r="C130" i="14"/>
  <c r="D236" i="48" s="1"/>
  <c r="O236" i="48" s="1"/>
  <c r="N128" i="14"/>
  <c r="G47" i="18"/>
  <c r="F48" i="18"/>
  <c r="D234" i="48"/>
  <c r="O234" i="48" s="1"/>
  <c r="N116" i="14"/>
  <c r="F15" i="16"/>
  <c r="F67" i="16" s="1"/>
  <c r="G72" i="48" s="1"/>
  <c r="F121" i="61"/>
  <c r="E122" i="61"/>
  <c r="G24" i="73"/>
  <c r="G58" i="73"/>
  <c r="F92" i="49"/>
  <c r="F93" i="49" s="1"/>
  <c r="F246" i="48"/>
  <c r="F169" i="48"/>
  <c r="D194" i="4"/>
  <c r="D189" i="4"/>
  <c r="D190" i="4" s="1"/>
  <c r="D185" i="4"/>
  <c r="H13" i="64"/>
  <c r="H15" i="4"/>
  <c r="H68" i="4" s="1"/>
  <c r="I70" i="48" s="1"/>
  <c r="D183" i="48"/>
  <c r="N98" i="14"/>
  <c r="F92" i="48"/>
  <c r="E55" i="18"/>
  <c r="D182" i="48"/>
  <c r="N91" i="14"/>
  <c r="D314" i="4"/>
  <c r="D318" i="4"/>
  <c r="D319" i="4" s="1"/>
  <c r="E238" i="48"/>
  <c r="K244" i="4"/>
  <c r="D85" i="48"/>
  <c r="N41" i="14"/>
  <c r="J20" i="64"/>
  <c r="I121" i="64"/>
  <c r="E246" i="48"/>
  <c r="I299" i="16"/>
  <c r="H301" i="16"/>
  <c r="C48" i="14"/>
  <c r="N46" i="14"/>
  <c r="F71" i="61"/>
  <c r="E72" i="61"/>
  <c r="G194" i="4"/>
  <c r="G189" i="4"/>
  <c r="G190" i="4" s="1"/>
  <c r="G185" i="4"/>
  <c r="G95" i="18"/>
  <c r="F96" i="18"/>
  <c r="H169" i="16"/>
  <c r="H175" i="64"/>
  <c r="H189" i="4"/>
  <c r="H190" i="4" s="1"/>
  <c r="H194" i="4"/>
  <c r="H185" i="4"/>
  <c r="J244" i="16"/>
  <c r="J246" i="64"/>
  <c r="G314" i="4"/>
  <c r="G318" i="4"/>
  <c r="G319" i="4" s="1"/>
  <c r="G75" i="73"/>
  <c r="G171" i="16"/>
  <c r="D12" i="75"/>
  <c r="E12" i="75" s="1"/>
  <c r="B12" i="56"/>
  <c r="D12" i="56" s="1"/>
  <c r="E12" i="56" s="1"/>
  <c r="E27" i="48"/>
  <c r="J119" i="64"/>
  <c r="J120" i="16"/>
  <c r="J122" i="16" s="1"/>
  <c r="K109" i="4"/>
  <c r="J111" i="4"/>
  <c r="G119" i="18"/>
  <c r="F120" i="18"/>
  <c r="L263" i="4"/>
  <c r="L264" i="4" s="1"/>
  <c r="L259" i="4"/>
  <c r="J10" i="60"/>
  <c r="J299" i="64"/>
  <c r="K297" i="4"/>
  <c r="K29" i="91" s="1"/>
  <c r="J299" i="4"/>
  <c r="D45" i="48"/>
  <c r="N16" i="14"/>
  <c r="E135" i="48"/>
  <c r="D81" i="61"/>
  <c r="M60" i="16"/>
  <c r="N60" i="16" s="1"/>
  <c r="N58" i="16"/>
  <c r="C55" i="14"/>
  <c r="N53" i="14"/>
  <c r="G75" i="70"/>
  <c r="G76" i="70" s="1"/>
  <c r="F189" i="48"/>
  <c r="E103" i="18"/>
  <c r="E189" i="4"/>
  <c r="E190" i="4" s="1"/>
  <c r="E185" i="4"/>
  <c r="E194" i="4"/>
  <c r="H30" i="64"/>
  <c r="G35" i="64"/>
  <c r="D69" i="56"/>
  <c r="D50" i="64"/>
  <c r="H25" i="64"/>
  <c r="D270" i="48"/>
  <c r="B165" i="64"/>
  <c r="M86" i="48"/>
  <c r="L57" i="14"/>
  <c r="K132" i="14"/>
  <c r="C60" i="64"/>
  <c r="C65" i="64"/>
  <c r="N160" i="64"/>
  <c r="M122" i="14"/>
  <c r="M123" i="14" s="1"/>
  <c r="N235" i="48" s="1"/>
  <c r="L123" i="14"/>
  <c r="M235" i="48" s="1"/>
  <c r="F40" i="64"/>
  <c r="G39" i="64"/>
  <c r="F266" i="4"/>
  <c r="E45" i="64"/>
  <c r="N86" i="48"/>
  <c r="M57" i="14"/>
  <c r="J69" i="4" l="1"/>
  <c r="J34" i="91"/>
  <c r="J37" i="91" s="1"/>
  <c r="D156" i="61"/>
  <c r="J138" i="4"/>
  <c r="J28" i="94"/>
  <c r="J32" i="94" s="1"/>
  <c r="J173" i="4"/>
  <c r="J207" i="4" s="1"/>
  <c r="G42" i="49"/>
  <c r="H97" i="48" s="1"/>
  <c r="I30" i="90"/>
  <c r="I34" i="90" s="1"/>
  <c r="I30" i="89"/>
  <c r="I34" i="89" s="1"/>
  <c r="I178" i="64"/>
  <c r="I174" i="16" s="1"/>
  <c r="G343" i="48"/>
  <c r="F177" i="18"/>
  <c r="E300" i="48"/>
  <c r="G58" i="84"/>
  <c r="F59" i="84"/>
  <c r="J29" i="90"/>
  <c r="J29" i="89"/>
  <c r="J42" i="49"/>
  <c r="K97" i="48" s="1"/>
  <c r="F42" i="49"/>
  <c r="G97" i="48" s="1"/>
  <c r="L42" i="49"/>
  <c r="M97" i="48" s="1"/>
  <c r="D42" i="49"/>
  <c r="E97" i="48" s="1"/>
  <c r="H42" i="49"/>
  <c r="I97" i="48" s="1"/>
  <c r="M42" i="49"/>
  <c r="N97" i="48" s="1"/>
  <c r="J323" i="48"/>
  <c r="J370" i="48"/>
  <c r="J73" i="48"/>
  <c r="F41" i="87"/>
  <c r="E42" i="87"/>
  <c r="F111" i="48" s="1"/>
  <c r="F156" i="95"/>
  <c r="E157" i="95"/>
  <c r="F363" i="48" s="1"/>
  <c r="E313" i="48"/>
  <c r="G92" i="73"/>
  <c r="F93" i="73"/>
  <c r="G250" i="48" s="1"/>
  <c r="F298" i="48"/>
  <c r="D127" i="70"/>
  <c r="E350" i="48" s="1"/>
  <c r="E126" i="70"/>
  <c r="H180" i="64"/>
  <c r="H174" i="16"/>
  <c r="H209" i="16" s="1"/>
  <c r="L91" i="79"/>
  <c r="K92" i="79"/>
  <c r="L252" i="48" s="1"/>
  <c r="F155" i="86"/>
  <c r="E156" i="86"/>
  <c r="F360" i="48" s="1"/>
  <c r="H449" i="64"/>
  <c r="H396" i="64"/>
  <c r="G87" i="95"/>
  <c r="F88" i="95"/>
  <c r="G87" i="87"/>
  <c r="F88" i="87"/>
  <c r="G208" i="48" s="1"/>
  <c r="G75" i="84"/>
  <c r="F76" i="84"/>
  <c r="G153" i="61"/>
  <c r="F154" i="61"/>
  <c r="L109" i="86"/>
  <c r="L110" i="86" s="1"/>
  <c r="M263" i="48" s="1"/>
  <c r="M109" i="86"/>
  <c r="M110" i="86" s="1"/>
  <c r="N263" i="48" s="1"/>
  <c r="F109" i="86"/>
  <c r="F110" i="86" s="1"/>
  <c r="G263" i="48" s="1"/>
  <c r="H109" i="86"/>
  <c r="H110" i="86" s="1"/>
  <c r="I263" i="48" s="1"/>
  <c r="I109" i="86"/>
  <c r="I110" i="86" s="1"/>
  <c r="J263" i="48" s="1"/>
  <c r="G109" i="86"/>
  <c r="G110" i="86" s="1"/>
  <c r="H263" i="48" s="1"/>
  <c r="J109" i="86"/>
  <c r="J110" i="86" s="1"/>
  <c r="K263" i="48" s="1"/>
  <c r="K109" i="86"/>
  <c r="K110" i="86" s="1"/>
  <c r="L263" i="48" s="1"/>
  <c r="E110" i="86"/>
  <c r="F263" i="48" s="1"/>
  <c r="E341" i="48"/>
  <c r="G63" i="86"/>
  <c r="F64" i="86"/>
  <c r="E260" i="48"/>
  <c r="C181" i="61"/>
  <c r="F135" i="85"/>
  <c r="E136" i="85"/>
  <c r="F306" i="48" s="1"/>
  <c r="F132" i="86"/>
  <c r="E133" i="86"/>
  <c r="F313" i="48" s="1"/>
  <c r="G109" i="49"/>
  <c r="F110" i="49"/>
  <c r="G298" i="48" s="1"/>
  <c r="E316" i="48"/>
  <c r="F178" i="61"/>
  <c r="E179" i="61"/>
  <c r="I42" i="49"/>
  <c r="J97" i="48" s="1"/>
  <c r="E42" i="49"/>
  <c r="F97" i="48" s="1"/>
  <c r="J34" i="92"/>
  <c r="J37" i="92" s="1"/>
  <c r="E357" i="48"/>
  <c r="H293" i="48"/>
  <c r="G152" i="18"/>
  <c r="I32" i="94"/>
  <c r="F133" i="95"/>
  <c r="E134" i="95"/>
  <c r="F316" i="48" s="1"/>
  <c r="G86" i="86"/>
  <c r="F87" i="86"/>
  <c r="G211" i="48" s="1"/>
  <c r="G24" i="87"/>
  <c r="F25" i="87"/>
  <c r="I33" i="93"/>
  <c r="I394" i="64"/>
  <c r="I384" i="16"/>
  <c r="I384" i="4"/>
  <c r="J382" i="4"/>
  <c r="I432" i="4"/>
  <c r="H34" i="93"/>
  <c r="H37" i="93" s="1"/>
  <c r="F159" i="85"/>
  <c r="E160" i="85"/>
  <c r="F354" i="48" s="1"/>
  <c r="H169" i="18"/>
  <c r="G170" i="18"/>
  <c r="F109" i="70"/>
  <c r="E110" i="70"/>
  <c r="F300" i="48" s="1"/>
  <c r="E114" i="48"/>
  <c r="E127" i="49"/>
  <c r="F348" i="48" s="1"/>
  <c r="F126" i="49"/>
  <c r="I67" i="48"/>
  <c r="K42" i="49"/>
  <c r="L97" i="48" s="1"/>
  <c r="C42" i="49"/>
  <c r="D97" i="48" s="1"/>
  <c r="H434" i="16"/>
  <c r="H386" i="16"/>
  <c r="E354" i="48"/>
  <c r="K110" i="87"/>
  <c r="K111" i="87" s="1"/>
  <c r="L260" i="48" s="1"/>
  <c r="J110" i="87"/>
  <c r="J111" i="87" s="1"/>
  <c r="K260" i="48" s="1"/>
  <c r="I110" i="87"/>
  <c r="I111" i="87" s="1"/>
  <c r="J260" i="48" s="1"/>
  <c r="H110" i="87"/>
  <c r="H111" i="87" s="1"/>
  <c r="I260" i="48" s="1"/>
  <c r="G110" i="87"/>
  <c r="G111" i="87" s="1"/>
  <c r="H260" i="48" s="1"/>
  <c r="F110" i="87"/>
  <c r="F111" i="87" s="1"/>
  <c r="G260" i="48" s="1"/>
  <c r="M110" i="87"/>
  <c r="M111" i="87" s="1"/>
  <c r="N260" i="48" s="1"/>
  <c r="L110" i="87"/>
  <c r="L111" i="87" s="1"/>
  <c r="M260" i="48" s="1"/>
  <c r="E111" i="87"/>
  <c r="F260" i="48" s="1"/>
  <c r="F41" i="95"/>
  <c r="E42" i="95"/>
  <c r="I175" i="4"/>
  <c r="I207" i="4"/>
  <c r="E111" i="48"/>
  <c r="E363" i="48"/>
  <c r="F156" i="87"/>
  <c r="E157" i="87"/>
  <c r="F357" i="48" s="1"/>
  <c r="I144" i="18"/>
  <c r="H145" i="18"/>
  <c r="F146" i="61"/>
  <c r="E147" i="61"/>
  <c r="F107" i="84"/>
  <c r="E108" i="84"/>
  <c r="E360" i="48"/>
  <c r="G64" i="95"/>
  <c r="F65" i="95"/>
  <c r="G23" i="86"/>
  <c r="F24" i="86"/>
  <c r="G69" i="48" s="1"/>
  <c r="M110" i="95"/>
  <c r="M111" i="95" s="1"/>
  <c r="N266" i="48" s="1"/>
  <c r="J110" i="95"/>
  <c r="J111" i="95" s="1"/>
  <c r="K266" i="48" s="1"/>
  <c r="F110" i="95"/>
  <c r="F111" i="95" s="1"/>
  <c r="G266" i="48" s="1"/>
  <c r="G110" i="95"/>
  <c r="G111" i="95" s="1"/>
  <c r="H266" i="48" s="1"/>
  <c r="K110" i="95"/>
  <c r="K111" i="95" s="1"/>
  <c r="L266" i="48" s="1"/>
  <c r="L110" i="95"/>
  <c r="L111" i="95" s="1"/>
  <c r="M266" i="48" s="1"/>
  <c r="H110" i="95"/>
  <c r="H111" i="95" s="1"/>
  <c r="I266" i="48" s="1"/>
  <c r="I110" i="95"/>
  <c r="I111" i="95" s="1"/>
  <c r="J266" i="48" s="1"/>
  <c r="E111" i="95"/>
  <c r="F266" i="48" s="1"/>
  <c r="F291" i="48"/>
  <c r="F40" i="86"/>
  <c r="E41" i="86"/>
  <c r="F114" i="48" s="1"/>
  <c r="E348" i="48"/>
  <c r="F41" i="84"/>
  <c r="E42" i="84"/>
  <c r="J25" i="85"/>
  <c r="I26" i="85"/>
  <c r="J67" i="48" s="1"/>
  <c r="G24" i="95"/>
  <c r="F25" i="95"/>
  <c r="F91" i="84"/>
  <c r="E92" i="84"/>
  <c r="E171" i="61"/>
  <c r="D172" i="61"/>
  <c r="G64" i="87"/>
  <c r="F65" i="87"/>
  <c r="G24" i="84"/>
  <c r="F25" i="84"/>
  <c r="E306" i="48"/>
  <c r="F133" i="87"/>
  <c r="E134" i="87"/>
  <c r="D426" i="64"/>
  <c r="D448" i="64" s="1"/>
  <c r="E368" i="48" s="1"/>
  <c r="E425" i="64"/>
  <c r="H411" i="16"/>
  <c r="I410" i="16"/>
  <c r="H420" i="16"/>
  <c r="H421" i="16" s="1"/>
  <c r="B445" i="64"/>
  <c r="B446" i="64" s="1"/>
  <c r="N446" i="64" s="1"/>
  <c r="B441" i="64"/>
  <c r="N441" i="64" s="1"/>
  <c r="F420" i="64"/>
  <c r="E430" i="64"/>
  <c r="E431" i="64" s="1"/>
  <c r="E421" i="64"/>
  <c r="G416" i="16"/>
  <c r="G433" i="16" s="1"/>
  <c r="H369" i="48" s="1"/>
  <c r="H415" i="16"/>
  <c r="D195" i="75"/>
  <c r="E195" i="75" s="1"/>
  <c r="B400" i="64"/>
  <c r="B396" i="64"/>
  <c r="D373" i="48"/>
  <c r="D378" i="48" s="1"/>
  <c r="D68" i="4"/>
  <c r="E70" i="48" s="1"/>
  <c r="N148" i="14"/>
  <c r="D287" i="48"/>
  <c r="O287" i="48" s="1"/>
  <c r="D12" i="48"/>
  <c r="O12" i="48" s="1"/>
  <c r="C157" i="14"/>
  <c r="N157" i="14" s="1"/>
  <c r="D288" i="48"/>
  <c r="O288" i="48" s="1"/>
  <c r="B165" i="75" s="1"/>
  <c r="D165" i="75" s="1"/>
  <c r="E165" i="75" s="1"/>
  <c r="N155" i="14"/>
  <c r="D13" i="48"/>
  <c r="O13" i="48" s="1"/>
  <c r="B120" i="4"/>
  <c r="B121" i="4" s="1"/>
  <c r="B116" i="4"/>
  <c r="B125" i="4"/>
  <c r="F120" i="4"/>
  <c r="F121" i="4" s="1"/>
  <c r="F116" i="4"/>
  <c r="F125" i="4"/>
  <c r="K200" i="4"/>
  <c r="K203" i="4"/>
  <c r="K204" i="4" s="1"/>
  <c r="K274" i="64"/>
  <c r="K274" i="4"/>
  <c r="L272" i="4"/>
  <c r="L33" i="91" s="1"/>
  <c r="I320" i="48"/>
  <c r="J200" i="4"/>
  <c r="J203" i="4"/>
  <c r="J204" i="4" s="1"/>
  <c r="F200" i="4"/>
  <c r="F203" i="4"/>
  <c r="F204" i="4" s="1"/>
  <c r="B200" i="4"/>
  <c r="B203" i="4"/>
  <c r="B204" i="4" s="1"/>
  <c r="J274" i="16"/>
  <c r="J276" i="16" s="1"/>
  <c r="J276" i="64"/>
  <c r="J334" i="64"/>
  <c r="J329" i="16"/>
  <c r="J329" i="4"/>
  <c r="J376" i="4" s="1"/>
  <c r="K320" i="48" s="1"/>
  <c r="K327" i="4"/>
  <c r="K33" i="92" s="1"/>
  <c r="K34" i="92" s="1"/>
  <c r="K37" i="92" s="1"/>
  <c r="J377" i="4"/>
  <c r="H137" i="4"/>
  <c r="I116" i="48" s="1"/>
  <c r="I389" i="64"/>
  <c r="I336" i="64"/>
  <c r="N165" i="64"/>
  <c r="C32" i="14"/>
  <c r="J16" i="60"/>
  <c r="N30" i="14"/>
  <c r="D250" i="48"/>
  <c r="D235" i="48"/>
  <c r="O235" i="48" s="1"/>
  <c r="B138" i="16"/>
  <c r="C118" i="48" s="1"/>
  <c r="L131" i="4"/>
  <c r="L134" i="4"/>
  <c r="L135" i="4" s="1"/>
  <c r="I131" i="4"/>
  <c r="I134" i="4"/>
  <c r="I135" i="4" s="1"/>
  <c r="G131" i="4"/>
  <c r="G134" i="4"/>
  <c r="G135" i="4" s="1"/>
  <c r="D131" i="4"/>
  <c r="D134" i="4"/>
  <c r="D135" i="4" s="1"/>
  <c r="I180" i="64"/>
  <c r="H68" i="64"/>
  <c r="K43" i="4"/>
  <c r="J38" i="16"/>
  <c r="J45" i="4"/>
  <c r="L244" i="4"/>
  <c r="L244" i="64"/>
  <c r="I58" i="64"/>
  <c r="I40" i="16"/>
  <c r="H131" i="64"/>
  <c r="I129" i="64"/>
  <c r="I143" i="64" s="1"/>
  <c r="J121" i="64"/>
  <c r="J299" i="16"/>
  <c r="J301" i="16" s="1"/>
  <c r="B68" i="75"/>
  <c r="D184" i="48"/>
  <c r="O184" i="48" s="1"/>
  <c r="B88" i="56" s="1"/>
  <c r="D88" i="56" s="1"/>
  <c r="E88" i="56" s="1"/>
  <c r="N105" i="14"/>
  <c r="B119" i="56"/>
  <c r="D135" i="64"/>
  <c r="D139" i="64" s="1"/>
  <c r="D140" i="64" s="1"/>
  <c r="C136" i="64"/>
  <c r="G169" i="48"/>
  <c r="I116" i="64"/>
  <c r="I118" i="48"/>
  <c r="C67" i="64"/>
  <c r="D71" i="48" s="1"/>
  <c r="F378" i="16"/>
  <c r="G322" i="48" s="1"/>
  <c r="I50" i="16"/>
  <c r="E365" i="64"/>
  <c r="D366" i="64"/>
  <c r="D388" i="64" s="1"/>
  <c r="E321" i="48" s="1"/>
  <c r="B385" i="64"/>
  <c r="B386" i="64" s="1"/>
  <c r="N386" i="64" s="1"/>
  <c r="B381" i="64"/>
  <c r="N381" i="64" s="1"/>
  <c r="B340" i="64"/>
  <c r="B336" i="64"/>
  <c r="E370" i="64"/>
  <c r="E371" i="64" s="1"/>
  <c r="E361" i="64"/>
  <c r="F360" i="64"/>
  <c r="H360" i="16"/>
  <c r="G361" i="16"/>
  <c r="I355" i="16"/>
  <c r="H365" i="16"/>
  <c r="H366" i="16" s="1"/>
  <c r="H356" i="16"/>
  <c r="C97" i="48"/>
  <c r="I242" i="48"/>
  <c r="I86" i="24"/>
  <c r="I87" i="24" s="1"/>
  <c r="I90" i="24" s="1"/>
  <c r="J124" i="18"/>
  <c r="I125" i="18"/>
  <c r="J242" i="48" s="1"/>
  <c r="H87" i="24"/>
  <c r="B61" i="56"/>
  <c r="D61" i="56" s="1"/>
  <c r="E61" i="56" s="1"/>
  <c r="E195" i="4"/>
  <c r="E199" i="4"/>
  <c r="H195" i="4"/>
  <c r="H199" i="4"/>
  <c r="G195" i="4"/>
  <c r="G199" i="4"/>
  <c r="D195" i="4"/>
  <c r="D199" i="4"/>
  <c r="C195" i="4"/>
  <c r="C199" i="4"/>
  <c r="F60" i="4"/>
  <c r="F64" i="4"/>
  <c r="F65" i="4" s="1"/>
  <c r="I314" i="64"/>
  <c r="I316" i="64" s="1"/>
  <c r="J319" i="16"/>
  <c r="J321" i="16" s="1"/>
  <c r="I314" i="4"/>
  <c r="I321" i="4" s="1"/>
  <c r="J270" i="48" s="1"/>
  <c r="I322" i="4"/>
  <c r="J48" i="64"/>
  <c r="J48" i="16" s="1"/>
  <c r="K53" i="4"/>
  <c r="J55" i="4"/>
  <c r="I185" i="64"/>
  <c r="I179" i="16"/>
  <c r="I181" i="16" s="1"/>
  <c r="H316" i="64"/>
  <c r="H329" i="64"/>
  <c r="J183" i="64"/>
  <c r="J180" i="4"/>
  <c r="J304" i="64"/>
  <c r="J304" i="16" s="1"/>
  <c r="J306" i="16" s="1"/>
  <c r="K302" i="4"/>
  <c r="K30" i="91" s="1"/>
  <c r="J304" i="4"/>
  <c r="I259" i="16"/>
  <c r="I261" i="16" s="1"/>
  <c r="I261" i="64"/>
  <c r="J254" i="4"/>
  <c r="J259" i="64"/>
  <c r="C254" i="4"/>
  <c r="C258" i="4"/>
  <c r="B258" i="4"/>
  <c r="B254" i="4"/>
  <c r="J311" i="16"/>
  <c r="I194" i="4"/>
  <c r="I185" i="4"/>
  <c r="N185" i="4" s="1"/>
  <c r="I189" i="4"/>
  <c r="I190" i="4" s="1"/>
  <c r="N190" i="4" s="1"/>
  <c r="H324" i="16"/>
  <c r="G321" i="4"/>
  <c r="H270" i="48" s="1"/>
  <c r="E321" i="4"/>
  <c r="F270" i="48" s="1"/>
  <c r="E301" i="64"/>
  <c r="E310" i="64"/>
  <c r="E311" i="64" s="1"/>
  <c r="F300" i="64"/>
  <c r="I266" i="4"/>
  <c r="J218" i="48" s="1"/>
  <c r="C117" i="48"/>
  <c r="H78" i="61"/>
  <c r="G79" i="61"/>
  <c r="K309" i="4"/>
  <c r="K309" i="64"/>
  <c r="K309" i="16" s="1"/>
  <c r="F138" i="48"/>
  <c r="E79" i="18"/>
  <c r="B46" i="61"/>
  <c r="B21" i="61"/>
  <c r="C23" i="48"/>
  <c r="N25" i="49"/>
  <c r="C57" i="48"/>
  <c r="N57" i="48"/>
  <c r="N23" i="48"/>
  <c r="H57" i="48"/>
  <c r="H23" i="48"/>
  <c r="B325" i="64"/>
  <c r="B326" i="64" s="1"/>
  <c r="N326" i="64" s="1"/>
  <c r="B321" i="64"/>
  <c r="H323" i="16"/>
  <c r="I272" i="48" s="1"/>
  <c r="B31" i="18"/>
  <c r="C52" i="48"/>
  <c r="J249" i="4"/>
  <c r="J249" i="64"/>
  <c r="J239" i="64"/>
  <c r="K237" i="4"/>
  <c r="J239" i="4"/>
  <c r="J267" i="4"/>
  <c r="I53" i="61"/>
  <c r="H54" i="61"/>
  <c r="I90" i="48" s="1"/>
  <c r="H241" i="16"/>
  <c r="H269" i="16"/>
  <c r="F199" i="64"/>
  <c r="F215" i="64"/>
  <c r="F216" i="64" s="1"/>
  <c r="F268" i="64" s="1"/>
  <c r="G219" i="48" s="1"/>
  <c r="F195" i="64"/>
  <c r="G71" i="18"/>
  <c r="F72" i="18"/>
  <c r="I117" i="16"/>
  <c r="I138" i="16" s="1"/>
  <c r="H199" i="64"/>
  <c r="H215" i="64"/>
  <c r="H216" i="64" s="1"/>
  <c r="H268" i="64" s="1"/>
  <c r="I219" i="48" s="1"/>
  <c r="H195" i="64"/>
  <c r="H103" i="61"/>
  <c r="G104" i="61"/>
  <c r="F75" i="49"/>
  <c r="F76" i="49" s="1"/>
  <c r="F194" i="48"/>
  <c r="G57" i="48"/>
  <c r="G23" i="48"/>
  <c r="J23" i="48"/>
  <c r="J57" i="48"/>
  <c r="D57" i="48"/>
  <c r="D23" i="48"/>
  <c r="D23" i="18"/>
  <c r="C24" i="18"/>
  <c r="I249" i="16"/>
  <c r="I251" i="16" s="1"/>
  <c r="I251" i="64"/>
  <c r="I239" i="16"/>
  <c r="I241" i="64"/>
  <c r="I269" i="64"/>
  <c r="E186" i="48"/>
  <c r="D106" i="61"/>
  <c r="D306" i="64"/>
  <c r="D328" i="64" s="1"/>
  <c r="E271" i="48" s="1"/>
  <c r="E305" i="64"/>
  <c r="C215" i="64"/>
  <c r="C216" i="64" s="1"/>
  <c r="C268" i="64" s="1"/>
  <c r="D219" i="48" s="1"/>
  <c r="C199" i="64"/>
  <c r="C195" i="64"/>
  <c r="H175" i="16"/>
  <c r="G176" i="16"/>
  <c r="G208" i="16" s="1"/>
  <c r="G41" i="73"/>
  <c r="I321" i="64"/>
  <c r="I314" i="16"/>
  <c r="I316" i="16" s="1"/>
  <c r="B24" i="70"/>
  <c r="K57" i="48"/>
  <c r="K23" i="48"/>
  <c r="M57" i="48"/>
  <c r="M23" i="48"/>
  <c r="F57" i="48"/>
  <c r="F23" i="48"/>
  <c r="E46" i="48"/>
  <c r="D32" i="14"/>
  <c r="G215" i="64"/>
  <c r="G216" i="64" s="1"/>
  <c r="G268" i="64" s="1"/>
  <c r="H219" i="48" s="1"/>
  <c r="G199" i="64"/>
  <c r="G195" i="64"/>
  <c r="D131" i="61"/>
  <c r="D266" i="4"/>
  <c r="E218" i="48" s="1"/>
  <c r="F128" i="61"/>
  <c r="E129" i="61"/>
  <c r="F239" i="48" s="1"/>
  <c r="E97" i="61"/>
  <c r="F96" i="61"/>
  <c r="D199" i="64"/>
  <c r="D215" i="64"/>
  <c r="D216" i="64" s="1"/>
  <c r="D268" i="64" s="1"/>
  <c r="E219" i="48" s="1"/>
  <c r="D195" i="64"/>
  <c r="J319" i="4"/>
  <c r="J319" i="64"/>
  <c r="K317" i="4"/>
  <c r="K31" i="91" s="1"/>
  <c r="B59" i="4"/>
  <c r="B55" i="4"/>
  <c r="K104" i="4"/>
  <c r="J106" i="4"/>
  <c r="J137" i="4" s="1"/>
  <c r="J115" i="16"/>
  <c r="J139" i="16" s="1"/>
  <c r="E215" i="64"/>
  <c r="E216" i="64" s="1"/>
  <c r="E268" i="64" s="1"/>
  <c r="F219" i="48" s="1"/>
  <c r="E199" i="64"/>
  <c r="E195" i="64"/>
  <c r="F145" i="48"/>
  <c r="F58" i="70"/>
  <c r="F59" i="70" s="1"/>
  <c r="I23" i="48"/>
  <c r="I57" i="48"/>
  <c r="E57" i="48"/>
  <c r="E23" i="48"/>
  <c r="L57" i="48"/>
  <c r="L23" i="48"/>
  <c r="F22" i="14"/>
  <c r="E23" i="14"/>
  <c r="C132" i="14"/>
  <c r="O183" i="48"/>
  <c r="O182" i="48"/>
  <c r="O45" i="48"/>
  <c r="G196" i="48"/>
  <c r="H171" i="16"/>
  <c r="F135" i="48"/>
  <c r="E81" i="61"/>
  <c r="O85" i="48"/>
  <c r="H75" i="73"/>
  <c r="J246" i="16"/>
  <c r="K244" i="16"/>
  <c r="K246" i="16" s="1"/>
  <c r="K246" i="64"/>
  <c r="D321" i="4"/>
  <c r="G92" i="49"/>
  <c r="G93" i="49" s="1"/>
  <c r="G246" i="48"/>
  <c r="G27" i="48"/>
  <c r="G92" i="70"/>
  <c r="G93" i="70" s="1"/>
  <c r="G41" i="70"/>
  <c r="G42" i="70" s="1"/>
  <c r="G99" i="48"/>
  <c r="H75" i="70"/>
  <c r="H76" i="70" s="1"/>
  <c r="H196" i="48"/>
  <c r="K299" i="64"/>
  <c r="L297" i="4"/>
  <c r="L29" i="91" s="1"/>
  <c r="K299" i="4"/>
  <c r="H119" i="18"/>
  <c r="G120" i="18"/>
  <c r="G71" i="61"/>
  <c r="F72" i="61"/>
  <c r="I301" i="16"/>
  <c r="K20" i="64"/>
  <c r="M244" i="64"/>
  <c r="B10" i="56"/>
  <c r="D10" i="56" s="1"/>
  <c r="E10" i="56" s="1"/>
  <c r="D10" i="75"/>
  <c r="E10" i="75" s="1"/>
  <c r="G121" i="61"/>
  <c r="F122" i="61"/>
  <c r="F99" i="48"/>
  <c r="D46" i="48"/>
  <c r="I169" i="16"/>
  <c r="I175" i="64"/>
  <c r="K10" i="60"/>
  <c r="H95" i="18"/>
  <c r="G96" i="18"/>
  <c r="H13" i="16"/>
  <c r="H68" i="16" s="1"/>
  <c r="H15" i="64"/>
  <c r="H58" i="73"/>
  <c r="F238" i="48"/>
  <c r="H47" i="18"/>
  <c r="G48" i="18"/>
  <c r="G15" i="16"/>
  <c r="G67" i="16" s="1"/>
  <c r="H72" i="48" s="1"/>
  <c r="J173" i="64"/>
  <c r="K168" i="4"/>
  <c r="J170" i="4"/>
  <c r="F127" i="18"/>
  <c r="G241" i="48"/>
  <c r="D87" i="48"/>
  <c r="O87" i="48" s="1"/>
  <c r="N55" i="14"/>
  <c r="J28" i="48"/>
  <c r="J170" i="48"/>
  <c r="J119" i="48"/>
  <c r="J273" i="48"/>
  <c r="J221" i="48"/>
  <c r="K119" i="64"/>
  <c r="K120" i="16"/>
  <c r="K122" i="16" s="1"/>
  <c r="L109" i="4"/>
  <c r="K111" i="4"/>
  <c r="G189" i="48"/>
  <c r="F103" i="18"/>
  <c r="D86" i="48"/>
  <c r="N48" i="14"/>
  <c r="I13" i="64"/>
  <c r="I15" i="4"/>
  <c r="I68" i="4" s="1"/>
  <c r="J70" i="48" s="1"/>
  <c r="H24" i="73"/>
  <c r="G92" i="48"/>
  <c r="F55" i="18"/>
  <c r="N130" i="14"/>
  <c r="K310" i="16"/>
  <c r="L300" i="16"/>
  <c r="C57" i="14"/>
  <c r="N57" i="14" s="1"/>
  <c r="M132" i="14"/>
  <c r="F45" i="64"/>
  <c r="L132" i="14"/>
  <c r="I25" i="64"/>
  <c r="E69" i="56"/>
  <c r="H39" i="64"/>
  <c r="G40" i="64"/>
  <c r="C26" i="48"/>
  <c r="B170" i="64"/>
  <c r="E50" i="64"/>
  <c r="I30" i="64"/>
  <c r="G218" i="48"/>
  <c r="D60" i="64"/>
  <c r="D65" i="64"/>
  <c r="H35" i="64"/>
  <c r="N123" i="14"/>
  <c r="K34" i="91" l="1"/>
  <c r="K37" i="91" s="1"/>
  <c r="I209" i="64"/>
  <c r="N42" i="49"/>
  <c r="O263" i="48"/>
  <c r="B148" i="75" s="1"/>
  <c r="D148" i="75" s="1"/>
  <c r="E148" i="75" s="1"/>
  <c r="O266" i="48"/>
  <c r="B149" i="75" s="1"/>
  <c r="D149" i="75" s="1"/>
  <c r="E149" i="75" s="1"/>
  <c r="G109" i="70"/>
  <c r="F110" i="70"/>
  <c r="G300" i="48" s="1"/>
  <c r="I434" i="16"/>
  <c r="I386" i="16"/>
  <c r="H24" i="87"/>
  <c r="G25" i="87"/>
  <c r="G133" i="95"/>
  <c r="F134" i="95"/>
  <c r="G316" i="48" s="1"/>
  <c r="G178" i="61"/>
  <c r="F179" i="61"/>
  <c r="H109" i="49"/>
  <c r="G110" i="49"/>
  <c r="G135" i="85"/>
  <c r="F136" i="85"/>
  <c r="G306" i="48" s="1"/>
  <c r="N111" i="87"/>
  <c r="H75" i="84"/>
  <c r="G76" i="84"/>
  <c r="H87" i="95"/>
  <c r="G88" i="95"/>
  <c r="H214" i="48" s="1"/>
  <c r="F310" i="48"/>
  <c r="E340" i="48"/>
  <c r="H64" i="95"/>
  <c r="G65" i="95"/>
  <c r="H163" i="48" s="1"/>
  <c r="G107" i="84"/>
  <c r="F108" i="84"/>
  <c r="J144" i="18"/>
  <c r="I145" i="18"/>
  <c r="F127" i="49"/>
  <c r="G126" i="49"/>
  <c r="I169" i="18"/>
  <c r="H170" i="18"/>
  <c r="I431" i="4"/>
  <c r="F341" i="48"/>
  <c r="H63" i="86"/>
  <c r="G64" i="86"/>
  <c r="H160" i="48" s="1"/>
  <c r="G214" i="48"/>
  <c r="M91" i="79"/>
  <c r="M92" i="79" s="1"/>
  <c r="N252" i="48" s="1"/>
  <c r="L92" i="79"/>
  <c r="M252" i="48" s="1"/>
  <c r="E127" i="70"/>
  <c r="F126" i="70"/>
  <c r="G41" i="87"/>
  <c r="F42" i="87"/>
  <c r="H58" i="84"/>
  <c r="G59" i="84"/>
  <c r="K29" i="90"/>
  <c r="K29" i="89"/>
  <c r="K323" i="48"/>
  <c r="K370" i="48"/>
  <c r="K73" i="48"/>
  <c r="G133" i="87"/>
  <c r="F134" i="87"/>
  <c r="G310" i="48" s="1"/>
  <c r="H24" i="84"/>
  <c r="G25" i="84"/>
  <c r="F171" i="61"/>
  <c r="E172" i="61"/>
  <c r="F340" i="48" s="1"/>
  <c r="H24" i="95"/>
  <c r="G25" i="95"/>
  <c r="G41" i="84"/>
  <c r="F42" i="84"/>
  <c r="G40" i="86"/>
  <c r="F41" i="86"/>
  <c r="G114" i="48" s="1"/>
  <c r="F290" i="48"/>
  <c r="G157" i="48"/>
  <c r="E156" i="61"/>
  <c r="H23" i="86"/>
  <c r="G24" i="86"/>
  <c r="H69" i="48" s="1"/>
  <c r="G146" i="61"/>
  <c r="F147" i="61"/>
  <c r="G290" i="48" s="1"/>
  <c r="G156" i="87"/>
  <c r="F157" i="87"/>
  <c r="G41" i="95"/>
  <c r="F42" i="95"/>
  <c r="I449" i="64"/>
  <c r="I396" i="64"/>
  <c r="O260" i="48"/>
  <c r="B147" i="75" s="1"/>
  <c r="D147" i="75" s="1"/>
  <c r="E147" i="75" s="1"/>
  <c r="D181" i="61"/>
  <c r="G291" i="48"/>
  <c r="G155" i="86"/>
  <c r="F156" i="86"/>
  <c r="N110" i="86"/>
  <c r="H92" i="73"/>
  <c r="G93" i="73"/>
  <c r="H250" i="48" s="1"/>
  <c r="G156" i="95"/>
  <c r="F157" i="95"/>
  <c r="J30" i="90"/>
  <c r="J34" i="90" s="1"/>
  <c r="J30" i="89"/>
  <c r="J34" i="89" s="1"/>
  <c r="J178" i="64"/>
  <c r="J175" i="4"/>
  <c r="K138" i="4"/>
  <c r="K28" i="94"/>
  <c r="K173" i="4"/>
  <c r="K207" i="4" s="1"/>
  <c r="H64" i="87"/>
  <c r="G65" i="87"/>
  <c r="H157" i="48" s="1"/>
  <c r="G91" i="84"/>
  <c r="F92" i="84"/>
  <c r="K25" i="85"/>
  <c r="J26" i="85"/>
  <c r="G163" i="48"/>
  <c r="I293" i="48"/>
  <c r="H152" i="18"/>
  <c r="N111" i="95"/>
  <c r="H343" i="48"/>
  <c r="G177" i="18"/>
  <c r="G159" i="85"/>
  <c r="F160" i="85"/>
  <c r="J33" i="93"/>
  <c r="J34" i="93" s="1"/>
  <c r="J37" i="93" s="1"/>
  <c r="J384" i="16"/>
  <c r="J394" i="64"/>
  <c r="J384" i="4"/>
  <c r="J431" i="4" s="1"/>
  <c r="K367" i="48" s="1"/>
  <c r="K382" i="4"/>
  <c r="J432" i="4"/>
  <c r="I34" i="93"/>
  <c r="I37" i="93" s="1"/>
  <c r="H86" i="86"/>
  <c r="G87" i="86"/>
  <c r="G132" i="86"/>
  <c r="F133" i="86"/>
  <c r="G160" i="48"/>
  <c r="H153" i="61"/>
  <c r="G154" i="61"/>
  <c r="H87" i="87"/>
  <c r="G88" i="87"/>
  <c r="F425" i="64"/>
  <c r="E426" i="64"/>
  <c r="E448" i="64" s="1"/>
  <c r="F368" i="48" s="1"/>
  <c r="I415" i="16"/>
  <c r="H416" i="16"/>
  <c r="H433" i="16" s="1"/>
  <c r="I369" i="48" s="1"/>
  <c r="F430" i="64"/>
  <c r="F431" i="64" s="1"/>
  <c r="G420" i="64"/>
  <c r="F421" i="64"/>
  <c r="I420" i="16"/>
  <c r="I421" i="16" s="1"/>
  <c r="J410" i="16"/>
  <c r="I411" i="16"/>
  <c r="B405" i="64"/>
  <c r="B406" i="64" s="1"/>
  <c r="N406" i="64" s="1"/>
  <c r="B401" i="64"/>
  <c r="N401" i="64" s="1"/>
  <c r="I209" i="16"/>
  <c r="E326" i="48"/>
  <c r="E331" i="48" s="1"/>
  <c r="D326" i="48"/>
  <c r="D331" i="48" s="1"/>
  <c r="B206" i="4"/>
  <c r="C167" i="48" s="1"/>
  <c r="B126" i="4"/>
  <c r="B130" i="4"/>
  <c r="F68" i="4"/>
  <c r="G70" i="48" s="1"/>
  <c r="F126" i="4"/>
  <c r="F130" i="4"/>
  <c r="N116" i="4"/>
  <c r="N121" i="4"/>
  <c r="M272" i="4"/>
  <c r="M33" i="91" s="1"/>
  <c r="L274" i="64"/>
  <c r="L274" i="4"/>
  <c r="K69" i="4"/>
  <c r="G200" i="4"/>
  <c r="G203" i="4"/>
  <c r="G204" i="4" s="1"/>
  <c r="E200" i="4"/>
  <c r="E203" i="4"/>
  <c r="E204" i="4" s="1"/>
  <c r="I208" i="64"/>
  <c r="J168" i="48" s="1"/>
  <c r="F206" i="4"/>
  <c r="G167" i="48" s="1"/>
  <c r="J389" i="64"/>
  <c r="J336" i="64"/>
  <c r="H200" i="4"/>
  <c r="H203" i="4"/>
  <c r="H204" i="4" s="1"/>
  <c r="K334" i="64"/>
  <c r="K329" i="4"/>
  <c r="K329" i="16"/>
  <c r="L327" i="4"/>
  <c r="L33" i="92" s="1"/>
  <c r="L34" i="92" s="1"/>
  <c r="L37" i="92" s="1"/>
  <c r="K377" i="4"/>
  <c r="J206" i="4"/>
  <c r="K167" i="48" s="1"/>
  <c r="D200" i="4"/>
  <c r="D203" i="4"/>
  <c r="D204" i="4" s="1"/>
  <c r="C200" i="4"/>
  <c r="C203" i="4"/>
  <c r="C204" i="4" s="1"/>
  <c r="K274" i="16"/>
  <c r="K276" i="16" s="1"/>
  <c r="K276" i="64"/>
  <c r="I137" i="4"/>
  <c r="J116" i="48" s="1"/>
  <c r="K16" i="60"/>
  <c r="B101" i="75"/>
  <c r="D101" i="75" s="1"/>
  <c r="E101" i="75" s="1"/>
  <c r="C200" i="64"/>
  <c r="C203" i="64"/>
  <c r="C204" i="64" s="1"/>
  <c r="E200" i="64"/>
  <c r="E203" i="64"/>
  <c r="E204" i="64" s="1"/>
  <c r="D200" i="64"/>
  <c r="D203" i="64"/>
  <c r="D204" i="64" s="1"/>
  <c r="G200" i="64"/>
  <c r="G203" i="64"/>
  <c r="G204" i="64" s="1"/>
  <c r="F200" i="64"/>
  <c r="F203" i="64"/>
  <c r="F204" i="64" s="1"/>
  <c r="H200" i="64"/>
  <c r="H203" i="64"/>
  <c r="H204" i="64" s="1"/>
  <c r="C142" i="64"/>
  <c r="D117" i="48" s="1"/>
  <c r="D137" i="4"/>
  <c r="G137" i="4"/>
  <c r="H116" i="48" s="1"/>
  <c r="J58" i="64"/>
  <c r="J40" i="16"/>
  <c r="I68" i="64"/>
  <c r="L43" i="4"/>
  <c r="K38" i="16"/>
  <c r="K45" i="4"/>
  <c r="J129" i="64"/>
  <c r="J143" i="64" s="1"/>
  <c r="I131" i="64"/>
  <c r="K121" i="64"/>
  <c r="D68" i="75"/>
  <c r="E68" i="75" s="1"/>
  <c r="E135" i="64"/>
  <c r="E139" i="64" s="1"/>
  <c r="E140" i="64" s="1"/>
  <c r="D136" i="64"/>
  <c r="D67" i="64"/>
  <c r="E71" i="48" s="1"/>
  <c r="J116" i="64"/>
  <c r="J117" i="16"/>
  <c r="J138" i="16" s="1"/>
  <c r="J118" i="48"/>
  <c r="J50" i="16"/>
  <c r="F370" i="64"/>
  <c r="F371" i="64" s="1"/>
  <c r="G360" i="64"/>
  <c r="F361" i="64"/>
  <c r="B345" i="64"/>
  <c r="B346" i="64" s="1"/>
  <c r="N346" i="64" s="1"/>
  <c r="B341" i="64"/>
  <c r="N341" i="64" s="1"/>
  <c r="H379" i="16"/>
  <c r="H331" i="16"/>
  <c r="F365" i="64"/>
  <c r="E366" i="64"/>
  <c r="E388" i="64" s="1"/>
  <c r="F321" i="48" s="1"/>
  <c r="I360" i="16"/>
  <c r="H361" i="16"/>
  <c r="I365" i="16"/>
  <c r="I366" i="16" s="1"/>
  <c r="I356" i="16"/>
  <c r="J355" i="16"/>
  <c r="I89" i="24"/>
  <c r="I93" i="24"/>
  <c r="J295" i="48" s="1"/>
  <c r="H90" i="24"/>
  <c r="K124" i="18"/>
  <c r="J86" i="24"/>
  <c r="J87" i="24" s="1"/>
  <c r="J90" i="24" s="1"/>
  <c r="J125" i="18"/>
  <c r="O57" i="48"/>
  <c r="I195" i="4"/>
  <c r="N195" i="4" s="1"/>
  <c r="I199" i="4"/>
  <c r="B60" i="4"/>
  <c r="N60" i="4" s="1"/>
  <c r="B64" i="4"/>
  <c r="B65" i="4" s="1"/>
  <c r="N65" i="4" s="1"/>
  <c r="K116" i="48"/>
  <c r="K311" i="16"/>
  <c r="J314" i="64"/>
  <c r="J316" i="64" s="1"/>
  <c r="K319" i="16"/>
  <c r="K321" i="16" s="1"/>
  <c r="J314" i="4"/>
  <c r="J321" i="4" s="1"/>
  <c r="K270" i="48" s="1"/>
  <c r="J322" i="4"/>
  <c r="C259" i="4"/>
  <c r="C263" i="4"/>
  <c r="C264" i="4" s="1"/>
  <c r="K254" i="4"/>
  <c r="K259" i="64"/>
  <c r="L302" i="4"/>
  <c r="L30" i="91" s="1"/>
  <c r="K304" i="4"/>
  <c r="K304" i="64"/>
  <c r="K304" i="16" s="1"/>
  <c r="K306" i="16" s="1"/>
  <c r="J259" i="16"/>
  <c r="J261" i="16" s="1"/>
  <c r="J261" i="64"/>
  <c r="L53" i="4"/>
  <c r="K48" i="64"/>
  <c r="K48" i="16" s="1"/>
  <c r="K55" i="4"/>
  <c r="K183" i="64"/>
  <c r="K180" i="4"/>
  <c r="L175" i="4"/>
  <c r="M173" i="4"/>
  <c r="J179" i="16"/>
  <c r="J181" i="16" s="1"/>
  <c r="J185" i="64"/>
  <c r="I329" i="64"/>
  <c r="I323" i="16"/>
  <c r="J272" i="48" s="1"/>
  <c r="B259" i="4"/>
  <c r="B263" i="4"/>
  <c r="B264" i="4" s="1"/>
  <c r="I268" i="64"/>
  <c r="J219" i="48" s="1"/>
  <c r="J266" i="4"/>
  <c r="K218" i="48" s="1"/>
  <c r="G22" i="14"/>
  <c r="F23" i="14"/>
  <c r="K115" i="16"/>
  <c r="K139" i="16" s="1"/>
  <c r="L104" i="4"/>
  <c r="K106" i="4"/>
  <c r="K137" i="4" s="1"/>
  <c r="K319" i="4"/>
  <c r="K319" i="64"/>
  <c r="L317" i="4"/>
  <c r="L31" i="91" s="1"/>
  <c r="I241" i="16"/>
  <c r="I268" i="16" s="1"/>
  <c r="J220" i="48" s="1"/>
  <c r="I269" i="16"/>
  <c r="D24" i="18"/>
  <c r="E23" i="18"/>
  <c r="I103" i="61"/>
  <c r="H104" i="61"/>
  <c r="I187" i="48" s="1"/>
  <c r="C21" i="61"/>
  <c r="B22" i="61"/>
  <c r="H136" i="48"/>
  <c r="I324" i="16"/>
  <c r="J314" i="16"/>
  <c r="J321" i="64"/>
  <c r="G128" i="61"/>
  <c r="F129" i="61"/>
  <c r="G239" i="48" s="1"/>
  <c r="H268" i="16"/>
  <c r="I220" i="48" s="1"/>
  <c r="K239" i="64"/>
  <c r="L237" i="4"/>
  <c r="K239" i="4"/>
  <c r="K267" i="4"/>
  <c r="K249" i="4"/>
  <c r="K249" i="64"/>
  <c r="C46" i="61"/>
  <c r="B47" i="61"/>
  <c r="L309" i="64"/>
  <c r="L309" i="16" s="1"/>
  <c r="L309" i="4"/>
  <c r="I78" i="61"/>
  <c r="H79" i="61"/>
  <c r="I136" i="48" s="1"/>
  <c r="F301" i="64"/>
  <c r="F310" i="64"/>
  <c r="F311" i="64" s="1"/>
  <c r="G300" i="64"/>
  <c r="F97" i="61"/>
  <c r="G96" i="61"/>
  <c r="C24" i="70"/>
  <c r="B25" i="70"/>
  <c r="C59" i="48" s="1"/>
  <c r="I175" i="16"/>
  <c r="H176" i="16"/>
  <c r="H208" i="16" s="1"/>
  <c r="E306" i="64"/>
  <c r="E328" i="64" s="1"/>
  <c r="F305" i="64"/>
  <c r="G75" i="49"/>
  <c r="G76" i="49" s="1"/>
  <c r="G194" i="48"/>
  <c r="F79" i="18"/>
  <c r="G138" i="48"/>
  <c r="J53" i="61"/>
  <c r="I54" i="61"/>
  <c r="J239" i="16"/>
  <c r="J241" i="64"/>
  <c r="J269" i="64"/>
  <c r="J249" i="16"/>
  <c r="J251" i="16" s="1"/>
  <c r="J251" i="64"/>
  <c r="E131" i="61"/>
  <c r="F46" i="48"/>
  <c r="E32" i="14"/>
  <c r="O23" i="48"/>
  <c r="G58" i="70"/>
  <c r="G59" i="70" s="1"/>
  <c r="G145" i="48"/>
  <c r="F186" i="48"/>
  <c r="E106" i="61"/>
  <c r="H41" i="73"/>
  <c r="C31" i="18"/>
  <c r="D52" i="48"/>
  <c r="H187" i="48"/>
  <c r="H71" i="18"/>
  <c r="G72" i="18"/>
  <c r="O86" i="48"/>
  <c r="B38" i="75" s="1"/>
  <c r="B87" i="56"/>
  <c r="D87" i="56" s="1"/>
  <c r="E87" i="56" s="1"/>
  <c r="B100" i="75"/>
  <c r="J13" i="64"/>
  <c r="J15" i="4"/>
  <c r="J68" i="4" s="1"/>
  <c r="K70" i="48" s="1"/>
  <c r="L120" i="16"/>
  <c r="L122" i="16" s="1"/>
  <c r="L119" i="64"/>
  <c r="M109" i="4"/>
  <c r="L111" i="4"/>
  <c r="H169" i="48"/>
  <c r="I171" i="16"/>
  <c r="N242" i="4"/>
  <c r="M244" i="4"/>
  <c r="L299" i="64"/>
  <c r="M297" i="4"/>
  <c r="M29" i="91" s="1"/>
  <c r="L299" i="4"/>
  <c r="H41" i="70"/>
  <c r="H42" i="70" s="1"/>
  <c r="I75" i="73"/>
  <c r="J169" i="16"/>
  <c r="J175" i="64"/>
  <c r="I47" i="18"/>
  <c r="H48" i="18"/>
  <c r="I58" i="73"/>
  <c r="H15" i="16"/>
  <c r="H67" i="16" s="1"/>
  <c r="I72" i="48" s="1"/>
  <c r="L244" i="16"/>
  <c r="L246" i="16" s="1"/>
  <c r="L246" i="64"/>
  <c r="M300" i="16"/>
  <c r="M310" i="16" s="1"/>
  <c r="L310" i="16"/>
  <c r="B133" i="75"/>
  <c r="D133" i="75" s="1"/>
  <c r="E133" i="75" s="1"/>
  <c r="B114" i="56"/>
  <c r="I24" i="73"/>
  <c r="I13" i="16"/>
  <c r="I68" i="16" s="1"/>
  <c r="I15" i="64"/>
  <c r="B36" i="56"/>
  <c r="D36" i="56" s="1"/>
  <c r="E36" i="56" s="1"/>
  <c r="B39" i="75"/>
  <c r="D39" i="75" s="1"/>
  <c r="E39" i="75" s="1"/>
  <c r="K173" i="64"/>
  <c r="L168" i="4"/>
  <c r="K170" i="4"/>
  <c r="H27" i="48"/>
  <c r="H92" i="48"/>
  <c r="G55" i="18"/>
  <c r="I95" i="18"/>
  <c r="H96" i="18"/>
  <c r="L10" i="60"/>
  <c r="H121" i="61"/>
  <c r="G122" i="61"/>
  <c r="M20" i="64"/>
  <c r="L20" i="64"/>
  <c r="H71" i="61"/>
  <c r="G72" i="61"/>
  <c r="I119" i="18"/>
  <c r="H120" i="18"/>
  <c r="H92" i="70"/>
  <c r="H93" i="70" s="1"/>
  <c r="H248" i="48"/>
  <c r="G103" i="18"/>
  <c r="H189" i="48"/>
  <c r="K28" i="48"/>
  <c r="K119" i="48"/>
  <c r="K170" i="48"/>
  <c r="K221" i="48"/>
  <c r="K273" i="48"/>
  <c r="G238" i="48"/>
  <c r="G135" i="48"/>
  <c r="F81" i="61"/>
  <c r="H241" i="48"/>
  <c r="G127" i="18"/>
  <c r="K299" i="16"/>
  <c r="I75" i="70"/>
  <c r="I76" i="70" s="1"/>
  <c r="I196" i="48"/>
  <c r="G248" i="48"/>
  <c r="H92" i="49"/>
  <c r="H93" i="49" s="1"/>
  <c r="E270" i="48"/>
  <c r="E60" i="64"/>
  <c r="E65" i="64"/>
  <c r="H40" i="64"/>
  <c r="I39" i="64"/>
  <c r="J25" i="64"/>
  <c r="G45" i="64"/>
  <c r="N132" i="14"/>
  <c r="I35" i="64"/>
  <c r="B179" i="64"/>
  <c r="B175" i="64"/>
  <c r="B184" i="64"/>
  <c r="J30" i="64"/>
  <c r="N170" i="64"/>
  <c r="D26" i="48"/>
  <c r="F50" i="64"/>
  <c r="E181" i="61" l="1"/>
  <c r="L34" i="91"/>
  <c r="L37" i="91" s="1"/>
  <c r="F156" i="61"/>
  <c r="I153" i="61"/>
  <c r="H154" i="61"/>
  <c r="I86" i="86"/>
  <c r="H87" i="86"/>
  <c r="I211" i="48" s="1"/>
  <c r="K67" i="48"/>
  <c r="K32" i="94"/>
  <c r="J180" i="64"/>
  <c r="J208" i="64" s="1"/>
  <c r="K168" i="48" s="1"/>
  <c r="J174" i="16"/>
  <c r="J209" i="16" s="1"/>
  <c r="F127" i="70"/>
  <c r="G350" i="48" s="1"/>
  <c r="G126" i="70"/>
  <c r="I343" i="48"/>
  <c r="H177" i="18"/>
  <c r="J293" i="48"/>
  <c r="I152" i="18"/>
  <c r="H135" i="85"/>
  <c r="G136" i="85"/>
  <c r="H178" i="61"/>
  <c r="G179" i="61"/>
  <c r="L29" i="90"/>
  <c r="L34" i="90" s="1"/>
  <c r="L29" i="89"/>
  <c r="L34" i="89" s="1"/>
  <c r="L138" i="4"/>
  <c r="L28" i="94"/>
  <c r="L32" i="94" s="1"/>
  <c r="M104" i="4"/>
  <c r="M28" i="94" s="1"/>
  <c r="M30" i="90"/>
  <c r="M30" i="89"/>
  <c r="N33" i="91"/>
  <c r="O33" i="91"/>
  <c r="H208" i="48"/>
  <c r="G354" i="48"/>
  <c r="L25" i="85"/>
  <c r="K26" i="85"/>
  <c r="L67" i="48" s="1"/>
  <c r="I64" i="87"/>
  <c r="H65" i="87"/>
  <c r="I157" i="48" s="1"/>
  <c r="H156" i="95"/>
  <c r="G157" i="95"/>
  <c r="H363" i="48" s="1"/>
  <c r="H40" i="86"/>
  <c r="G41" i="86"/>
  <c r="I24" i="95"/>
  <c r="H25" i="95"/>
  <c r="I24" i="84"/>
  <c r="H25" i="84"/>
  <c r="I58" i="84"/>
  <c r="H59" i="84"/>
  <c r="H41" i="87"/>
  <c r="G42" i="87"/>
  <c r="H111" i="48" s="1"/>
  <c r="K144" i="18"/>
  <c r="J145" i="18"/>
  <c r="I64" i="95"/>
  <c r="H65" i="95"/>
  <c r="I163" i="48" s="1"/>
  <c r="I75" i="84"/>
  <c r="H76" i="84"/>
  <c r="H298" i="48"/>
  <c r="I24" i="87"/>
  <c r="H25" i="87"/>
  <c r="H109" i="70"/>
  <c r="G110" i="70"/>
  <c r="H300" i="48" s="1"/>
  <c r="O29" i="91"/>
  <c r="N29" i="91"/>
  <c r="E373" i="48"/>
  <c r="E378" i="48" s="1"/>
  <c r="H291" i="48"/>
  <c r="G313" i="48"/>
  <c r="H211" i="48"/>
  <c r="J434" i="16"/>
  <c r="J386" i="16"/>
  <c r="H91" i="84"/>
  <c r="G92" i="84"/>
  <c r="K30" i="90"/>
  <c r="K34" i="90" s="1"/>
  <c r="K30" i="89"/>
  <c r="K34" i="89" s="1"/>
  <c r="K178" i="64"/>
  <c r="K174" i="16" s="1"/>
  <c r="K175" i="4"/>
  <c r="K206" i="4" s="1"/>
  <c r="L167" i="48" s="1"/>
  <c r="I92" i="73"/>
  <c r="H93" i="73"/>
  <c r="I250" i="48" s="1"/>
  <c r="H41" i="95"/>
  <c r="G42" i="95"/>
  <c r="I23" i="86"/>
  <c r="H24" i="86"/>
  <c r="I69" i="48" s="1"/>
  <c r="H41" i="84"/>
  <c r="G42" i="84"/>
  <c r="G171" i="61"/>
  <c r="F172" i="61"/>
  <c r="G340" i="48" s="1"/>
  <c r="H133" i="87"/>
  <c r="G134" i="87"/>
  <c r="I63" i="86"/>
  <c r="H64" i="86"/>
  <c r="J367" i="48"/>
  <c r="G348" i="48"/>
  <c r="H107" i="84"/>
  <c r="G108" i="84"/>
  <c r="I87" i="95"/>
  <c r="H88" i="95"/>
  <c r="G341" i="48"/>
  <c r="F181" i="61"/>
  <c r="H133" i="95"/>
  <c r="G134" i="95"/>
  <c r="H132" i="86"/>
  <c r="G133" i="86"/>
  <c r="H313" i="48" s="1"/>
  <c r="K33" i="93"/>
  <c r="K34" i="93" s="1"/>
  <c r="K37" i="93" s="1"/>
  <c r="K394" i="64"/>
  <c r="K384" i="16"/>
  <c r="K384" i="4"/>
  <c r="K431" i="4" s="1"/>
  <c r="L367" i="48" s="1"/>
  <c r="L382" i="4"/>
  <c r="K432" i="4"/>
  <c r="G363" i="48"/>
  <c r="H146" i="61"/>
  <c r="G147" i="61"/>
  <c r="G156" i="61" s="1"/>
  <c r="G111" i="48"/>
  <c r="G360" i="48"/>
  <c r="G357" i="48"/>
  <c r="F350" i="48"/>
  <c r="F373" i="48" s="1"/>
  <c r="F378" i="48" s="1"/>
  <c r="J169" i="18"/>
  <c r="I170" i="18"/>
  <c r="L323" i="48"/>
  <c r="L370" i="48"/>
  <c r="L73" i="48"/>
  <c r="J209" i="64"/>
  <c r="I87" i="87"/>
  <c r="H88" i="87"/>
  <c r="I208" i="48" s="1"/>
  <c r="J449" i="64"/>
  <c r="J396" i="64"/>
  <c r="H159" i="85"/>
  <c r="G160" i="85"/>
  <c r="H354" i="48" s="1"/>
  <c r="H155" i="86"/>
  <c r="G156" i="86"/>
  <c r="H360" i="48" s="1"/>
  <c r="H156" i="87"/>
  <c r="G157" i="87"/>
  <c r="H357" i="48" s="1"/>
  <c r="G127" i="49"/>
  <c r="H348" i="48" s="1"/>
  <c r="H126" i="49"/>
  <c r="I109" i="49"/>
  <c r="H110" i="49"/>
  <c r="I298" i="48" s="1"/>
  <c r="J415" i="16"/>
  <c r="I416" i="16"/>
  <c r="I433" i="16" s="1"/>
  <c r="J369" i="48" s="1"/>
  <c r="H420" i="64"/>
  <c r="G421" i="64"/>
  <c r="G430" i="64"/>
  <c r="G431" i="64" s="1"/>
  <c r="J411" i="16"/>
  <c r="J420" i="16"/>
  <c r="J421" i="16" s="1"/>
  <c r="K410" i="16"/>
  <c r="G425" i="64"/>
  <c r="F426" i="64"/>
  <c r="F448" i="64" s="1"/>
  <c r="G368" i="48" s="1"/>
  <c r="B448" i="64"/>
  <c r="C368" i="48" s="1"/>
  <c r="F326" i="48"/>
  <c r="F331" i="48" s="1"/>
  <c r="H378" i="16"/>
  <c r="I322" i="48" s="1"/>
  <c r="B266" i="4"/>
  <c r="H206" i="4"/>
  <c r="I167" i="48" s="1"/>
  <c r="L69" i="4"/>
  <c r="C206" i="4"/>
  <c r="D167" i="48" s="1"/>
  <c r="B134" i="4"/>
  <c r="B135" i="4" s="1"/>
  <c r="B131" i="4"/>
  <c r="L207" i="4"/>
  <c r="F134" i="4"/>
  <c r="F135" i="4" s="1"/>
  <c r="F131" i="4"/>
  <c r="N126" i="4"/>
  <c r="M327" i="4"/>
  <c r="M33" i="92" s="1"/>
  <c r="L329" i="4"/>
  <c r="L376" i="4" s="1"/>
  <c r="M320" i="48" s="1"/>
  <c r="L334" i="64"/>
  <c r="L329" i="16"/>
  <c r="L377" i="4"/>
  <c r="L276" i="64"/>
  <c r="L274" i="16"/>
  <c r="L276" i="16" s="1"/>
  <c r="M178" i="64"/>
  <c r="I200" i="4"/>
  <c r="N200" i="4" s="1"/>
  <c r="I203" i="4"/>
  <c r="I204" i="4" s="1"/>
  <c r="N204" i="4" s="1"/>
  <c r="F208" i="64"/>
  <c r="G168" i="48" s="1"/>
  <c r="D208" i="64"/>
  <c r="E168" i="48" s="1"/>
  <c r="C208" i="64"/>
  <c r="D168" i="48" s="1"/>
  <c r="K389" i="64"/>
  <c r="K336" i="64"/>
  <c r="E206" i="4"/>
  <c r="F167" i="48" s="1"/>
  <c r="D206" i="4"/>
  <c r="E167" i="48" s="1"/>
  <c r="G206" i="4"/>
  <c r="H167" i="48" s="1"/>
  <c r="N272" i="4"/>
  <c r="M274" i="64"/>
  <c r="M274" i="4"/>
  <c r="N274" i="4" s="1"/>
  <c r="B68" i="4"/>
  <c r="C70" i="48" s="1"/>
  <c r="K376" i="4"/>
  <c r="H208" i="64"/>
  <c r="I168" i="48" s="1"/>
  <c r="G208" i="64"/>
  <c r="H168" i="48" s="1"/>
  <c r="E208" i="64"/>
  <c r="F168" i="48" s="1"/>
  <c r="L16" i="60"/>
  <c r="E116" i="48"/>
  <c r="D142" i="64"/>
  <c r="E117" i="48" s="1"/>
  <c r="J68" i="64"/>
  <c r="L180" i="64"/>
  <c r="K58" i="64"/>
  <c r="K40" i="16"/>
  <c r="M43" i="4"/>
  <c r="L38" i="16"/>
  <c r="L45" i="4"/>
  <c r="K129" i="64"/>
  <c r="K143" i="64" s="1"/>
  <c r="J131" i="64"/>
  <c r="L121" i="64"/>
  <c r="J329" i="64"/>
  <c r="B17" i="75"/>
  <c r="F135" i="64"/>
  <c r="F139" i="64" s="1"/>
  <c r="F140" i="64" s="1"/>
  <c r="E136" i="64"/>
  <c r="K116" i="64"/>
  <c r="I169" i="48"/>
  <c r="K117" i="16"/>
  <c r="K138" i="16" s="1"/>
  <c r="K118" i="48"/>
  <c r="E67" i="64"/>
  <c r="K50" i="16"/>
  <c r="F271" i="48"/>
  <c r="B388" i="64"/>
  <c r="C321" i="48" s="1"/>
  <c r="F366" i="64"/>
  <c r="F388" i="64" s="1"/>
  <c r="G321" i="48" s="1"/>
  <c r="G365" i="64"/>
  <c r="I379" i="16"/>
  <c r="I331" i="16"/>
  <c r="H360" i="64"/>
  <c r="G370" i="64"/>
  <c r="G371" i="64" s="1"/>
  <c r="G361" i="64"/>
  <c r="J365" i="16"/>
  <c r="J366" i="16" s="1"/>
  <c r="J356" i="16"/>
  <c r="K355" i="16"/>
  <c r="J360" i="16"/>
  <c r="I361" i="16"/>
  <c r="B17" i="56"/>
  <c r="D17" i="56" s="1"/>
  <c r="E17" i="56" s="1"/>
  <c r="H89" i="24"/>
  <c r="H93" i="24"/>
  <c r="I295" i="48" s="1"/>
  <c r="J89" i="24"/>
  <c r="J93" i="24"/>
  <c r="K295" i="48" s="1"/>
  <c r="K242" i="48"/>
  <c r="L124" i="18"/>
  <c r="K86" i="24"/>
  <c r="K125" i="18"/>
  <c r="L242" i="48" s="1"/>
  <c r="B35" i="56"/>
  <c r="D35" i="56" s="1"/>
  <c r="B132" i="75"/>
  <c r="F131" i="61"/>
  <c r="M175" i="4"/>
  <c r="L180" i="4"/>
  <c r="L183" i="64"/>
  <c r="N178" i="4"/>
  <c r="L48" i="64"/>
  <c r="M53" i="4"/>
  <c r="L55" i="4"/>
  <c r="L254" i="4"/>
  <c r="L259" i="64"/>
  <c r="K179" i="16"/>
  <c r="K181" i="16" s="1"/>
  <c r="K185" i="64"/>
  <c r="M302" i="4"/>
  <c r="M30" i="91" s="1"/>
  <c r="L304" i="4"/>
  <c r="L304" i="64"/>
  <c r="K314" i="64"/>
  <c r="K314" i="4"/>
  <c r="K321" i="4" s="1"/>
  <c r="L270" i="48" s="1"/>
  <c r="K322" i="4"/>
  <c r="K261" i="64"/>
  <c r="K259" i="16"/>
  <c r="K261" i="16" s="1"/>
  <c r="C266" i="4"/>
  <c r="D218" i="48" s="1"/>
  <c r="N264" i="4"/>
  <c r="N173" i="4"/>
  <c r="N259" i="4"/>
  <c r="J268" i="64"/>
  <c r="K219" i="48" s="1"/>
  <c r="L311" i="16"/>
  <c r="K266" i="4"/>
  <c r="L218" i="48" s="1"/>
  <c r="H58" i="70"/>
  <c r="H59" i="70" s="1"/>
  <c r="H145" i="48"/>
  <c r="J90" i="48"/>
  <c r="H96" i="61"/>
  <c r="G97" i="61"/>
  <c r="K249" i="16"/>
  <c r="K251" i="16" s="1"/>
  <c r="K251" i="64"/>
  <c r="G129" i="61"/>
  <c r="H239" i="48" s="1"/>
  <c r="H128" i="61"/>
  <c r="D21" i="61"/>
  <c r="C22" i="61"/>
  <c r="H22" i="14"/>
  <c r="G23" i="14"/>
  <c r="H138" i="48"/>
  <c r="G79" i="18"/>
  <c r="I41" i="73"/>
  <c r="K53" i="61"/>
  <c r="J54" i="61"/>
  <c r="K90" i="48" s="1"/>
  <c r="H75" i="49"/>
  <c r="H76" i="49" s="1"/>
  <c r="J175" i="16"/>
  <c r="I176" i="16"/>
  <c r="I208" i="16" s="1"/>
  <c r="G186" i="48"/>
  <c r="F106" i="61"/>
  <c r="G301" i="64"/>
  <c r="G310" i="64"/>
  <c r="G311" i="64" s="1"/>
  <c r="H300" i="64"/>
  <c r="J78" i="61"/>
  <c r="I79" i="61"/>
  <c r="J136" i="48" s="1"/>
  <c r="B56" i="61"/>
  <c r="C89" i="48"/>
  <c r="L239" i="64"/>
  <c r="M237" i="4"/>
  <c r="L239" i="4"/>
  <c r="L267" i="4"/>
  <c r="J103" i="61"/>
  <c r="I104" i="61"/>
  <c r="J187" i="48" s="1"/>
  <c r="I71" i="18"/>
  <c r="H72" i="18"/>
  <c r="F306" i="64"/>
  <c r="F328" i="64" s="1"/>
  <c r="G305" i="64"/>
  <c r="D46" i="61"/>
  <c r="C47" i="61"/>
  <c r="L249" i="64"/>
  <c r="L249" i="4"/>
  <c r="K239" i="16"/>
  <c r="K241" i="64"/>
  <c r="K269" i="64"/>
  <c r="J316" i="16"/>
  <c r="J323" i="16" s="1"/>
  <c r="K272" i="48" s="1"/>
  <c r="J324" i="16"/>
  <c r="F23" i="18"/>
  <c r="E24" i="18"/>
  <c r="L319" i="64"/>
  <c r="L319" i="4"/>
  <c r="M317" i="4"/>
  <c r="M31" i="91" s="1"/>
  <c r="J241" i="16"/>
  <c r="J269" i="16"/>
  <c r="D24" i="70"/>
  <c r="C25" i="70"/>
  <c r="D59" i="48" s="1"/>
  <c r="N307" i="4"/>
  <c r="M309" i="64"/>
  <c r="M309" i="4"/>
  <c r="N309" i="4" s="1"/>
  <c r="C49" i="48"/>
  <c r="C15" i="48"/>
  <c r="B31" i="61"/>
  <c r="D31" i="18"/>
  <c r="E52" i="48"/>
  <c r="K321" i="64"/>
  <c r="K314" i="16"/>
  <c r="K316" i="16" s="1"/>
  <c r="L106" i="4"/>
  <c r="L137" i="4" s="1"/>
  <c r="L115" i="16"/>
  <c r="L139" i="16" s="1"/>
  <c r="G46" i="48"/>
  <c r="F32" i="14"/>
  <c r="N20" i="64"/>
  <c r="D100" i="75"/>
  <c r="E100" i="75" s="1"/>
  <c r="I92" i="70"/>
  <c r="I93" i="70" s="1"/>
  <c r="J95" i="18"/>
  <c r="I96" i="18"/>
  <c r="J24" i="73"/>
  <c r="I92" i="48"/>
  <c r="H55" i="18"/>
  <c r="H99" i="48"/>
  <c r="M299" i="64"/>
  <c r="M299" i="4"/>
  <c r="N297" i="4"/>
  <c r="J13" i="16"/>
  <c r="J68" i="16" s="1"/>
  <c r="J15" i="64"/>
  <c r="K301" i="16"/>
  <c r="I189" i="48"/>
  <c r="H103" i="18"/>
  <c r="L173" i="64"/>
  <c r="M168" i="4"/>
  <c r="L170" i="4"/>
  <c r="J58" i="73"/>
  <c r="M120" i="16"/>
  <c r="M119" i="64"/>
  <c r="M111" i="4"/>
  <c r="N111" i="4" s="1"/>
  <c r="N109" i="4"/>
  <c r="K13" i="64"/>
  <c r="K15" i="4"/>
  <c r="K68" i="4" s="1"/>
  <c r="L70" i="48" s="1"/>
  <c r="I92" i="49"/>
  <c r="I93" i="49" s="1"/>
  <c r="I246" i="48"/>
  <c r="J75" i="70"/>
  <c r="J76" i="70" s="1"/>
  <c r="J196" i="48"/>
  <c r="J119" i="18"/>
  <c r="I120" i="18"/>
  <c r="I71" i="61"/>
  <c r="H72" i="61"/>
  <c r="I121" i="61"/>
  <c r="H122" i="61"/>
  <c r="M10" i="60"/>
  <c r="I15" i="16"/>
  <c r="I67" i="16" s="1"/>
  <c r="J72" i="48" s="1"/>
  <c r="L116" i="48"/>
  <c r="N244" i="4"/>
  <c r="H246" i="48"/>
  <c r="I241" i="48"/>
  <c r="H127" i="18"/>
  <c r="H135" i="48"/>
  <c r="G81" i="61"/>
  <c r="H238" i="48"/>
  <c r="L273" i="48"/>
  <c r="L28" i="48"/>
  <c r="L119" i="48"/>
  <c r="L221" i="48"/>
  <c r="L170" i="48"/>
  <c r="K169" i="16"/>
  <c r="K175" i="64"/>
  <c r="J47" i="18"/>
  <c r="I48" i="18"/>
  <c r="J171" i="16"/>
  <c r="J75" i="73"/>
  <c r="I41" i="70"/>
  <c r="I42" i="70" s="1"/>
  <c r="I99" i="48"/>
  <c r="L299" i="16"/>
  <c r="M244" i="16"/>
  <c r="M246" i="64"/>
  <c r="F65" i="64"/>
  <c r="F60" i="64"/>
  <c r="E26" i="48"/>
  <c r="K30" i="64"/>
  <c r="B185" i="64"/>
  <c r="B189" i="64"/>
  <c r="D38" i="75"/>
  <c r="K25" i="64"/>
  <c r="H45" i="64"/>
  <c r="G50" i="64"/>
  <c r="J35" i="64"/>
  <c r="J39" i="64"/>
  <c r="I40" i="64"/>
  <c r="K180" i="64" l="1"/>
  <c r="K434" i="16"/>
  <c r="K386" i="16"/>
  <c r="J63" i="86"/>
  <c r="I64" i="86"/>
  <c r="J160" i="48" s="1"/>
  <c r="G172" i="61"/>
  <c r="H171" i="61"/>
  <c r="I41" i="95"/>
  <c r="H42" i="95"/>
  <c r="J58" i="84"/>
  <c r="I59" i="84"/>
  <c r="J153" i="61"/>
  <c r="I154" i="61"/>
  <c r="K449" i="64"/>
  <c r="K396" i="64"/>
  <c r="I214" i="48"/>
  <c r="H310" i="48"/>
  <c r="J64" i="95"/>
  <c r="I65" i="95"/>
  <c r="M32" i="94"/>
  <c r="O28" i="94"/>
  <c r="O32" i="94" s="1"/>
  <c r="I135" i="85"/>
  <c r="H136" i="85"/>
  <c r="I306" i="48" s="1"/>
  <c r="N28" i="94"/>
  <c r="N32" i="94" s="1"/>
  <c r="K209" i="64"/>
  <c r="J109" i="49"/>
  <c r="I110" i="49"/>
  <c r="I159" i="85"/>
  <c r="H160" i="85"/>
  <c r="I354" i="48" s="1"/>
  <c r="I146" i="61"/>
  <c r="H147" i="61"/>
  <c r="I290" i="48" s="1"/>
  <c r="L33" i="93"/>
  <c r="L34" i="93" s="1"/>
  <c r="L37" i="93" s="1"/>
  <c r="L384" i="16"/>
  <c r="L394" i="64"/>
  <c r="L384" i="4"/>
  <c r="L431" i="4" s="1"/>
  <c r="M382" i="4"/>
  <c r="L432" i="4"/>
  <c r="I133" i="95"/>
  <c r="H134" i="95"/>
  <c r="I316" i="48" s="1"/>
  <c r="J87" i="95"/>
  <c r="I88" i="95"/>
  <c r="J214" i="48" s="1"/>
  <c r="I107" i="84"/>
  <c r="H108" i="84"/>
  <c r="I133" i="87"/>
  <c r="H134" i="87"/>
  <c r="I310" i="48" s="1"/>
  <c r="I41" i="84"/>
  <c r="H42" i="84"/>
  <c r="J23" i="86"/>
  <c r="I24" i="86"/>
  <c r="J69" i="48" s="1"/>
  <c r="J92" i="73"/>
  <c r="I93" i="73"/>
  <c r="J250" i="48" s="1"/>
  <c r="K293" i="48"/>
  <c r="J152" i="18"/>
  <c r="I41" i="87"/>
  <c r="H42" i="87"/>
  <c r="I111" i="48" s="1"/>
  <c r="J24" i="84"/>
  <c r="I25" i="84"/>
  <c r="I40" i="86"/>
  <c r="H41" i="86"/>
  <c r="I114" i="48" s="1"/>
  <c r="J64" i="87"/>
  <c r="I65" i="87"/>
  <c r="J157" i="48" s="1"/>
  <c r="H341" i="48"/>
  <c r="J86" i="86"/>
  <c r="I87" i="86"/>
  <c r="J211" i="48" s="1"/>
  <c r="M370" i="48"/>
  <c r="M73" i="48"/>
  <c r="H127" i="49"/>
  <c r="I348" i="48" s="1"/>
  <c r="I126" i="49"/>
  <c r="J343" i="48"/>
  <c r="I177" i="18"/>
  <c r="I132" i="86"/>
  <c r="H133" i="86"/>
  <c r="I313" i="48" s="1"/>
  <c r="I91" i="84"/>
  <c r="H92" i="84"/>
  <c r="J24" i="95"/>
  <c r="I25" i="95"/>
  <c r="I156" i="95"/>
  <c r="H157" i="95"/>
  <c r="M25" i="85"/>
  <c r="M26" i="85" s="1"/>
  <c r="L26" i="85"/>
  <c r="M67" i="48" s="1"/>
  <c r="N30" i="90"/>
  <c r="O30" i="90"/>
  <c r="H306" i="48"/>
  <c r="M29" i="90"/>
  <c r="M29" i="89"/>
  <c r="M323" i="48"/>
  <c r="I156" i="87"/>
  <c r="H157" i="87"/>
  <c r="I357" i="48" s="1"/>
  <c r="K169" i="18"/>
  <c r="J170" i="18"/>
  <c r="H290" i="48"/>
  <c r="H316" i="48"/>
  <c r="I109" i="70"/>
  <c r="H110" i="70"/>
  <c r="I300" i="48" s="1"/>
  <c r="H114" i="48"/>
  <c r="M138" i="4"/>
  <c r="N138" i="4" s="1"/>
  <c r="O31" i="91"/>
  <c r="N31" i="91"/>
  <c r="N30" i="91"/>
  <c r="O30" i="91"/>
  <c r="M34" i="92"/>
  <c r="M37" i="92" s="1"/>
  <c r="N33" i="92"/>
  <c r="N34" i="92" s="1"/>
  <c r="N37" i="92" s="1"/>
  <c r="O33" i="92"/>
  <c r="O34" i="92" s="1"/>
  <c r="O37" i="92" s="1"/>
  <c r="I155" i="86"/>
  <c r="H156" i="86"/>
  <c r="J87" i="87"/>
  <c r="I88" i="87"/>
  <c r="J208" i="48" s="1"/>
  <c r="I160" i="48"/>
  <c r="M34" i="91"/>
  <c r="M37" i="91" s="1"/>
  <c r="J24" i="87"/>
  <c r="I25" i="87"/>
  <c r="J75" i="84"/>
  <c r="I76" i="84"/>
  <c r="L144" i="18"/>
  <c r="K145" i="18"/>
  <c r="N30" i="89"/>
  <c r="O30" i="89"/>
  <c r="I178" i="61"/>
  <c r="H179" i="61"/>
  <c r="G127" i="70"/>
  <c r="H350" i="48" s="1"/>
  <c r="H126" i="70"/>
  <c r="I291" i="48"/>
  <c r="H156" i="61"/>
  <c r="H425" i="64"/>
  <c r="G426" i="64"/>
  <c r="L410" i="16"/>
  <c r="K411" i="16"/>
  <c r="K420" i="16"/>
  <c r="K421" i="16" s="1"/>
  <c r="G448" i="64"/>
  <c r="H368" i="48" s="1"/>
  <c r="J416" i="16"/>
  <c r="J433" i="16" s="1"/>
  <c r="K369" i="48" s="1"/>
  <c r="K415" i="16"/>
  <c r="I420" i="64"/>
  <c r="H430" i="64"/>
  <c r="H431" i="64" s="1"/>
  <c r="H421" i="64"/>
  <c r="F26" i="48"/>
  <c r="F71" i="48"/>
  <c r="G326" i="48"/>
  <c r="G331" i="48" s="1"/>
  <c r="G373" i="48"/>
  <c r="G378" i="48" s="1"/>
  <c r="C373" i="48"/>
  <c r="C378" i="48" s="1"/>
  <c r="D17" i="75"/>
  <c r="E17" i="75" s="1"/>
  <c r="K209" i="16"/>
  <c r="L206" i="4"/>
  <c r="F137" i="4"/>
  <c r="G116" i="48" s="1"/>
  <c r="N135" i="4"/>
  <c r="L209" i="64"/>
  <c r="M69" i="4"/>
  <c r="N69" i="4" s="1"/>
  <c r="M207" i="4"/>
  <c r="N207" i="4" s="1"/>
  <c r="I206" i="4"/>
  <c r="J167" i="48" s="1"/>
  <c r="N131" i="4"/>
  <c r="B137" i="4"/>
  <c r="C116" i="48" s="1"/>
  <c r="L320" i="48"/>
  <c r="L389" i="64"/>
  <c r="L336" i="64"/>
  <c r="M329" i="16"/>
  <c r="M329" i="4"/>
  <c r="M334" i="64"/>
  <c r="M377" i="4"/>
  <c r="N377" i="4" s="1"/>
  <c r="N327" i="4"/>
  <c r="K208" i="64"/>
  <c r="L168" i="48" s="1"/>
  <c r="M274" i="16"/>
  <c r="M276" i="64"/>
  <c r="N274" i="64"/>
  <c r="N53" i="4"/>
  <c r="N175" i="4"/>
  <c r="C218" i="48"/>
  <c r="M16" i="60"/>
  <c r="E142" i="64"/>
  <c r="F117" i="48" s="1"/>
  <c r="L118" i="48"/>
  <c r="K68" i="64"/>
  <c r="M180" i="64"/>
  <c r="L174" i="16"/>
  <c r="M38" i="16"/>
  <c r="M45" i="4"/>
  <c r="N45" i="4" s="1"/>
  <c r="N43" i="4"/>
  <c r="L322" i="4"/>
  <c r="L319" i="16"/>
  <c r="L321" i="16" s="1"/>
  <c r="L58" i="64"/>
  <c r="L40" i="16"/>
  <c r="K131" i="64"/>
  <c r="L129" i="64"/>
  <c r="L143" i="64" s="1"/>
  <c r="D132" i="75"/>
  <c r="E132" i="75" s="1"/>
  <c r="G135" i="64"/>
  <c r="G139" i="64" s="1"/>
  <c r="G140" i="64" s="1"/>
  <c r="F136" i="64"/>
  <c r="J169" i="48"/>
  <c r="F67" i="64"/>
  <c r="G71" i="48" s="1"/>
  <c r="I378" i="16"/>
  <c r="J322" i="48" s="1"/>
  <c r="G366" i="64"/>
  <c r="G388" i="64" s="1"/>
  <c r="H321" i="48" s="1"/>
  <c r="H365" i="64"/>
  <c r="I360" i="64"/>
  <c r="H370" i="64"/>
  <c r="H371" i="64" s="1"/>
  <c r="H361" i="64"/>
  <c r="G379" i="16"/>
  <c r="G331" i="16"/>
  <c r="G378" i="16" s="1"/>
  <c r="H322" i="48" s="1"/>
  <c r="G271" i="48"/>
  <c r="C326" i="48"/>
  <c r="C331" i="48" s="1"/>
  <c r="L355" i="16"/>
  <c r="K356" i="16"/>
  <c r="K365" i="16"/>
  <c r="K366" i="16" s="1"/>
  <c r="K360" i="16"/>
  <c r="J361" i="16"/>
  <c r="G131" i="61"/>
  <c r="M124" i="18"/>
  <c r="L86" i="24"/>
  <c r="L87" i="24" s="1"/>
  <c r="L90" i="24" s="1"/>
  <c r="L125" i="18"/>
  <c r="K87" i="24"/>
  <c r="K90" i="24" s="1"/>
  <c r="M167" i="48"/>
  <c r="M116" i="48"/>
  <c r="K316" i="64"/>
  <c r="K329" i="64"/>
  <c r="L259" i="16"/>
  <c r="L261" i="16" s="1"/>
  <c r="L261" i="64"/>
  <c r="L304" i="16"/>
  <c r="L48" i="16"/>
  <c r="M180" i="4"/>
  <c r="N180" i="4" s="1"/>
  <c r="M183" i="64"/>
  <c r="M55" i="4"/>
  <c r="N55" i="4" s="1"/>
  <c r="M48" i="64"/>
  <c r="M48" i="16" s="1"/>
  <c r="L314" i="64"/>
  <c r="L329" i="64" s="1"/>
  <c r="L314" i="4"/>
  <c r="M304" i="4"/>
  <c r="N304" i="4" s="1"/>
  <c r="M304" i="64"/>
  <c r="M304" i="16" s="1"/>
  <c r="M306" i="16" s="1"/>
  <c r="N302" i="4"/>
  <c r="N252" i="4"/>
  <c r="M259" i="64"/>
  <c r="N259" i="64" s="1"/>
  <c r="M254" i="4"/>
  <c r="N254" i="4" s="1"/>
  <c r="L179" i="16"/>
  <c r="L181" i="16" s="1"/>
  <c r="L185" i="64"/>
  <c r="K324" i="16"/>
  <c r="K268" i="64"/>
  <c r="L219" i="48" s="1"/>
  <c r="L116" i="64"/>
  <c r="M309" i="16"/>
  <c r="N309" i="64"/>
  <c r="N317" i="4"/>
  <c r="M319" i="64"/>
  <c r="M319" i="4"/>
  <c r="N319" i="4" s="1"/>
  <c r="F24" i="18"/>
  <c r="G23" i="18"/>
  <c r="M249" i="64"/>
  <c r="M249" i="4"/>
  <c r="N249" i="4" s="1"/>
  <c r="H305" i="64"/>
  <c r="G306" i="64"/>
  <c r="G328" i="64" s="1"/>
  <c r="L239" i="16"/>
  <c r="L241" i="64"/>
  <c r="L269" i="64"/>
  <c r="K78" i="61"/>
  <c r="J79" i="61"/>
  <c r="K136" i="48" s="1"/>
  <c r="H194" i="48"/>
  <c r="D15" i="48"/>
  <c r="D31" i="48" s="1"/>
  <c r="D41" i="48" s="1"/>
  <c r="C31" i="61"/>
  <c r="D49" i="48"/>
  <c r="L117" i="16"/>
  <c r="L138" i="16" s="1"/>
  <c r="C31" i="48"/>
  <c r="C41" i="48" s="1"/>
  <c r="J268" i="16"/>
  <c r="K220" i="48" s="1"/>
  <c r="L249" i="16"/>
  <c r="L251" i="16" s="1"/>
  <c r="L251" i="64"/>
  <c r="H301" i="64"/>
  <c r="H310" i="64"/>
  <c r="H311" i="64" s="1"/>
  <c r="I300" i="64"/>
  <c r="I75" i="49"/>
  <c r="I76" i="49" s="1"/>
  <c r="I194" i="48"/>
  <c r="J41" i="73"/>
  <c r="E21" i="61"/>
  <c r="D22" i="61"/>
  <c r="M115" i="16"/>
  <c r="M106" i="4"/>
  <c r="M137" i="4" s="1"/>
  <c r="N104" i="4"/>
  <c r="L314" i="16"/>
  <c r="L321" i="64"/>
  <c r="K241" i="16"/>
  <c r="K268" i="16" s="1"/>
  <c r="L220" i="48" s="1"/>
  <c r="K269" i="16"/>
  <c r="D89" i="48"/>
  <c r="C56" i="61"/>
  <c r="I138" i="48"/>
  <c r="H79" i="18"/>
  <c r="L266" i="4"/>
  <c r="M218" i="48" s="1"/>
  <c r="H46" i="48"/>
  <c r="G32" i="14"/>
  <c r="I128" i="61"/>
  <c r="H129" i="61"/>
  <c r="I239" i="48" s="1"/>
  <c r="H186" i="48"/>
  <c r="G106" i="61"/>
  <c r="N247" i="4"/>
  <c r="E24" i="70"/>
  <c r="D25" i="70"/>
  <c r="E59" i="48" s="1"/>
  <c r="F52" i="48"/>
  <c r="E31" i="18"/>
  <c r="E46" i="61"/>
  <c r="D47" i="61"/>
  <c r="J71" i="18"/>
  <c r="I72" i="18"/>
  <c r="K103" i="61"/>
  <c r="J104" i="61"/>
  <c r="K187" i="48" s="1"/>
  <c r="N237" i="4"/>
  <c r="M239" i="64"/>
  <c r="M239" i="4"/>
  <c r="M267" i="4"/>
  <c r="N267" i="4" s="1"/>
  <c r="K175" i="16"/>
  <c r="J176" i="16"/>
  <c r="J208" i="16" s="1"/>
  <c r="L53" i="61"/>
  <c r="K54" i="61"/>
  <c r="I22" i="14"/>
  <c r="H23" i="14"/>
  <c r="I96" i="61"/>
  <c r="H97" i="61"/>
  <c r="I58" i="70"/>
  <c r="I59" i="70" s="1"/>
  <c r="I145" i="48"/>
  <c r="J27" i="48"/>
  <c r="N10" i="60"/>
  <c r="N16" i="60" s="1"/>
  <c r="J71" i="61"/>
  <c r="I72" i="61"/>
  <c r="L13" i="64"/>
  <c r="L15" i="4"/>
  <c r="L68" i="4" s="1"/>
  <c r="M70" i="48" s="1"/>
  <c r="K323" i="16"/>
  <c r="L272" i="48" s="1"/>
  <c r="J189" i="48"/>
  <c r="I103" i="18"/>
  <c r="J41" i="70"/>
  <c r="J42" i="70" s="1"/>
  <c r="J99" i="48"/>
  <c r="K47" i="18"/>
  <c r="J48" i="18"/>
  <c r="M28" i="48"/>
  <c r="M273" i="48"/>
  <c r="M170" i="48"/>
  <c r="M119" i="48"/>
  <c r="M221" i="48"/>
  <c r="I135" i="48"/>
  <c r="H81" i="61"/>
  <c r="K75" i="70"/>
  <c r="K76" i="70" s="1"/>
  <c r="M122" i="16"/>
  <c r="N122" i="16" s="1"/>
  <c r="N120" i="16"/>
  <c r="K58" i="73"/>
  <c r="L169" i="16"/>
  <c r="L175" i="64"/>
  <c r="M299" i="16"/>
  <c r="N299" i="64"/>
  <c r="K24" i="73"/>
  <c r="J92" i="70"/>
  <c r="J93" i="70" s="1"/>
  <c r="J248" i="48"/>
  <c r="J92" i="48"/>
  <c r="I55" i="18"/>
  <c r="K171" i="16"/>
  <c r="J121" i="61"/>
  <c r="I122" i="61"/>
  <c r="K119" i="18"/>
  <c r="J120" i="18"/>
  <c r="M121" i="64"/>
  <c r="N121" i="64" s="1"/>
  <c r="N119" i="64"/>
  <c r="M173" i="64"/>
  <c r="M170" i="4"/>
  <c r="N168" i="4"/>
  <c r="N299" i="4"/>
  <c r="I248" i="48"/>
  <c r="M246" i="16"/>
  <c r="L301" i="16"/>
  <c r="K75" i="73"/>
  <c r="I27" i="48"/>
  <c r="I238" i="48"/>
  <c r="J241" i="48"/>
  <c r="I127" i="18"/>
  <c r="J92" i="49"/>
  <c r="J93" i="49" s="1"/>
  <c r="K13" i="16"/>
  <c r="K68" i="16" s="1"/>
  <c r="K15" i="64"/>
  <c r="J15" i="16"/>
  <c r="J67" i="16" s="1"/>
  <c r="K72" i="48" s="1"/>
  <c r="K95" i="18"/>
  <c r="J96" i="18"/>
  <c r="M25" i="64"/>
  <c r="L25" i="64"/>
  <c r="E38" i="75"/>
  <c r="L30" i="64"/>
  <c r="M30" i="64"/>
  <c r="E35" i="56"/>
  <c r="J40" i="64"/>
  <c r="K39" i="64"/>
  <c r="K35" i="64"/>
  <c r="H50" i="64"/>
  <c r="B194" i="64"/>
  <c r="B190" i="64"/>
  <c r="N190" i="64" s="1"/>
  <c r="G65" i="64"/>
  <c r="G60" i="64"/>
  <c r="I45" i="64"/>
  <c r="N34" i="91" l="1"/>
  <c r="O34" i="91"/>
  <c r="N323" i="48"/>
  <c r="O323" i="48" s="1"/>
  <c r="B185" i="75" s="1"/>
  <c r="D185" i="75" s="1"/>
  <c r="E185" i="75" s="1"/>
  <c r="B164" i="75" s="1"/>
  <c r="N370" i="48"/>
  <c r="O370" i="48" s="1"/>
  <c r="B216" i="75" s="1"/>
  <c r="D216" i="75" s="1"/>
  <c r="E216" i="75" s="1"/>
  <c r="N73" i="48"/>
  <c r="O73" i="48" s="1"/>
  <c r="B27" i="75" s="1"/>
  <c r="D27" i="75" s="1"/>
  <c r="E27" i="75" s="1"/>
  <c r="L293" i="48"/>
  <c r="K152" i="18"/>
  <c r="K343" i="48"/>
  <c r="J177" i="18"/>
  <c r="N67" i="48"/>
  <c r="O67" i="48" s="1"/>
  <c r="B24" i="75" s="1"/>
  <c r="D24" i="75" s="1"/>
  <c r="E24" i="75" s="1"/>
  <c r="N26" i="85"/>
  <c r="J107" i="84"/>
  <c r="I108" i="84"/>
  <c r="J133" i="95"/>
  <c r="I134" i="95"/>
  <c r="J146" i="61"/>
  <c r="I147" i="61"/>
  <c r="J159" i="85"/>
  <c r="I160" i="85"/>
  <c r="H340" i="48"/>
  <c r="H373" i="48" s="1"/>
  <c r="H378" i="48" s="1"/>
  <c r="I341" i="48"/>
  <c r="K75" i="84"/>
  <c r="J76" i="84"/>
  <c r="K87" i="87"/>
  <c r="J88" i="87"/>
  <c r="K208" i="48" s="1"/>
  <c r="J156" i="87"/>
  <c r="I157" i="87"/>
  <c r="J357" i="48" s="1"/>
  <c r="G181" i="61"/>
  <c r="K64" i="87"/>
  <c r="J65" i="87"/>
  <c r="K157" i="48" s="1"/>
  <c r="K24" i="84"/>
  <c r="J25" i="84"/>
  <c r="M367" i="48"/>
  <c r="K64" i="95"/>
  <c r="J65" i="95"/>
  <c r="K163" i="48" s="1"/>
  <c r="J291" i="48"/>
  <c r="K58" i="84"/>
  <c r="J59" i="84"/>
  <c r="I171" i="61"/>
  <c r="H172" i="61"/>
  <c r="I340" i="48" s="1"/>
  <c r="K24" i="95"/>
  <c r="J25" i="95"/>
  <c r="J41" i="84"/>
  <c r="I42" i="84"/>
  <c r="H127" i="70"/>
  <c r="I350" i="48" s="1"/>
  <c r="I126" i="70"/>
  <c r="M144" i="18"/>
  <c r="M145" i="18" s="1"/>
  <c r="L145" i="18"/>
  <c r="K24" i="87"/>
  <c r="J25" i="87"/>
  <c r="I360" i="48"/>
  <c r="L169" i="18"/>
  <c r="K170" i="18"/>
  <c r="M34" i="89"/>
  <c r="N29" i="89"/>
  <c r="N34" i="89" s="1"/>
  <c r="O29" i="89"/>
  <c r="O34" i="89" s="1"/>
  <c r="I363" i="48"/>
  <c r="K86" i="86"/>
  <c r="J87" i="86"/>
  <c r="K211" i="48" s="1"/>
  <c r="J40" i="86"/>
  <c r="I41" i="86"/>
  <c r="J114" i="48" s="1"/>
  <c r="J41" i="87"/>
  <c r="I42" i="87"/>
  <c r="L434" i="16"/>
  <c r="L386" i="16"/>
  <c r="J298" i="48"/>
  <c r="J178" i="61"/>
  <c r="I179" i="61"/>
  <c r="J132" i="86"/>
  <c r="I133" i="86"/>
  <c r="I127" i="49"/>
  <c r="J126" i="49"/>
  <c r="K92" i="73"/>
  <c r="J93" i="73"/>
  <c r="K250" i="48" s="1"/>
  <c r="L449" i="64"/>
  <c r="L396" i="64"/>
  <c r="K153" i="61"/>
  <c r="J154" i="61"/>
  <c r="J155" i="86"/>
  <c r="I156" i="86"/>
  <c r="J360" i="48" s="1"/>
  <c r="J109" i="70"/>
  <c r="I110" i="70"/>
  <c r="J300" i="48" s="1"/>
  <c r="M34" i="90"/>
  <c r="O29" i="90"/>
  <c r="O34" i="90" s="1"/>
  <c r="N29" i="90"/>
  <c r="N34" i="90" s="1"/>
  <c r="J156" i="95"/>
  <c r="I157" i="95"/>
  <c r="J363" i="48" s="1"/>
  <c r="J91" i="84"/>
  <c r="I92" i="84"/>
  <c r="K23" i="86"/>
  <c r="J24" i="86"/>
  <c r="K69" i="48" s="1"/>
  <c r="J133" i="87"/>
  <c r="I134" i="87"/>
  <c r="J310" i="48" s="1"/>
  <c r="K87" i="95"/>
  <c r="J88" i="95"/>
  <c r="K214" i="48" s="1"/>
  <c r="M33" i="93"/>
  <c r="M394" i="64"/>
  <c r="M384" i="16"/>
  <c r="M384" i="4"/>
  <c r="M432" i="4"/>
  <c r="N432" i="4" s="1"/>
  <c r="N382" i="4"/>
  <c r="K109" i="49"/>
  <c r="J110" i="49"/>
  <c r="K298" i="48" s="1"/>
  <c r="J135" i="85"/>
  <c r="I136" i="85"/>
  <c r="J306" i="48" s="1"/>
  <c r="J163" i="48"/>
  <c r="J41" i="95"/>
  <c r="I42" i="95"/>
  <c r="K63" i="86"/>
  <c r="J64" i="86"/>
  <c r="M410" i="16"/>
  <c r="L420" i="16"/>
  <c r="L421" i="16" s="1"/>
  <c r="L411" i="16"/>
  <c r="I430" i="64"/>
  <c r="I431" i="64" s="1"/>
  <c r="I421" i="64"/>
  <c r="J420" i="64"/>
  <c r="H426" i="64"/>
  <c r="H448" i="64" s="1"/>
  <c r="I368" i="48" s="1"/>
  <c r="I425" i="64"/>
  <c r="K416" i="16"/>
  <c r="K433" i="16" s="1"/>
  <c r="L369" i="48" s="1"/>
  <c r="L415" i="16"/>
  <c r="M209" i="64"/>
  <c r="L208" i="64"/>
  <c r="M168" i="48" s="1"/>
  <c r="M206" i="4"/>
  <c r="N206" i="4" s="1"/>
  <c r="N137" i="4"/>
  <c r="M376" i="4"/>
  <c r="N329" i="4"/>
  <c r="L209" i="16"/>
  <c r="N274" i="16"/>
  <c r="M276" i="16"/>
  <c r="N276" i="16" s="1"/>
  <c r="M389" i="64"/>
  <c r="M336" i="64"/>
  <c r="N336" i="64" s="1"/>
  <c r="N334" i="64"/>
  <c r="F142" i="64"/>
  <c r="G117" i="48" s="1"/>
  <c r="M139" i="16"/>
  <c r="N139" i="16" s="1"/>
  <c r="P138" i="4" s="1"/>
  <c r="L68" i="64"/>
  <c r="M174" i="16"/>
  <c r="M322" i="4"/>
  <c r="N322" i="4" s="1"/>
  <c r="M319" i="16"/>
  <c r="M58" i="64"/>
  <c r="N58" i="64" s="1"/>
  <c r="M40" i="16"/>
  <c r="N40" i="16" s="1"/>
  <c r="N38" i="16"/>
  <c r="M129" i="64"/>
  <c r="M143" i="64" s="1"/>
  <c r="N143" i="64" s="1"/>
  <c r="O138" i="4" s="1"/>
  <c r="L131" i="64"/>
  <c r="G136" i="64"/>
  <c r="H135" i="64"/>
  <c r="H139" i="64" s="1"/>
  <c r="H140" i="64" s="1"/>
  <c r="G67" i="64"/>
  <c r="K169" i="48"/>
  <c r="M118" i="48"/>
  <c r="H326" i="48"/>
  <c r="H331" i="48" s="1"/>
  <c r="M50" i="16"/>
  <c r="I365" i="64"/>
  <c r="H366" i="64"/>
  <c r="H388" i="64" s="1"/>
  <c r="I321" i="48" s="1"/>
  <c r="L379" i="16"/>
  <c r="L331" i="16"/>
  <c r="K379" i="16"/>
  <c r="K331" i="16"/>
  <c r="I361" i="64"/>
  <c r="J360" i="64"/>
  <c r="I370" i="64"/>
  <c r="I371" i="64" s="1"/>
  <c r="H271" i="48"/>
  <c r="H276" i="48" s="1"/>
  <c r="H281" i="48" s="1"/>
  <c r="L360" i="16"/>
  <c r="K361" i="16"/>
  <c r="L356" i="16"/>
  <c r="L365" i="16"/>
  <c r="L366" i="16" s="1"/>
  <c r="M355" i="16"/>
  <c r="K89" i="24"/>
  <c r="K93" i="24"/>
  <c r="L295" i="48" s="1"/>
  <c r="L89" i="24"/>
  <c r="L93" i="24"/>
  <c r="M295" i="48" s="1"/>
  <c r="M242" i="48"/>
  <c r="M86" i="24"/>
  <c r="M125" i="18"/>
  <c r="N242" i="48" s="1"/>
  <c r="N48" i="64"/>
  <c r="M179" i="16"/>
  <c r="M185" i="64"/>
  <c r="N185" i="64" s="1"/>
  <c r="N183" i="64"/>
  <c r="L50" i="16"/>
  <c r="N48" i="16"/>
  <c r="M314" i="64"/>
  <c r="M316" i="64" s="1"/>
  <c r="M314" i="4"/>
  <c r="N314" i="4" s="1"/>
  <c r="N312" i="4"/>
  <c r="N304" i="64"/>
  <c r="M259" i="16"/>
  <c r="M261" i="64"/>
  <c r="L316" i="64"/>
  <c r="L321" i="4"/>
  <c r="M270" i="48" s="1"/>
  <c r="L306" i="16"/>
  <c r="N306" i="16" s="1"/>
  <c r="N304" i="16"/>
  <c r="L268" i="64"/>
  <c r="M219" i="48" s="1"/>
  <c r="H106" i="61"/>
  <c r="I186" i="48"/>
  <c r="L90" i="48"/>
  <c r="E89" i="48"/>
  <c r="D56" i="61"/>
  <c r="L316" i="16"/>
  <c r="M116" i="64"/>
  <c r="N114" i="64"/>
  <c r="K41" i="73"/>
  <c r="N25" i="64"/>
  <c r="L324" i="16"/>
  <c r="J96" i="61"/>
  <c r="I97" i="61"/>
  <c r="M53" i="61"/>
  <c r="M54" i="61" s="1"/>
  <c r="N90" i="48" s="1"/>
  <c r="L54" i="61"/>
  <c r="M90" i="48" s="1"/>
  <c r="M266" i="4"/>
  <c r="N266" i="4" s="1"/>
  <c r="L103" i="61"/>
  <c r="K104" i="61"/>
  <c r="L187" i="48" s="1"/>
  <c r="F46" i="61"/>
  <c r="E47" i="61"/>
  <c r="F24" i="70"/>
  <c r="E25" i="70"/>
  <c r="F59" i="48" s="1"/>
  <c r="J128" i="61"/>
  <c r="I129" i="61"/>
  <c r="J239" i="48" s="1"/>
  <c r="N239" i="4"/>
  <c r="N106" i="4"/>
  <c r="E49" i="48"/>
  <c r="E15" i="48"/>
  <c r="E31" i="48" s="1"/>
  <c r="E41" i="48" s="1"/>
  <c r="D31" i="61"/>
  <c r="L241" i="16"/>
  <c r="L268" i="16" s="1"/>
  <c r="M220" i="48" s="1"/>
  <c r="L269" i="16"/>
  <c r="N249" i="64"/>
  <c r="M249" i="16"/>
  <c r="M251" i="64"/>
  <c r="M314" i="16"/>
  <c r="M316" i="16" s="1"/>
  <c r="M321" i="64"/>
  <c r="N321" i="64" s="1"/>
  <c r="I46" i="48"/>
  <c r="H32" i="14"/>
  <c r="M239" i="16"/>
  <c r="M241" i="64"/>
  <c r="M269" i="64"/>
  <c r="N239" i="64"/>
  <c r="J138" i="48"/>
  <c r="I79" i="18"/>
  <c r="M117" i="16"/>
  <c r="N115" i="16"/>
  <c r="F21" i="61"/>
  <c r="E22" i="61"/>
  <c r="J75" i="49"/>
  <c r="J76" i="49" s="1"/>
  <c r="J194" i="48"/>
  <c r="L78" i="61"/>
  <c r="K79" i="61"/>
  <c r="L136" i="48" s="1"/>
  <c r="G24" i="18"/>
  <c r="H23" i="18"/>
  <c r="N309" i="16"/>
  <c r="M311" i="16"/>
  <c r="N311" i="16" s="1"/>
  <c r="H131" i="61"/>
  <c r="J58" i="70"/>
  <c r="J59" i="70" s="1"/>
  <c r="J145" i="48"/>
  <c r="J22" i="14"/>
  <c r="I23" i="14"/>
  <c r="L175" i="16"/>
  <c r="K176" i="16"/>
  <c r="K208" i="16" s="1"/>
  <c r="K71" i="18"/>
  <c r="J72" i="18"/>
  <c r="J300" i="64"/>
  <c r="I301" i="64"/>
  <c r="I310" i="64"/>
  <c r="I311" i="64" s="1"/>
  <c r="H306" i="64"/>
  <c r="H328" i="64" s="1"/>
  <c r="I305" i="64"/>
  <c r="F31" i="18"/>
  <c r="G52" i="48"/>
  <c r="N319" i="64"/>
  <c r="K189" i="48"/>
  <c r="J103" i="18"/>
  <c r="K15" i="16"/>
  <c r="K67" i="16" s="1"/>
  <c r="L72" i="48" s="1"/>
  <c r="K27" i="48"/>
  <c r="L95" i="18"/>
  <c r="K96" i="18"/>
  <c r="J246" i="48"/>
  <c r="N170" i="4"/>
  <c r="L119" i="18"/>
  <c r="K120" i="18"/>
  <c r="L47" i="18"/>
  <c r="K48" i="18"/>
  <c r="K241" i="48"/>
  <c r="J127" i="18"/>
  <c r="K92" i="70"/>
  <c r="K93" i="70" s="1"/>
  <c r="K248" i="48"/>
  <c r="L24" i="73"/>
  <c r="L58" i="73"/>
  <c r="L75" i="70"/>
  <c r="L76" i="70" s="1"/>
  <c r="L196" i="48"/>
  <c r="J55" i="18"/>
  <c r="K92" i="48"/>
  <c r="L13" i="16"/>
  <c r="L68" i="16" s="1"/>
  <c r="L15" i="64"/>
  <c r="J72" i="61"/>
  <c r="K71" i="61"/>
  <c r="L75" i="73"/>
  <c r="M169" i="16"/>
  <c r="M175" i="64"/>
  <c r="M208" i="64" s="1"/>
  <c r="N173" i="64"/>
  <c r="K121" i="61"/>
  <c r="J122" i="61"/>
  <c r="M301" i="16"/>
  <c r="N299" i="16"/>
  <c r="K196" i="48"/>
  <c r="K41" i="70"/>
  <c r="K42" i="70" s="1"/>
  <c r="M13" i="64"/>
  <c r="M15" i="4"/>
  <c r="J135" i="48"/>
  <c r="I81" i="61"/>
  <c r="K92" i="49"/>
  <c r="K93" i="49" s="1"/>
  <c r="K246" i="48"/>
  <c r="J238" i="48"/>
  <c r="L171" i="16"/>
  <c r="N273" i="48"/>
  <c r="O273" i="48" s="1"/>
  <c r="N170" i="48"/>
  <c r="O170" i="48" s="1"/>
  <c r="N119" i="48"/>
  <c r="O119" i="48" s="1"/>
  <c r="N28" i="48"/>
  <c r="O28" i="48" s="1"/>
  <c r="N221" i="48"/>
  <c r="O221" i="48" s="1"/>
  <c r="G26" i="48"/>
  <c r="B199" i="64"/>
  <c r="B195" i="64"/>
  <c r="B215" i="64"/>
  <c r="I50" i="64"/>
  <c r="L39" i="64"/>
  <c r="K40" i="64"/>
  <c r="H65" i="64"/>
  <c r="H60" i="64"/>
  <c r="N30" i="64"/>
  <c r="J45" i="64"/>
  <c r="L35" i="64"/>
  <c r="M35" i="64"/>
  <c r="I373" i="48" l="1"/>
  <c r="I378" i="48" s="1"/>
  <c r="L23" i="86"/>
  <c r="K24" i="86"/>
  <c r="L69" i="48" s="1"/>
  <c r="J313" i="48"/>
  <c r="K178" i="61"/>
  <c r="J179" i="61"/>
  <c r="K41" i="87"/>
  <c r="J42" i="87"/>
  <c r="K111" i="48" s="1"/>
  <c r="L109" i="49"/>
  <c r="K110" i="49"/>
  <c r="L298" i="48" s="1"/>
  <c r="M431" i="4"/>
  <c r="N384" i="4"/>
  <c r="K155" i="86"/>
  <c r="J156" i="86"/>
  <c r="J348" i="48"/>
  <c r="J341" i="48"/>
  <c r="J111" i="48"/>
  <c r="M169" i="18"/>
  <c r="M170" i="18" s="1"/>
  <c r="L170" i="18"/>
  <c r="L24" i="87"/>
  <c r="K25" i="87"/>
  <c r="L24" i="95"/>
  <c r="K25" i="95"/>
  <c r="L87" i="87"/>
  <c r="K88" i="87"/>
  <c r="L208" i="48" s="1"/>
  <c r="K159" i="85"/>
  <c r="J160" i="85"/>
  <c r="K354" i="48" s="1"/>
  <c r="K133" i="95"/>
  <c r="J134" i="95"/>
  <c r="K316" i="48" s="1"/>
  <c r="L87" i="95"/>
  <c r="K88" i="95"/>
  <c r="L214" i="48" s="1"/>
  <c r="M293" i="48"/>
  <c r="L152" i="18"/>
  <c r="L58" i="84"/>
  <c r="K59" i="84"/>
  <c r="L64" i="87"/>
  <c r="K65" i="87"/>
  <c r="L157" i="48" s="1"/>
  <c r="J290" i="48"/>
  <c r="K160" i="48"/>
  <c r="K135" i="85"/>
  <c r="J136" i="85"/>
  <c r="K306" i="48" s="1"/>
  <c r="M449" i="64"/>
  <c r="N449" i="64" s="1"/>
  <c r="M396" i="64"/>
  <c r="N396" i="64" s="1"/>
  <c r="N394" i="64"/>
  <c r="K109" i="70"/>
  <c r="J110" i="70"/>
  <c r="K300" i="48" s="1"/>
  <c r="L153" i="61"/>
  <c r="K154" i="61"/>
  <c r="L92" i="73"/>
  <c r="K93" i="73"/>
  <c r="L250" i="48" s="1"/>
  <c r="K132" i="86"/>
  <c r="J133" i="86"/>
  <c r="K313" i="48" s="1"/>
  <c r="N293" i="48"/>
  <c r="M152" i="18"/>
  <c r="N145" i="18"/>
  <c r="K41" i="84"/>
  <c r="J42" i="84"/>
  <c r="L75" i="84"/>
  <c r="K76" i="84"/>
  <c r="K146" i="61"/>
  <c r="J147" i="61"/>
  <c r="K290" i="48" s="1"/>
  <c r="K107" i="84"/>
  <c r="J108" i="84"/>
  <c r="K41" i="95"/>
  <c r="J42" i="95"/>
  <c r="M434" i="16"/>
  <c r="N434" i="16" s="1"/>
  <c r="M386" i="16"/>
  <c r="N386" i="16" s="1"/>
  <c r="N384" i="16"/>
  <c r="K156" i="95"/>
  <c r="J157" i="95"/>
  <c r="K291" i="48"/>
  <c r="L86" i="86"/>
  <c r="K87" i="86"/>
  <c r="L211" i="48" s="1"/>
  <c r="K156" i="87"/>
  <c r="J157" i="87"/>
  <c r="K357" i="48" s="1"/>
  <c r="L63" i="86"/>
  <c r="K64" i="86"/>
  <c r="L160" i="48" s="1"/>
  <c r="M34" i="93"/>
  <c r="M37" i="93" s="1"/>
  <c r="N33" i="93"/>
  <c r="N34" i="93" s="1"/>
  <c r="N37" i="93" s="1"/>
  <c r="O33" i="93"/>
  <c r="O34" i="93" s="1"/>
  <c r="O37" i="93" s="1"/>
  <c r="K133" i="87"/>
  <c r="J134" i="87"/>
  <c r="K310" i="48" s="1"/>
  <c r="K91" i="84"/>
  <c r="J92" i="84"/>
  <c r="J127" i="49"/>
  <c r="K348" i="48" s="1"/>
  <c r="K126" i="49"/>
  <c r="K40" i="86"/>
  <c r="J41" i="86"/>
  <c r="K114" i="48" s="1"/>
  <c r="L343" i="48"/>
  <c r="K177" i="18"/>
  <c r="I127" i="70"/>
  <c r="J350" i="48" s="1"/>
  <c r="J126" i="70"/>
  <c r="J171" i="61"/>
  <c r="I172" i="61"/>
  <c r="I156" i="61"/>
  <c r="L64" i="95"/>
  <c r="K65" i="95"/>
  <c r="L163" i="48" s="1"/>
  <c r="L24" i="84"/>
  <c r="K25" i="84"/>
  <c r="H181" i="61"/>
  <c r="J354" i="48"/>
  <c r="J316" i="48"/>
  <c r="I426" i="64"/>
  <c r="I448" i="64" s="1"/>
  <c r="J368" i="48" s="1"/>
  <c r="J425" i="64"/>
  <c r="L416" i="16"/>
  <c r="L433" i="16" s="1"/>
  <c r="M369" i="48" s="1"/>
  <c r="M415" i="16"/>
  <c r="M416" i="16" s="1"/>
  <c r="K420" i="64"/>
  <c r="J421" i="64"/>
  <c r="J430" i="64"/>
  <c r="J431" i="64" s="1"/>
  <c r="M411" i="16"/>
  <c r="M420" i="16"/>
  <c r="M421" i="16" s="1"/>
  <c r="N421" i="16" s="1"/>
  <c r="H26" i="48"/>
  <c r="H71" i="48"/>
  <c r="N167" i="48"/>
  <c r="O167" i="48" s="1"/>
  <c r="M209" i="16"/>
  <c r="M68" i="4"/>
  <c r="N320" i="48"/>
  <c r="N376" i="4"/>
  <c r="D164" i="75"/>
  <c r="E164" i="75" s="1"/>
  <c r="B200" i="64"/>
  <c r="N200" i="64" s="1"/>
  <c r="B203" i="64"/>
  <c r="B204" i="64" s="1"/>
  <c r="N204" i="64" s="1"/>
  <c r="G142" i="64"/>
  <c r="H117" i="48" s="1"/>
  <c r="M138" i="16"/>
  <c r="N138" i="16" s="1"/>
  <c r="M68" i="64"/>
  <c r="N68" i="64" s="1"/>
  <c r="O69" i="4" s="1"/>
  <c r="M321" i="16"/>
  <c r="N321" i="16" s="1"/>
  <c r="N319" i="16"/>
  <c r="N129" i="64"/>
  <c r="M131" i="64"/>
  <c r="N131" i="64" s="1"/>
  <c r="I135" i="64"/>
  <c r="I139" i="64" s="1"/>
  <c r="I140" i="64" s="1"/>
  <c r="H136" i="64"/>
  <c r="L169" i="48"/>
  <c r="N50" i="16"/>
  <c r="N117" i="16"/>
  <c r="H67" i="64"/>
  <c r="I71" i="48" s="1"/>
  <c r="K378" i="16"/>
  <c r="L322" i="48" s="1"/>
  <c r="I271" i="48"/>
  <c r="I276" i="48" s="1"/>
  <c r="I281" i="48" s="1"/>
  <c r="I326" i="48"/>
  <c r="I331" i="48" s="1"/>
  <c r="J361" i="64"/>
  <c r="J370" i="64"/>
  <c r="J371" i="64" s="1"/>
  <c r="N389" i="64" s="1"/>
  <c r="O377" i="4" s="1"/>
  <c r="K360" i="64"/>
  <c r="I366" i="64"/>
  <c r="I388" i="64" s="1"/>
  <c r="J321" i="48" s="1"/>
  <c r="J365" i="64"/>
  <c r="M365" i="16"/>
  <c r="M366" i="16" s="1"/>
  <c r="N366" i="16" s="1"/>
  <c r="M356" i="16"/>
  <c r="M360" i="16"/>
  <c r="M361" i="16" s="1"/>
  <c r="L361" i="16"/>
  <c r="L378" i="16" s="1"/>
  <c r="M322" i="48" s="1"/>
  <c r="N125" i="18"/>
  <c r="O242" i="48"/>
  <c r="B118" i="56" s="1"/>
  <c r="I131" i="61"/>
  <c r="M87" i="24"/>
  <c r="N86" i="24"/>
  <c r="N314" i="64"/>
  <c r="M329" i="64"/>
  <c r="N35" i="64"/>
  <c r="M181" i="16"/>
  <c r="N181" i="16" s="1"/>
  <c r="N179" i="16"/>
  <c r="M261" i="16"/>
  <c r="N261" i="16" s="1"/>
  <c r="N259" i="16"/>
  <c r="N316" i="64"/>
  <c r="M321" i="4"/>
  <c r="N321" i="4" s="1"/>
  <c r="N168" i="48"/>
  <c r="L323" i="16"/>
  <c r="M272" i="48" s="1"/>
  <c r="M324" i="16"/>
  <c r="N324" i="16" s="1"/>
  <c r="P322" i="4" s="1"/>
  <c r="N316" i="16"/>
  <c r="I306" i="64"/>
  <c r="I328" i="64" s="1"/>
  <c r="J305" i="64"/>
  <c r="K138" i="48"/>
  <c r="J79" i="18"/>
  <c r="J46" i="48"/>
  <c r="I32" i="14"/>
  <c r="H52" i="48"/>
  <c r="G31" i="18"/>
  <c r="M241" i="16"/>
  <c r="M269" i="16"/>
  <c r="G24" i="70"/>
  <c r="F25" i="70"/>
  <c r="G59" i="48" s="1"/>
  <c r="L104" i="61"/>
  <c r="M187" i="48" s="1"/>
  <c r="M103" i="61"/>
  <c r="M104" i="61" s="1"/>
  <c r="J186" i="48"/>
  <c r="I106" i="61"/>
  <c r="L41" i="73"/>
  <c r="L71" i="18"/>
  <c r="K72" i="18"/>
  <c r="K22" i="14"/>
  <c r="J23" i="14"/>
  <c r="K75" i="49"/>
  <c r="K76" i="49" s="1"/>
  <c r="M251" i="16"/>
  <c r="N251" i="16" s="1"/>
  <c r="N249" i="16"/>
  <c r="N116" i="48"/>
  <c r="O116" i="48" s="1"/>
  <c r="F89" i="48"/>
  <c r="E56" i="61"/>
  <c r="N218" i="48"/>
  <c r="O218" i="48" s="1"/>
  <c r="J97" i="61"/>
  <c r="K96" i="61"/>
  <c r="J310" i="64"/>
  <c r="J311" i="64" s="1"/>
  <c r="K300" i="64"/>
  <c r="J301" i="64"/>
  <c r="L79" i="61"/>
  <c r="M136" i="48" s="1"/>
  <c r="M78" i="61"/>
  <c r="M79" i="61" s="1"/>
  <c r="F15" i="48"/>
  <c r="E31" i="61"/>
  <c r="F49" i="48"/>
  <c r="J129" i="61"/>
  <c r="K128" i="61"/>
  <c r="G46" i="61"/>
  <c r="F47" i="61"/>
  <c r="N116" i="64"/>
  <c r="M175" i="16"/>
  <c r="M176" i="16" s="1"/>
  <c r="L176" i="16"/>
  <c r="L208" i="16" s="1"/>
  <c r="K58" i="70"/>
  <c r="K59" i="70" s="1"/>
  <c r="K145" i="48"/>
  <c r="I23" i="18"/>
  <c r="H24" i="18"/>
  <c r="F22" i="61"/>
  <c r="G21" i="61"/>
  <c r="M268" i="64"/>
  <c r="N219" i="48" s="1"/>
  <c r="N239" i="16"/>
  <c r="O90" i="48"/>
  <c r="N314" i="16"/>
  <c r="N54" i="61"/>
  <c r="B121" i="75"/>
  <c r="D121" i="75" s="1"/>
  <c r="E121" i="75" s="1"/>
  <c r="B101" i="56"/>
  <c r="D101" i="56" s="1"/>
  <c r="E101" i="56" s="1"/>
  <c r="F101" i="56" s="1"/>
  <c r="M171" i="16"/>
  <c r="N169" i="16"/>
  <c r="J81" i="61"/>
  <c r="K135" i="48"/>
  <c r="M24" i="73"/>
  <c r="N15" i="4"/>
  <c r="K99" i="48"/>
  <c r="L121" i="61"/>
  <c r="K122" i="61"/>
  <c r="M75" i="73"/>
  <c r="B89" i="75"/>
  <c r="D89" i="75" s="1"/>
  <c r="E89" i="75" s="1"/>
  <c r="B75" i="56"/>
  <c r="D75" i="56" s="1"/>
  <c r="E75" i="56" s="1"/>
  <c r="K238" i="48"/>
  <c r="K72" i="61"/>
  <c r="L71" i="61"/>
  <c r="L15" i="16"/>
  <c r="L67" i="16" s="1"/>
  <c r="M72" i="48" s="1"/>
  <c r="B57" i="75"/>
  <c r="B49" i="56"/>
  <c r="D49" i="56" s="1"/>
  <c r="E49" i="56" s="1"/>
  <c r="M58" i="73"/>
  <c r="L92" i="70"/>
  <c r="L93" i="70" s="1"/>
  <c r="L248" i="48"/>
  <c r="M47" i="18"/>
  <c r="M48" i="18" s="1"/>
  <c r="L48" i="18"/>
  <c r="M119" i="18"/>
  <c r="M120" i="18" s="1"/>
  <c r="L120" i="18"/>
  <c r="M95" i="18"/>
  <c r="M96" i="18" s="1"/>
  <c r="L96" i="18"/>
  <c r="L27" i="48"/>
  <c r="N175" i="64"/>
  <c r="B153" i="75"/>
  <c r="D153" i="75" s="1"/>
  <c r="E153" i="75" s="1"/>
  <c r="B127" i="56"/>
  <c r="L92" i="49"/>
  <c r="L93" i="49" s="1"/>
  <c r="L246" i="48"/>
  <c r="M13" i="16"/>
  <c r="M68" i="16" s="1"/>
  <c r="M15" i="64"/>
  <c r="N13" i="64"/>
  <c r="L41" i="70"/>
  <c r="L42" i="70" s="1"/>
  <c r="L99" i="48"/>
  <c r="M75" i="70"/>
  <c r="M76" i="70" s="1"/>
  <c r="M196" i="48"/>
  <c r="K55" i="18"/>
  <c r="L92" i="48"/>
  <c r="L241" i="48"/>
  <c r="K127" i="18"/>
  <c r="K103" i="18"/>
  <c r="L189" i="48"/>
  <c r="N301" i="16"/>
  <c r="I65" i="64"/>
  <c r="I60" i="64"/>
  <c r="N195" i="64"/>
  <c r="M39" i="64"/>
  <c r="M40" i="64" s="1"/>
  <c r="L40" i="64"/>
  <c r="B220" i="64"/>
  <c r="B216" i="64"/>
  <c r="K45" i="64"/>
  <c r="J50" i="64"/>
  <c r="O293" i="48" l="1"/>
  <c r="B168" i="75" s="1"/>
  <c r="D168" i="75" s="1"/>
  <c r="E168" i="75" s="1"/>
  <c r="J156" i="61"/>
  <c r="M64" i="95"/>
  <c r="M65" i="95" s="1"/>
  <c r="L65" i="95"/>
  <c r="M163" i="48" s="1"/>
  <c r="L40" i="86"/>
  <c r="K41" i="86"/>
  <c r="L114" i="48" s="1"/>
  <c r="M63" i="86"/>
  <c r="M64" i="86" s="1"/>
  <c r="L64" i="86"/>
  <c r="M160" i="48" s="1"/>
  <c r="K363" i="48"/>
  <c r="L107" i="84"/>
  <c r="K108" i="84"/>
  <c r="M75" i="84"/>
  <c r="M76" i="84" s="1"/>
  <c r="L76" i="84"/>
  <c r="N152" i="18"/>
  <c r="M64" i="87"/>
  <c r="M65" i="87" s="1"/>
  <c r="L65" i="87"/>
  <c r="M157" i="48" s="1"/>
  <c r="L133" i="95"/>
  <c r="K134" i="95"/>
  <c r="L316" i="48" s="1"/>
  <c r="M87" i="87"/>
  <c r="M88" i="87" s="1"/>
  <c r="L88" i="87"/>
  <c r="M208" i="48" s="1"/>
  <c r="M24" i="87"/>
  <c r="M25" i="87" s="1"/>
  <c r="L25" i="87"/>
  <c r="N367" i="48"/>
  <c r="N431" i="4"/>
  <c r="L41" i="87"/>
  <c r="K42" i="87"/>
  <c r="L111" i="48" s="1"/>
  <c r="L133" i="87"/>
  <c r="K134" i="87"/>
  <c r="L310" i="48" s="1"/>
  <c r="L156" i="87"/>
  <c r="K157" i="87"/>
  <c r="L357" i="48" s="1"/>
  <c r="M24" i="84"/>
  <c r="M25" i="84" s="1"/>
  <c r="L25" i="84"/>
  <c r="J340" i="48"/>
  <c r="K127" i="49"/>
  <c r="L348" i="48" s="1"/>
  <c r="L126" i="49"/>
  <c r="L91" i="84"/>
  <c r="K92" i="84"/>
  <c r="M86" i="86"/>
  <c r="M87" i="86" s="1"/>
  <c r="L87" i="86"/>
  <c r="M211" i="48" s="1"/>
  <c r="L156" i="95"/>
  <c r="K157" i="95"/>
  <c r="L363" i="48" s="1"/>
  <c r="M92" i="73"/>
  <c r="M93" i="73" s="1"/>
  <c r="N250" i="48" s="1"/>
  <c r="L93" i="73"/>
  <c r="M250" i="48" s="1"/>
  <c r="L109" i="70"/>
  <c r="K110" i="70"/>
  <c r="L300" i="48" s="1"/>
  <c r="M343" i="48"/>
  <c r="L177" i="18"/>
  <c r="I181" i="61"/>
  <c r="K360" i="48"/>
  <c r="K341" i="48"/>
  <c r="J127" i="70"/>
  <c r="K350" i="48" s="1"/>
  <c r="K126" i="70"/>
  <c r="L132" i="86"/>
  <c r="K133" i="86"/>
  <c r="L313" i="48" s="1"/>
  <c r="M153" i="61"/>
  <c r="M154" i="61" s="1"/>
  <c r="L154" i="61"/>
  <c r="K171" i="61"/>
  <c r="J172" i="61"/>
  <c r="K340" i="48" s="1"/>
  <c r="L41" i="95"/>
  <c r="K42" i="95"/>
  <c r="L146" i="61"/>
  <c r="K147" i="61"/>
  <c r="L290" i="48" s="1"/>
  <c r="L41" i="84"/>
  <c r="K42" i="84"/>
  <c r="L291" i="48"/>
  <c r="K156" i="61"/>
  <c r="L135" i="85"/>
  <c r="K136" i="85"/>
  <c r="L306" i="48" s="1"/>
  <c r="M58" i="84"/>
  <c r="M59" i="84" s="1"/>
  <c r="L59" i="84"/>
  <c r="M87" i="95"/>
  <c r="M88" i="95" s="1"/>
  <c r="L88" i="95"/>
  <c r="M214" i="48" s="1"/>
  <c r="L159" i="85"/>
  <c r="K160" i="85"/>
  <c r="L354" i="48" s="1"/>
  <c r="M24" i="95"/>
  <c r="M25" i="95" s="1"/>
  <c r="L25" i="95"/>
  <c r="N343" i="48"/>
  <c r="M177" i="18"/>
  <c r="N170" i="18"/>
  <c r="L155" i="86"/>
  <c r="K156" i="86"/>
  <c r="L360" i="48" s="1"/>
  <c r="M109" i="49"/>
  <c r="M110" i="49" s="1"/>
  <c r="L110" i="49"/>
  <c r="M298" i="48" s="1"/>
  <c r="L178" i="61"/>
  <c r="K179" i="61"/>
  <c r="M23" i="86"/>
  <c r="M24" i="86" s="1"/>
  <c r="L24" i="86"/>
  <c r="M69" i="48" s="1"/>
  <c r="D57" i="75"/>
  <c r="E57" i="75" s="1"/>
  <c r="M433" i="16"/>
  <c r="N411" i="16"/>
  <c r="K430" i="64"/>
  <c r="K431" i="64" s="1"/>
  <c r="L420" i="64"/>
  <c r="K421" i="64"/>
  <c r="K425" i="64"/>
  <c r="J426" i="64"/>
  <c r="J448" i="64" s="1"/>
  <c r="K368" i="48" s="1"/>
  <c r="N416" i="16"/>
  <c r="N68" i="4"/>
  <c r="N70" i="48"/>
  <c r="O70" i="48" s="1"/>
  <c r="O320" i="48"/>
  <c r="J326" i="48"/>
  <c r="J331" i="48" s="1"/>
  <c r="M208" i="16"/>
  <c r="H142" i="64"/>
  <c r="I117" i="48" s="1"/>
  <c r="M323" i="16"/>
  <c r="N272" i="48" s="1"/>
  <c r="O272" i="48" s="1"/>
  <c r="B152" i="75" s="1"/>
  <c r="D152" i="75" s="1"/>
  <c r="E152" i="75" s="1"/>
  <c r="B137" i="75"/>
  <c r="D137" i="75" s="1"/>
  <c r="E137" i="75" s="1"/>
  <c r="J135" i="64"/>
  <c r="J139" i="64" s="1"/>
  <c r="J140" i="64" s="1"/>
  <c r="I136" i="64"/>
  <c r="I67" i="64"/>
  <c r="M169" i="48"/>
  <c r="N15" i="64"/>
  <c r="J271" i="48"/>
  <c r="J276" i="48" s="1"/>
  <c r="J281" i="48" s="1"/>
  <c r="K361" i="64"/>
  <c r="L360" i="64"/>
  <c r="K370" i="64"/>
  <c r="K371" i="64" s="1"/>
  <c r="M379" i="16"/>
  <c r="M331" i="16"/>
  <c r="K365" i="64"/>
  <c r="J366" i="64"/>
  <c r="J388" i="64" s="1"/>
  <c r="K321" i="48" s="1"/>
  <c r="N329" i="64"/>
  <c r="O322" i="4" s="1"/>
  <c r="N361" i="16"/>
  <c r="N356" i="16"/>
  <c r="M90" i="24"/>
  <c r="N87" i="24"/>
  <c r="N270" i="48"/>
  <c r="O270" i="48" s="1"/>
  <c r="N118" i="48"/>
  <c r="O118" i="48" s="1"/>
  <c r="B56" i="75" s="1"/>
  <c r="D56" i="75" s="1"/>
  <c r="E56" i="75" s="1"/>
  <c r="G15" i="48"/>
  <c r="G31" i="48" s="1"/>
  <c r="G41" i="48" s="1"/>
  <c r="G49" i="48"/>
  <c r="F31" i="61"/>
  <c r="L58" i="70"/>
  <c r="L59" i="70" s="1"/>
  <c r="L145" i="48"/>
  <c r="H46" i="61"/>
  <c r="G47" i="61"/>
  <c r="K194" i="48"/>
  <c r="L138" i="48"/>
  <c r="K79" i="18"/>
  <c r="G25" i="70"/>
  <c r="H59" i="48" s="1"/>
  <c r="H24" i="70"/>
  <c r="H31" i="18"/>
  <c r="I52" i="48"/>
  <c r="O97" i="48"/>
  <c r="L128" i="61"/>
  <c r="K129" i="61"/>
  <c r="L239" i="48" s="1"/>
  <c r="L96" i="61"/>
  <c r="K97" i="61"/>
  <c r="L75" i="49"/>
  <c r="L76" i="49" s="1"/>
  <c r="L194" i="48"/>
  <c r="M71" i="18"/>
  <c r="M72" i="18" s="1"/>
  <c r="L72" i="18"/>
  <c r="N187" i="48"/>
  <c r="O187" i="48" s="1"/>
  <c r="N104" i="61"/>
  <c r="J306" i="64"/>
  <c r="J328" i="64" s="1"/>
  <c r="K271" i="48" s="1"/>
  <c r="K305" i="64"/>
  <c r="B41" i="75"/>
  <c r="D41" i="75" s="1"/>
  <c r="E41" i="75" s="1"/>
  <c r="B38" i="56"/>
  <c r="D38" i="56" s="1"/>
  <c r="E38" i="56" s="1"/>
  <c r="I24" i="18"/>
  <c r="J23" i="18"/>
  <c r="K239" i="48"/>
  <c r="F31" i="48"/>
  <c r="F41" i="48" s="1"/>
  <c r="K301" i="64"/>
  <c r="L300" i="64"/>
  <c r="K310" i="64"/>
  <c r="K311" i="64" s="1"/>
  <c r="K186" i="48"/>
  <c r="J106" i="61"/>
  <c r="J32" i="14"/>
  <c r="K46" i="48"/>
  <c r="M41" i="73"/>
  <c r="N241" i="16"/>
  <c r="M268" i="16"/>
  <c r="J131" i="61"/>
  <c r="H21" i="61"/>
  <c r="G22" i="61"/>
  <c r="G89" i="48"/>
  <c r="F56" i="61"/>
  <c r="N136" i="48"/>
  <c r="O136" i="48" s="1"/>
  <c r="N79" i="61"/>
  <c r="L22" i="14"/>
  <c r="K23" i="14"/>
  <c r="I26" i="48"/>
  <c r="M189" i="48"/>
  <c r="L103" i="18"/>
  <c r="N96" i="18"/>
  <c r="L72" i="61"/>
  <c r="M71" i="61"/>
  <c r="M72" i="61" s="1"/>
  <c r="N196" i="48"/>
  <c r="O196" i="48" s="1"/>
  <c r="N76" i="70"/>
  <c r="M92" i="49"/>
  <c r="M93" i="49" s="1"/>
  <c r="M246" i="48"/>
  <c r="N241" i="48"/>
  <c r="M127" i="18"/>
  <c r="N120" i="18"/>
  <c r="M92" i="70"/>
  <c r="M93" i="70" s="1"/>
  <c r="M248" i="48"/>
  <c r="M27" i="48"/>
  <c r="M121" i="61"/>
  <c r="M122" i="61" s="1"/>
  <c r="L122" i="61"/>
  <c r="M241" i="48"/>
  <c r="L127" i="18"/>
  <c r="L238" i="48"/>
  <c r="N40" i="64"/>
  <c r="M92" i="48"/>
  <c r="L55" i="18"/>
  <c r="M41" i="70"/>
  <c r="M42" i="70" s="1"/>
  <c r="M99" i="48"/>
  <c r="M15" i="16"/>
  <c r="M67" i="16" s="1"/>
  <c r="N72" i="48" s="1"/>
  <c r="O72" i="48" s="1"/>
  <c r="N13" i="16"/>
  <c r="N68" i="16"/>
  <c r="P69" i="4" s="1"/>
  <c r="N189" i="48"/>
  <c r="M103" i="18"/>
  <c r="N92" i="48"/>
  <c r="M55" i="18"/>
  <c r="N48" i="18"/>
  <c r="L135" i="48"/>
  <c r="K81" i="61"/>
  <c r="N171" i="16"/>
  <c r="K50" i="64"/>
  <c r="L45" i="64"/>
  <c r="M45" i="64"/>
  <c r="B225" i="64"/>
  <c r="B221" i="64"/>
  <c r="N221" i="64" s="1"/>
  <c r="J65" i="64"/>
  <c r="J60" i="64"/>
  <c r="N216" i="64"/>
  <c r="N25" i="95" l="1"/>
  <c r="N177" i="18"/>
  <c r="N76" i="84"/>
  <c r="M135" i="85"/>
  <c r="M136" i="85" s="1"/>
  <c r="L136" i="85"/>
  <c r="M306" i="48" s="1"/>
  <c r="M41" i="84"/>
  <c r="M42" i="84" s="1"/>
  <c r="L42" i="84"/>
  <c r="M291" i="48"/>
  <c r="L127" i="49"/>
  <c r="M348" i="48" s="1"/>
  <c r="M126" i="49"/>
  <c r="M127" i="49" s="1"/>
  <c r="L341" i="48"/>
  <c r="O343" i="48"/>
  <c r="B199" i="75" s="1"/>
  <c r="N59" i="84"/>
  <c r="M146" i="61"/>
  <c r="M147" i="61" s="1"/>
  <c r="M156" i="61" s="1"/>
  <c r="L147" i="61"/>
  <c r="M290" i="48" s="1"/>
  <c r="L171" i="61"/>
  <c r="K172" i="61"/>
  <c r="L340" i="48" s="1"/>
  <c r="M178" i="61"/>
  <c r="M179" i="61" s="1"/>
  <c r="L179" i="61"/>
  <c r="M155" i="86"/>
  <c r="M156" i="86" s="1"/>
  <c r="L156" i="86"/>
  <c r="M360" i="48" s="1"/>
  <c r="M132" i="86"/>
  <c r="M133" i="86" s="1"/>
  <c r="L133" i="86"/>
  <c r="M313" i="48" s="1"/>
  <c r="M109" i="70"/>
  <c r="M110" i="70" s="1"/>
  <c r="L110" i="70"/>
  <c r="M300" i="48" s="1"/>
  <c r="M156" i="95"/>
  <c r="M157" i="95" s="1"/>
  <c r="N363" i="48" s="1"/>
  <c r="L157" i="95"/>
  <c r="M363" i="48" s="1"/>
  <c r="M91" i="84"/>
  <c r="M92" i="84" s="1"/>
  <c r="L92" i="84"/>
  <c r="M156" i="87"/>
  <c r="M157" i="87" s="1"/>
  <c r="L157" i="87"/>
  <c r="M357" i="48" s="1"/>
  <c r="M41" i="87"/>
  <c r="M42" i="87" s="1"/>
  <c r="L42" i="87"/>
  <c r="M111" i="48" s="1"/>
  <c r="N25" i="87"/>
  <c r="M133" i="95"/>
  <c r="M134" i="95" s="1"/>
  <c r="L134" i="95"/>
  <c r="M316" i="48" s="1"/>
  <c r="N214" i="48"/>
  <c r="O214" i="48" s="1"/>
  <c r="B117" i="75" s="1"/>
  <c r="D117" i="75" s="1"/>
  <c r="E117" i="75" s="1"/>
  <c r="N88" i="95"/>
  <c r="M41" i="95"/>
  <c r="M42" i="95" s="1"/>
  <c r="L42" i="95"/>
  <c r="K127" i="70"/>
  <c r="L350" i="48" s="1"/>
  <c r="L126" i="70"/>
  <c r="N433" i="16"/>
  <c r="N369" i="48"/>
  <c r="N69" i="48"/>
  <c r="O69" i="48" s="1"/>
  <c r="B23" i="75" s="1"/>
  <c r="D23" i="75" s="1"/>
  <c r="E23" i="75" s="1"/>
  <c r="N24" i="86"/>
  <c r="N298" i="48"/>
  <c r="O298" i="48" s="1"/>
  <c r="B172" i="75" s="1"/>
  <c r="N110" i="49"/>
  <c r="N291" i="48"/>
  <c r="N154" i="61"/>
  <c r="N211" i="48"/>
  <c r="O211" i="48" s="1"/>
  <c r="B116" i="75" s="1"/>
  <c r="D116" i="75" s="1"/>
  <c r="E116" i="75" s="1"/>
  <c r="N87" i="86"/>
  <c r="N25" i="84"/>
  <c r="M133" i="87"/>
  <c r="M134" i="87" s="1"/>
  <c r="L134" i="87"/>
  <c r="M310" i="48" s="1"/>
  <c r="N208" i="48"/>
  <c r="O208" i="48" s="1"/>
  <c r="B115" i="75" s="1"/>
  <c r="D115" i="75" s="1"/>
  <c r="E115" i="75" s="1"/>
  <c r="N88" i="87"/>
  <c r="N157" i="48"/>
  <c r="O157" i="48" s="1"/>
  <c r="B83" i="75" s="1"/>
  <c r="D83" i="75" s="1"/>
  <c r="E83" i="75" s="1"/>
  <c r="N65" i="87"/>
  <c r="M40" i="86"/>
  <c r="M41" i="86" s="1"/>
  <c r="L41" i="86"/>
  <c r="M114" i="48" s="1"/>
  <c r="M159" i="85"/>
  <c r="M160" i="85" s="1"/>
  <c r="L160" i="85"/>
  <c r="M354" i="48" s="1"/>
  <c r="J181" i="61"/>
  <c r="M107" i="84"/>
  <c r="M108" i="84" s="1"/>
  <c r="L108" i="84"/>
  <c r="N160" i="48"/>
  <c r="O160" i="48" s="1"/>
  <c r="N64" i="86"/>
  <c r="N163" i="48"/>
  <c r="O163" i="48" s="1"/>
  <c r="B85" i="75" s="1"/>
  <c r="D85" i="75" s="1"/>
  <c r="E85" i="75" s="1"/>
  <c r="N65" i="95"/>
  <c r="L425" i="64"/>
  <c r="K426" i="64"/>
  <c r="K448" i="64" s="1"/>
  <c r="L368" i="48" s="1"/>
  <c r="L430" i="64"/>
  <c r="L431" i="64" s="1"/>
  <c r="L421" i="64"/>
  <c r="M420" i="64"/>
  <c r="B26" i="75"/>
  <c r="B23" i="56"/>
  <c r="D23" i="56" s="1"/>
  <c r="E23" i="56" s="1"/>
  <c r="J26" i="48"/>
  <c r="J71" i="48"/>
  <c r="J373" i="48"/>
  <c r="J378" i="48" s="1"/>
  <c r="O367" i="48"/>
  <c r="N323" i="16"/>
  <c r="I142" i="64"/>
  <c r="J117" i="48" s="1"/>
  <c r="J67" i="64"/>
  <c r="K71" i="48" s="1"/>
  <c r="K135" i="64"/>
  <c r="K139" i="64" s="1"/>
  <c r="K140" i="64" s="1"/>
  <c r="J136" i="64"/>
  <c r="J142" i="64" s="1"/>
  <c r="J379" i="16"/>
  <c r="N379" i="16" s="1"/>
  <c r="P377" i="4" s="1"/>
  <c r="J331" i="16"/>
  <c r="J378" i="16" s="1"/>
  <c r="K322" i="48" s="1"/>
  <c r="M360" i="64"/>
  <c r="L370" i="64"/>
  <c r="L371" i="64" s="1"/>
  <c r="L361" i="64"/>
  <c r="L365" i="64"/>
  <c r="K366" i="64"/>
  <c r="K388" i="64" s="1"/>
  <c r="L321" i="48" s="1"/>
  <c r="M378" i="16"/>
  <c r="N322" i="48" s="1"/>
  <c r="N329" i="16"/>
  <c r="B126" i="56"/>
  <c r="M89" i="24"/>
  <c r="N89" i="24" s="1"/>
  <c r="M93" i="24"/>
  <c r="N90" i="24"/>
  <c r="B48" i="56"/>
  <c r="D48" i="56" s="1"/>
  <c r="E48" i="56" s="1"/>
  <c r="G48" i="56" s="1"/>
  <c r="N55" i="18"/>
  <c r="M22" i="14"/>
  <c r="M23" i="14" s="1"/>
  <c r="L23" i="14"/>
  <c r="I21" i="61"/>
  <c r="H22" i="61"/>
  <c r="N220" i="48"/>
  <c r="J52" i="48"/>
  <c r="I31" i="18"/>
  <c r="N138" i="48"/>
  <c r="M79" i="18"/>
  <c r="N72" i="18"/>
  <c r="L97" i="61"/>
  <c r="M96" i="61"/>
  <c r="M97" i="61" s="1"/>
  <c r="B43" i="56"/>
  <c r="D43" i="56" s="1"/>
  <c r="E43" i="56" s="1"/>
  <c r="B46" i="75"/>
  <c r="D46" i="75" s="1"/>
  <c r="E46" i="75" s="1"/>
  <c r="I46" i="61"/>
  <c r="H47" i="61"/>
  <c r="N103" i="18"/>
  <c r="K131" i="61"/>
  <c r="L310" i="64"/>
  <c r="L311" i="64" s="1"/>
  <c r="M300" i="64"/>
  <c r="L301" i="64"/>
  <c r="H25" i="70"/>
  <c r="I59" i="48" s="1"/>
  <c r="I24" i="70"/>
  <c r="B103" i="75"/>
  <c r="D103" i="75" s="1"/>
  <c r="E103" i="75" s="1"/>
  <c r="B90" i="56"/>
  <c r="D90" i="56" s="1"/>
  <c r="E90" i="56" s="1"/>
  <c r="M194" i="48"/>
  <c r="M75" i="49"/>
  <c r="M58" i="70"/>
  <c r="K276" i="48"/>
  <c r="K281" i="48" s="1"/>
  <c r="L46" i="48"/>
  <c r="K32" i="14"/>
  <c r="B71" i="75"/>
  <c r="D71" i="75" s="1"/>
  <c r="E71" i="75" s="1"/>
  <c r="B64" i="56"/>
  <c r="D64" i="56" s="1"/>
  <c r="E64" i="56" s="1"/>
  <c r="G31" i="61"/>
  <c r="H49" i="48"/>
  <c r="H15" i="48"/>
  <c r="J24" i="18"/>
  <c r="K23" i="18"/>
  <c r="K306" i="64"/>
  <c r="K328" i="64" s="1"/>
  <c r="L305" i="64"/>
  <c r="L79" i="18"/>
  <c r="M138" i="48"/>
  <c r="L186" i="48"/>
  <c r="K106" i="61"/>
  <c r="L129" i="61"/>
  <c r="M239" i="48" s="1"/>
  <c r="M128" i="61"/>
  <c r="M129" i="61" s="1"/>
  <c r="N239" i="48" s="1"/>
  <c r="H89" i="48"/>
  <c r="G56" i="61"/>
  <c r="O189" i="48"/>
  <c r="B104" i="75" s="1"/>
  <c r="O92" i="48"/>
  <c r="B42" i="75" s="1"/>
  <c r="N248" i="48"/>
  <c r="O248" i="48" s="1"/>
  <c r="N93" i="70"/>
  <c r="N135" i="48"/>
  <c r="M81" i="61"/>
  <c r="N72" i="61"/>
  <c r="N169" i="48"/>
  <c r="B96" i="56"/>
  <c r="B109" i="75"/>
  <c r="D109" i="75" s="1"/>
  <c r="E109" i="75" s="1"/>
  <c r="N238" i="48"/>
  <c r="N122" i="61"/>
  <c r="N246" i="48"/>
  <c r="O246" i="48" s="1"/>
  <c r="N93" i="49"/>
  <c r="O241" i="48"/>
  <c r="N99" i="48"/>
  <c r="O99" i="48" s="1"/>
  <c r="N42" i="70"/>
  <c r="M135" i="48"/>
  <c r="L81" i="61"/>
  <c r="N15" i="16"/>
  <c r="M238" i="48"/>
  <c r="N127" i="18"/>
  <c r="L50" i="64"/>
  <c r="N45" i="64"/>
  <c r="K60" i="64"/>
  <c r="K65" i="64"/>
  <c r="B226" i="64"/>
  <c r="B230" i="64"/>
  <c r="O363" i="48" l="1"/>
  <c r="B211" i="75" s="1"/>
  <c r="D211" i="75" s="1"/>
  <c r="E211" i="75" s="1"/>
  <c r="N42" i="84"/>
  <c r="O291" i="48"/>
  <c r="B167" i="75" s="1"/>
  <c r="D167" i="75" s="1"/>
  <c r="E167" i="75" s="1"/>
  <c r="N92" i="84"/>
  <c r="N42" i="95"/>
  <c r="D172" i="75"/>
  <c r="E172" i="75" s="1"/>
  <c r="M76" i="49"/>
  <c r="N76" i="49" s="1"/>
  <c r="B84" i="75"/>
  <c r="D84" i="75" s="1"/>
  <c r="E84" i="75" s="1"/>
  <c r="N157" i="95"/>
  <c r="N348" i="48"/>
  <c r="O348" i="48" s="1"/>
  <c r="B203" i="75" s="1"/>
  <c r="D203" i="75" s="1"/>
  <c r="E203" i="75" s="1"/>
  <c r="N127" i="49"/>
  <c r="N354" i="48"/>
  <c r="O354" i="48" s="1"/>
  <c r="B208" i="75" s="1"/>
  <c r="D208" i="75" s="1"/>
  <c r="E208" i="75" s="1"/>
  <c r="N160" i="85"/>
  <c r="N310" i="48"/>
  <c r="O310" i="48" s="1"/>
  <c r="B179" i="75" s="1"/>
  <c r="D179" i="75" s="1"/>
  <c r="E179" i="75" s="1"/>
  <c r="N134" i="87"/>
  <c r="N111" i="48"/>
  <c r="O111" i="48" s="1"/>
  <c r="B53" i="75" s="1"/>
  <c r="D53" i="75" s="1"/>
  <c r="E53" i="75" s="1"/>
  <c r="N42" i="87"/>
  <c r="N300" i="48"/>
  <c r="O300" i="48" s="1"/>
  <c r="B173" i="75" s="1"/>
  <c r="D173" i="75" s="1"/>
  <c r="E173" i="75" s="1"/>
  <c r="N110" i="70"/>
  <c r="N360" i="48"/>
  <c r="O360" i="48" s="1"/>
  <c r="B213" i="75" s="1"/>
  <c r="D213" i="75" s="1"/>
  <c r="E213" i="75" s="1"/>
  <c r="N156" i="86"/>
  <c r="M171" i="61"/>
  <c r="M172" i="61" s="1"/>
  <c r="M181" i="61" s="1"/>
  <c r="L172" i="61"/>
  <c r="M340" i="48" s="1"/>
  <c r="D199" i="75"/>
  <c r="E199" i="75" s="1"/>
  <c r="M59" i="70"/>
  <c r="N145" i="48" s="1"/>
  <c r="N108" i="84"/>
  <c r="L127" i="70"/>
  <c r="M350" i="48" s="1"/>
  <c r="M126" i="70"/>
  <c r="M127" i="70" s="1"/>
  <c r="N316" i="48"/>
  <c r="O316" i="48" s="1"/>
  <c r="B181" i="75" s="1"/>
  <c r="D181" i="75" s="1"/>
  <c r="E181" i="75" s="1"/>
  <c r="N134" i="95"/>
  <c r="M341" i="48"/>
  <c r="K181" i="61"/>
  <c r="L156" i="61"/>
  <c r="N156" i="61" s="1"/>
  <c r="N114" i="48"/>
  <c r="O114" i="48" s="1"/>
  <c r="B54" i="75" s="1"/>
  <c r="D54" i="75" s="1"/>
  <c r="E54" i="75" s="1"/>
  <c r="N41" i="86"/>
  <c r="N357" i="48"/>
  <c r="O357" i="48" s="1"/>
  <c r="N157" i="87"/>
  <c r="N313" i="48"/>
  <c r="O313" i="48" s="1"/>
  <c r="B180" i="75" s="1"/>
  <c r="D180" i="75" s="1"/>
  <c r="E180" i="75" s="1"/>
  <c r="N133" i="86"/>
  <c r="N341" i="48"/>
  <c r="N179" i="61"/>
  <c r="N290" i="48"/>
  <c r="O290" i="48" s="1"/>
  <c r="B166" i="75" s="1"/>
  <c r="D166" i="75" s="1"/>
  <c r="E166" i="75" s="1"/>
  <c r="N147" i="61"/>
  <c r="N306" i="48"/>
  <c r="O306" i="48" s="1"/>
  <c r="B177" i="75" s="1"/>
  <c r="D177" i="75" s="1"/>
  <c r="E177" i="75" s="1"/>
  <c r="N136" i="85"/>
  <c r="M430" i="64"/>
  <c r="M431" i="64" s="1"/>
  <c r="N431" i="64" s="1"/>
  <c r="M421" i="64"/>
  <c r="L426" i="64"/>
  <c r="L448" i="64" s="1"/>
  <c r="M368" i="48" s="1"/>
  <c r="M425" i="64"/>
  <c r="M426" i="64" s="1"/>
  <c r="K326" i="48"/>
  <c r="K331" i="48" s="1"/>
  <c r="K373" i="48"/>
  <c r="K378" i="48" s="1"/>
  <c r="L326" i="48"/>
  <c r="L331" i="48" s="1"/>
  <c r="L373" i="48"/>
  <c r="L378" i="48" s="1"/>
  <c r="K117" i="48"/>
  <c r="D42" i="75"/>
  <c r="E42" i="75" s="1"/>
  <c r="D104" i="75"/>
  <c r="E104" i="75" s="1"/>
  <c r="N93" i="24"/>
  <c r="N295" i="48"/>
  <c r="O295" i="48" s="1"/>
  <c r="B170" i="75" s="1"/>
  <c r="D170" i="75" s="1"/>
  <c r="E170" i="75" s="1"/>
  <c r="L135" i="64"/>
  <c r="L139" i="64" s="1"/>
  <c r="L140" i="64" s="1"/>
  <c r="K136" i="64"/>
  <c r="K67" i="64"/>
  <c r="L71" i="48" s="1"/>
  <c r="N331" i="16"/>
  <c r="M365" i="64"/>
  <c r="M366" i="64" s="1"/>
  <c r="L366" i="64"/>
  <c r="L388" i="64" s="1"/>
  <c r="M321" i="48" s="1"/>
  <c r="L271" i="48"/>
  <c r="L276" i="48" s="1"/>
  <c r="L281" i="48" s="1"/>
  <c r="N378" i="16"/>
  <c r="M370" i="64"/>
  <c r="M371" i="64" s="1"/>
  <c r="N371" i="64" s="1"/>
  <c r="M361" i="64"/>
  <c r="O322" i="48"/>
  <c r="N79" i="18"/>
  <c r="L131" i="61"/>
  <c r="O239" i="48"/>
  <c r="B116" i="56" s="1"/>
  <c r="B39" i="56"/>
  <c r="D39" i="56" s="1"/>
  <c r="E39" i="56" s="1"/>
  <c r="B91" i="56"/>
  <c r="D91" i="56" s="1"/>
  <c r="E91" i="56" s="1"/>
  <c r="L306" i="64"/>
  <c r="M305" i="64"/>
  <c r="M306" i="64" s="1"/>
  <c r="I49" i="48"/>
  <c r="I15" i="48"/>
  <c r="I31" i="48" s="1"/>
  <c r="I41" i="48" s="1"/>
  <c r="H31" i="61"/>
  <c r="M131" i="61"/>
  <c r="H31" i="48"/>
  <c r="H41" i="48" s="1"/>
  <c r="M145" i="48"/>
  <c r="N59" i="70"/>
  <c r="J24" i="70"/>
  <c r="I25" i="70"/>
  <c r="J59" i="48" s="1"/>
  <c r="M301" i="64"/>
  <c r="M310" i="64"/>
  <c r="M311" i="64" s="1"/>
  <c r="N311" i="64" s="1"/>
  <c r="H56" i="61"/>
  <c r="I89" i="48"/>
  <c r="I22" i="61"/>
  <c r="J21" i="61"/>
  <c r="L23" i="18"/>
  <c r="K24" i="18"/>
  <c r="I47" i="61"/>
  <c r="J46" i="61"/>
  <c r="N186" i="48"/>
  <c r="M106" i="61"/>
  <c r="O138" i="48"/>
  <c r="M46" i="48"/>
  <c r="L32" i="14"/>
  <c r="N23" i="14"/>
  <c r="J31" i="18"/>
  <c r="K52" i="48"/>
  <c r="N129" i="61"/>
  <c r="L106" i="61"/>
  <c r="M186" i="48"/>
  <c r="N97" i="61"/>
  <c r="N46" i="48"/>
  <c r="M32" i="14"/>
  <c r="K26" i="48"/>
  <c r="N27" i="48"/>
  <c r="O27" i="48" s="1"/>
  <c r="N67" i="16"/>
  <c r="B44" i="56"/>
  <c r="B47" i="75"/>
  <c r="D47" i="75" s="1"/>
  <c r="E47" i="75" s="1"/>
  <c r="B141" i="75"/>
  <c r="D141" i="75" s="1"/>
  <c r="E141" i="75" s="1"/>
  <c r="B122" i="56"/>
  <c r="B140" i="75"/>
  <c r="D140" i="75" s="1"/>
  <c r="E140" i="75" s="1"/>
  <c r="B121" i="56"/>
  <c r="O135" i="48"/>
  <c r="B136" i="75"/>
  <c r="D136" i="75" s="1"/>
  <c r="E136" i="75" s="1"/>
  <c r="B117" i="56"/>
  <c r="O238" i="48"/>
  <c r="N81" i="61"/>
  <c r="N226" i="64"/>
  <c r="L60" i="64"/>
  <c r="L65" i="64"/>
  <c r="B235" i="64"/>
  <c r="B231" i="64"/>
  <c r="N231" i="64" s="1"/>
  <c r="M50" i="64"/>
  <c r="N194" i="48" l="1"/>
  <c r="O194" i="48" s="1"/>
  <c r="B95" i="56" s="1"/>
  <c r="D95" i="56" s="1"/>
  <c r="E95" i="56" s="1"/>
  <c r="F95" i="56" s="1"/>
  <c r="L181" i="61"/>
  <c r="N181" i="61" s="1"/>
  <c r="B192" i="75"/>
  <c r="D192" i="75" s="1"/>
  <c r="E192" i="75" s="1"/>
  <c r="O341" i="48"/>
  <c r="B198" i="75" s="1"/>
  <c r="D198" i="75" s="1"/>
  <c r="E198" i="75" s="1"/>
  <c r="B210" i="75"/>
  <c r="D210" i="75" s="1"/>
  <c r="E210" i="75" s="1"/>
  <c r="N350" i="48"/>
  <c r="O350" i="48" s="1"/>
  <c r="B204" i="75" s="1"/>
  <c r="D204" i="75" s="1"/>
  <c r="E204" i="75" s="1"/>
  <c r="N127" i="70"/>
  <c r="N340" i="48"/>
  <c r="O340" i="48" s="1"/>
  <c r="B197" i="75" s="1"/>
  <c r="N172" i="61"/>
  <c r="M448" i="64"/>
  <c r="N421" i="64"/>
  <c r="N426" i="64"/>
  <c r="M326" i="48"/>
  <c r="M331" i="48" s="1"/>
  <c r="M373" i="48"/>
  <c r="M378" i="48" s="1"/>
  <c r="O369" i="48"/>
  <c r="B215" i="75" s="1"/>
  <c r="D215" i="75" s="1"/>
  <c r="E215" i="75" s="1"/>
  <c r="K142" i="64"/>
  <c r="L117" i="48" s="1"/>
  <c r="O46" i="48"/>
  <c r="O145" i="48"/>
  <c r="B77" i="75" s="1"/>
  <c r="D77" i="75" s="1"/>
  <c r="E77" i="75" s="1"/>
  <c r="B108" i="75"/>
  <c r="M135" i="64"/>
  <c r="L136" i="64"/>
  <c r="L142" i="64" s="1"/>
  <c r="L67" i="64"/>
  <c r="M71" i="48" s="1"/>
  <c r="N366" i="64"/>
  <c r="M388" i="64"/>
  <c r="N361" i="64"/>
  <c r="B184" i="75"/>
  <c r="D184" i="75" s="1"/>
  <c r="E184" i="75" s="1"/>
  <c r="N106" i="61"/>
  <c r="N131" i="61"/>
  <c r="B135" i="75"/>
  <c r="D135" i="75" s="1"/>
  <c r="E135" i="75" s="1"/>
  <c r="N32" i="14"/>
  <c r="M328" i="64"/>
  <c r="J47" i="61"/>
  <c r="K46" i="61"/>
  <c r="M23" i="18"/>
  <c r="M24" i="18" s="1"/>
  <c r="L24" i="18"/>
  <c r="O186" i="48"/>
  <c r="B72" i="75"/>
  <c r="B65" i="56"/>
  <c r="D65" i="56" s="1"/>
  <c r="E65" i="56" s="1"/>
  <c r="I56" i="61"/>
  <c r="J89" i="48"/>
  <c r="J22" i="61"/>
  <c r="K21" i="61"/>
  <c r="L328" i="64"/>
  <c r="N306" i="64"/>
  <c r="N301" i="64"/>
  <c r="J49" i="48"/>
  <c r="J15" i="48"/>
  <c r="I31" i="61"/>
  <c r="K24" i="70"/>
  <c r="J25" i="70"/>
  <c r="L52" i="48"/>
  <c r="K31" i="18"/>
  <c r="B63" i="56"/>
  <c r="B70" i="75"/>
  <c r="B115" i="56"/>
  <c r="B134" i="75"/>
  <c r="D134" i="75" s="1"/>
  <c r="E134" i="75" s="1"/>
  <c r="M60" i="64"/>
  <c r="N60" i="64" s="1"/>
  <c r="M65" i="64"/>
  <c r="N65" i="64" s="1"/>
  <c r="N50" i="64"/>
  <c r="L26" i="48"/>
  <c r="B236" i="64"/>
  <c r="N236" i="64" s="1"/>
  <c r="B240" i="64"/>
  <c r="D197" i="75" l="1"/>
  <c r="E197" i="75" s="1"/>
  <c r="B223" i="75"/>
  <c r="D223" i="75" s="1"/>
  <c r="E223" i="75" s="1"/>
  <c r="N448" i="64"/>
  <c r="N368" i="48"/>
  <c r="M136" i="64"/>
  <c r="N136" i="64" s="1"/>
  <c r="M139" i="64"/>
  <c r="M140" i="64" s="1"/>
  <c r="N140" i="64" s="1"/>
  <c r="M117" i="48"/>
  <c r="D108" i="75"/>
  <c r="E108" i="75" s="1"/>
  <c r="D72" i="75"/>
  <c r="E72" i="75" s="1"/>
  <c r="D70" i="75"/>
  <c r="E70" i="75" s="1"/>
  <c r="B22" i="56"/>
  <c r="D22" i="56" s="1"/>
  <c r="E22" i="56" s="1"/>
  <c r="D26" i="75"/>
  <c r="E26" i="75" s="1"/>
  <c r="B9" i="75"/>
  <c r="B9" i="56"/>
  <c r="D9" i="56" s="1"/>
  <c r="E9" i="56" s="1"/>
  <c r="B70" i="56"/>
  <c r="M67" i="64"/>
  <c r="N71" i="48" s="1"/>
  <c r="O71" i="48" s="1"/>
  <c r="B25" i="75" s="1"/>
  <c r="N271" i="48"/>
  <c r="N276" i="48" s="1"/>
  <c r="N281" i="48" s="1"/>
  <c r="M271" i="48"/>
  <c r="M276" i="48" s="1"/>
  <c r="M281" i="48" s="1"/>
  <c r="N388" i="64"/>
  <c r="N321" i="48"/>
  <c r="K15" i="48"/>
  <c r="K31" i="48" s="1"/>
  <c r="K41" i="48" s="1"/>
  <c r="K49" i="48"/>
  <c r="J31" i="61"/>
  <c r="M52" i="48"/>
  <c r="L31" i="18"/>
  <c r="N24" i="18"/>
  <c r="K59" i="48"/>
  <c r="N52" i="48"/>
  <c r="M31" i="18"/>
  <c r="L24" i="70"/>
  <c r="K25" i="70"/>
  <c r="L59" i="48" s="1"/>
  <c r="J31" i="48"/>
  <c r="J41" i="48" s="1"/>
  <c r="B102" i="75"/>
  <c r="D102" i="75" s="1"/>
  <c r="E102" i="75" s="1"/>
  <c r="B89" i="56"/>
  <c r="L46" i="61"/>
  <c r="K47" i="61"/>
  <c r="L21" i="61"/>
  <c r="K22" i="61"/>
  <c r="K89" i="48"/>
  <c r="J56" i="61"/>
  <c r="M26" i="48"/>
  <c r="D63" i="56"/>
  <c r="E63" i="56" s="1"/>
  <c r="B245" i="64"/>
  <c r="B250" i="64"/>
  <c r="B241" i="64"/>
  <c r="N31" i="18" l="1"/>
  <c r="N373" i="48"/>
  <c r="N378" i="48" s="1"/>
  <c r="O368" i="48"/>
  <c r="M142" i="64"/>
  <c r="N142" i="64" s="1"/>
  <c r="D9" i="75"/>
  <c r="E9" i="75" s="1"/>
  <c r="O321" i="48"/>
  <c r="N326" i="48"/>
  <c r="N331" i="48" s="1"/>
  <c r="D89" i="56"/>
  <c r="E89" i="56" s="1"/>
  <c r="O52" i="48"/>
  <c r="B13" i="75" s="1"/>
  <c r="L49" i="48"/>
  <c r="K31" i="61"/>
  <c r="L15" i="48"/>
  <c r="L31" i="48" s="1"/>
  <c r="L41" i="48" s="1"/>
  <c r="L89" i="48"/>
  <c r="K56" i="61"/>
  <c r="L22" i="61"/>
  <c r="M21" i="61"/>
  <c r="M22" i="61" s="1"/>
  <c r="M46" i="61"/>
  <c r="M47" i="61" s="1"/>
  <c r="L47" i="61"/>
  <c r="M24" i="70"/>
  <c r="M25" i="70" s="1"/>
  <c r="N59" i="48" s="1"/>
  <c r="L25" i="70"/>
  <c r="M59" i="48" s="1"/>
  <c r="N67" i="64"/>
  <c r="N26" i="48"/>
  <c r="O26" i="48" s="1"/>
  <c r="D25" i="75"/>
  <c r="E25" i="75" s="1"/>
  <c r="B260" i="64"/>
  <c r="B251" i="64"/>
  <c r="N251" i="64" s="1"/>
  <c r="B255" i="64"/>
  <c r="B256" i="64" s="1"/>
  <c r="N256" i="64" s="1"/>
  <c r="N241" i="64"/>
  <c r="O373" i="48" l="1"/>
  <c r="O378" i="48" s="1"/>
  <c r="B214" i="75"/>
  <c r="D214" i="75" s="1"/>
  <c r="E214" i="75" s="1"/>
  <c r="N117" i="48"/>
  <c r="O117" i="48" s="1"/>
  <c r="B183" i="75"/>
  <c r="D183" i="75" s="1"/>
  <c r="E183" i="75" s="1"/>
  <c r="O326" i="48"/>
  <c r="O331" i="48" s="1"/>
  <c r="N89" i="48"/>
  <c r="M56" i="61"/>
  <c r="N49" i="48"/>
  <c r="M31" i="61"/>
  <c r="N15" i="48"/>
  <c r="N22" i="61"/>
  <c r="B13" i="56"/>
  <c r="D13" i="56" s="1"/>
  <c r="E13" i="56" s="1"/>
  <c r="D13" i="75"/>
  <c r="E13" i="75" s="1"/>
  <c r="O59" i="48"/>
  <c r="B18" i="75" s="1"/>
  <c r="L31" i="61"/>
  <c r="M15" i="48"/>
  <c r="M31" i="48" s="1"/>
  <c r="M41" i="48" s="1"/>
  <c r="M49" i="48"/>
  <c r="N25" i="70"/>
  <c r="M89" i="48"/>
  <c r="L56" i="61"/>
  <c r="N47" i="61"/>
  <c r="B21" i="56"/>
  <c r="D21" i="56" s="1"/>
  <c r="B265" i="64"/>
  <c r="B266" i="64" s="1"/>
  <c r="N266" i="64" s="1"/>
  <c r="B261" i="64"/>
  <c r="B275" i="64"/>
  <c r="B47" i="56" l="1"/>
  <c r="D47" i="56" s="1"/>
  <c r="E47" i="56" s="1"/>
  <c r="G47" i="56" s="1"/>
  <c r="B55" i="75"/>
  <c r="D55" i="75" s="1"/>
  <c r="E55" i="75" s="1"/>
  <c r="B218" i="75"/>
  <c r="B222" i="75" s="1"/>
  <c r="D222" i="75" s="1"/>
  <c r="E222" i="75" s="1"/>
  <c r="D18" i="75"/>
  <c r="E18" i="75" s="1"/>
  <c r="B187" i="75"/>
  <c r="B191" i="75" s="1"/>
  <c r="N31" i="61"/>
  <c r="O89" i="48"/>
  <c r="B37" i="56" s="1"/>
  <c r="B18" i="56"/>
  <c r="O49" i="48"/>
  <c r="N56" i="61"/>
  <c r="N31" i="48"/>
  <c r="N41" i="48" s="1"/>
  <c r="O15" i="48"/>
  <c r="O31" i="48" s="1"/>
  <c r="O41" i="48" s="1"/>
  <c r="E21" i="56"/>
  <c r="N261" i="64"/>
  <c r="B280" i="64"/>
  <c r="B276" i="64"/>
  <c r="D218" i="75" l="1"/>
  <c r="E218" i="75" s="1"/>
  <c r="B11" i="75"/>
  <c r="B40" i="75"/>
  <c r="D37" i="56"/>
  <c r="B11" i="56"/>
  <c r="B281" i="64"/>
  <c r="N281" i="64" s="1"/>
  <c r="B285" i="64"/>
  <c r="B286" i="64" s="1"/>
  <c r="N286" i="64" s="1"/>
  <c r="N276" i="64"/>
  <c r="D40" i="75" l="1"/>
  <c r="E40" i="75" s="1"/>
  <c r="D11" i="75"/>
  <c r="E11" i="75" s="1"/>
  <c r="E37" i="56"/>
  <c r="D51" i="56"/>
  <c r="E51" i="56" s="1"/>
  <c r="D11" i="56"/>
  <c r="B328" i="64"/>
  <c r="C271" i="48" s="1"/>
  <c r="E11" i="56" l="1"/>
  <c r="D25" i="56"/>
  <c r="E25" i="56" s="1"/>
  <c r="N328" i="64"/>
  <c r="O271" i="48" l="1"/>
  <c r="B125" i="56" l="1"/>
  <c r="B151" i="75"/>
  <c r="D151" i="75" s="1"/>
  <c r="E151" i="75" s="1"/>
  <c r="N178" i="64"/>
  <c r="N209" i="64"/>
  <c r="O207" i="4" s="1"/>
  <c r="B174" i="16"/>
  <c r="B180" i="64"/>
  <c r="N180" i="64" l="1"/>
  <c r="B208" i="64"/>
  <c r="B176" i="16"/>
  <c r="B208" i="16" s="1"/>
  <c r="B209" i="16"/>
  <c r="N209" i="16" s="1"/>
  <c r="P207" i="4" s="1"/>
  <c r="N174" i="16"/>
  <c r="N176" i="16" l="1"/>
  <c r="N208" i="16"/>
  <c r="C169" i="48"/>
  <c r="O169" i="48" s="1"/>
  <c r="C168" i="48"/>
  <c r="N208" i="64"/>
  <c r="B74" i="56" l="1"/>
  <c r="D74" i="56" s="1"/>
  <c r="E74" i="56" s="1"/>
  <c r="F74" i="56" s="1"/>
  <c r="G74" i="56" s="1"/>
  <c r="B88" i="75"/>
  <c r="O168" i="48"/>
  <c r="D88" i="75" l="1"/>
  <c r="E88" i="75" s="1"/>
  <c r="B73" i="56"/>
  <c r="B87" i="75"/>
  <c r="D87" i="75" s="1"/>
  <c r="E87" i="75" s="1"/>
  <c r="D73" i="56" l="1"/>
  <c r="D77" i="56" l="1"/>
  <c r="E77" i="56" s="1"/>
  <c r="E73" i="56"/>
  <c r="F73" i="56" s="1"/>
  <c r="G73" i="56" s="1"/>
  <c r="N244" i="64"/>
  <c r="B269" i="64"/>
  <c r="N269" i="64" s="1"/>
  <c r="O267" i="4" s="1"/>
  <c r="B244" i="16"/>
  <c r="N244" i="16" s="1"/>
  <c r="B246" i="64"/>
  <c r="N246" i="64" s="1"/>
  <c r="B268" i="64" l="1"/>
  <c r="N268" i="64" s="1"/>
  <c r="B269" i="16"/>
  <c r="N269" i="16" s="1"/>
  <c r="P267" i="4" s="1"/>
  <c r="B246" i="16"/>
  <c r="C219" i="48" l="1"/>
  <c r="O219" i="48" s="1"/>
  <c r="B119" i="75" s="1"/>
  <c r="D119" i="75" s="1"/>
  <c r="E119" i="75" s="1"/>
  <c r="B268" i="16"/>
  <c r="N246" i="16"/>
  <c r="B99" i="56" l="1"/>
  <c r="D99" i="56" s="1"/>
  <c r="E99" i="56" s="1"/>
  <c r="F99" i="56" s="1"/>
  <c r="G99" i="56" s="1"/>
  <c r="N268" i="16"/>
  <c r="C220" i="48"/>
  <c r="O220" i="48" l="1"/>
  <c r="B100" i="56" l="1"/>
  <c r="B120" i="75"/>
  <c r="D120" i="75" s="1"/>
  <c r="E120" i="75" s="1"/>
  <c r="D100" i="56" l="1"/>
  <c r="E100" i="56" l="1"/>
  <c r="F100" i="56" s="1"/>
  <c r="G100" i="56" s="1"/>
  <c r="D103" i="56"/>
  <c r="E103" i="56" s="1"/>
  <c r="C14" i="79" l="1"/>
  <c r="J14" i="73"/>
  <c r="M31" i="79"/>
  <c r="D65" i="79"/>
  <c r="C81" i="79"/>
  <c r="I14" i="73"/>
  <c r="M14" i="73"/>
  <c r="F31" i="79"/>
  <c r="J31" i="79"/>
  <c r="L48" i="79"/>
  <c r="L65" i="79"/>
  <c r="F81" i="79"/>
  <c r="F48" i="79"/>
  <c r="I48" i="73"/>
  <c r="J48" i="73"/>
  <c r="C65" i="79"/>
  <c r="F65" i="73"/>
  <c r="J65" i="73"/>
  <c r="K65" i="79"/>
  <c r="D14" i="73"/>
  <c r="E14" i="79"/>
  <c r="I14" i="79"/>
  <c r="M14" i="79"/>
  <c r="C31" i="79"/>
  <c r="G31" i="79"/>
  <c r="K31" i="79"/>
  <c r="E48" i="79"/>
  <c r="I48" i="79"/>
  <c r="J48" i="79"/>
  <c r="M48" i="73"/>
  <c r="E65" i="73"/>
  <c r="F65" i="79"/>
  <c r="I65" i="73"/>
  <c r="J65" i="79"/>
  <c r="M65" i="73"/>
  <c r="G14" i="79"/>
  <c r="K14" i="79"/>
  <c r="E31" i="79"/>
  <c r="I31" i="79"/>
  <c r="C48" i="79"/>
  <c r="G48" i="79"/>
  <c r="H65" i="79"/>
  <c r="E14" i="73"/>
  <c r="F14" i="79"/>
  <c r="J14" i="79"/>
  <c r="G31" i="73"/>
  <c r="K31" i="73"/>
  <c r="E48" i="73"/>
  <c r="K48" i="79"/>
  <c r="G65" i="79"/>
  <c r="E81" i="79"/>
  <c r="D14" i="79"/>
  <c r="G14" i="73"/>
  <c r="H14" i="79"/>
  <c r="K14" i="73"/>
  <c r="L14" i="79"/>
  <c r="D31" i="79"/>
  <c r="H31" i="79"/>
  <c r="L31" i="79"/>
  <c r="D48" i="79"/>
  <c r="H48" i="79"/>
  <c r="L48" i="73"/>
  <c r="M48" i="79"/>
  <c r="D65" i="73"/>
  <c r="E65" i="79"/>
  <c r="H65" i="73"/>
  <c r="I65" i="79"/>
  <c r="L65" i="73"/>
  <c r="M65" i="79"/>
  <c r="D81" i="79"/>
  <c r="L15" i="90" l="1"/>
  <c r="L69" i="73"/>
  <c r="L67" i="73"/>
  <c r="L66" i="73" s="1"/>
  <c r="K15" i="94"/>
  <c r="K33" i="73"/>
  <c r="K32" i="73" s="1"/>
  <c r="K35" i="73"/>
  <c r="L100" i="48" s="1"/>
  <c r="M15" i="90"/>
  <c r="M69" i="73"/>
  <c r="M67" i="73"/>
  <c r="M66" i="73" s="1"/>
  <c r="E15" i="90"/>
  <c r="E69" i="73"/>
  <c r="F197" i="48" s="1"/>
  <c r="E67" i="73"/>
  <c r="E66" i="73" s="1"/>
  <c r="J15" i="89"/>
  <c r="J52" i="73"/>
  <c r="K146" i="48" s="1"/>
  <c r="J50" i="73"/>
  <c r="J49" i="73" s="1"/>
  <c r="E15" i="89"/>
  <c r="E52" i="73"/>
  <c r="F146" i="48" s="1"/>
  <c r="E50" i="73"/>
  <c r="E49" i="73" s="1"/>
  <c r="H15" i="90"/>
  <c r="H69" i="73"/>
  <c r="H67" i="73"/>
  <c r="H66" i="73"/>
  <c r="L15" i="89"/>
  <c r="L52" i="73"/>
  <c r="L50" i="73"/>
  <c r="L49" i="73"/>
  <c r="G15" i="94"/>
  <c r="G35" i="73"/>
  <c r="G33" i="73"/>
  <c r="G32" i="73" s="1"/>
  <c r="M15" i="89"/>
  <c r="M52" i="73"/>
  <c r="N146" i="48" s="1"/>
  <c r="M50" i="73"/>
  <c r="M49" i="73" s="1"/>
  <c r="J15" i="90"/>
  <c r="J67" i="73"/>
  <c r="J66" i="73" s="1"/>
  <c r="J69" i="73"/>
  <c r="K197" i="48" s="1"/>
  <c r="I15" i="89"/>
  <c r="I50" i="73"/>
  <c r="I49" i="73" s="1"/>
  <c r="I52" i="73"/>
  <c r="J146" i="48" s="1"/>
  <c r="D15" i="90"/>
  <c r="D69" i="73"/>
  <c r="E197" i="48" s="1"/>
  <c r="D67" i="73"/>
  <c r="D66" i="73" s="1"/>
  <c r="I15" i="90"/>
  <c r="I69" i="73"/>
  <c r="J197" i="48" s="1"/>
  <c r="I67" i="73"/>
  <c r="I66" i="73" s="1"/>
  <c r="F15" i="90"/>
  <c r="F67" i="73"/>
  <c r="F66" i="73" s="1"/>
  <c r="F69" i="73"/>
  <c r="G197" i="48" s="1"/>
  <c r="F69" i="79"/>
  <c r="G199" i="48" s="1"/>
  <c r="F67" i="79"/>
  <c r="F66" i="79"/>
  <c r="F11" i="90"/>
  <c r="I11" i="90"/>
  <c r="I69" i="79"/>
  <c r="J199" i="48" s="1"/>
  <c r="I67" i="79"/>
  <c r="I66" i="79" s="1"/>
  <c r="M11" i="89"/>
  <c r="M52" i="79"/>
  <c r="N148" i="48" s="1"/>
  <c r="M50" i="79"/>
  <c r="M49" i="79" s="1"/>
  <c r="L35" i="79"/>
  <c r="M102" i="48" s="1"/>
  <c r="L33" i="79"/>
  <c r="L32" i="79" s="1"/>
  <c r="L11" i="94"/>
  <c r="I35" i="79"/>
  <c r="J102" i="48" s="1"/>
  <c r="I33" i="79"/>
  <c r="I32" i="79" s="1"/>
  <c r="I11" i="94"/>
  <c r="E11" i="89"/>
  <c r="E52" i="79"/>
  <c r="F148" i="48" s="1"/>
  <c r="E50" i="79"/>
  <c r="E49" i="79" s="1"/>
  <c r="K11" i="90"/>
  <c r="K69" i="79"/>
  <c r="L199" i="48" s="1"/>
  <c r="K67" i="79"/>
  <c r="K66" i="79" s="1"/>
  <c r="L69" i="79"/>
  <c r="M199" i="48" s="1"/>
  <c r="L11" i="90"/>
  <c r="L67" i="79"/>
  <c r="L66" i="79" s="1"/>
  <c r="M35" i="79"/>
  <c r="N102" i="48" s="1"/>
  <c r="M33" i="79"/>
  <c r="M32" i="79" s="1"/>
  <c r="M11" i="94"/>
  <c r="I11" i="89"/>
  <c r="I52" i="79"/>
  <c r="J148" i="48" s="1"/>
  <c r="I50" i="79"/>
  <c r="I49" i="79" s="1"/>
  <c r="C11" i="90"/>
  <c r="C67" i="79"/>
  <c r="C66" i="79" s="1"/>
  <c r="C69" i="79"/>
  <c r="D199" i="48" s="1"/>
  <c r="F35" i="79"/>
  <c r="G102" i="48" s="1"/>
  <c r="F33" i="79"/>
  <c r="F32" i="79" s="1"/>
  <c r="F11" i="94"/>
  <c r="H35" i="79"/>
  <c r="I102" i="48" s="1"/>
  <c r="H33" i="79"/>
  <c r="H32" i="79" s="1"/>
  <c r="H11" i="94"/>
  <c r="G11" i="90"/>
  <c r="G67" i="79"/>
  <c r="G66" i="79" s="1"/>
  <c r="G69" i="79"/>
  <c r="H199" i="48" s="1"/>
  <c r="H69" i="79"/>
  <c r="I199" i="48" s="1"/>
  <c r="H11" i="90"/>
  <c r="H67" i="79"/>
  <c r="H66" i="79" s="1"/>
  <c r="E35" i="79"/>
  <c r="E33" i="79"/>
  <c r="E32" i="79" s="1"/>
  <c r="E11" i="94"/>
  <c r="J69" i="79"/>
  <c r="J67" i="79"/>
  <c r="J66" i="79" s="1"/>
  <c r="J11" i="90"/>
  <c r="K35" i="79"/>
  <c r="L102" i="48" s="1"/>
  <c r="K33" i="79"/>
  <c r="K32" i="79" s="1"/>
  <c r="K11" i="94"/>
  <c r="K22" i="94" s="1"/>
  <c r="K35" i="94" s="1"/>
  <c r="L52" i="79"/>
  <c r="L11" i="89"/>
  <c r="L50" i="79"/>
  <c r="L49" i="79" s="1"/>
  <c r="D52" i="79"/>
  <c r="E148" i="48" s="1"/>
  <c r="D11" i="89"/>
  <c r="D50" i="79"/>
  <c r="D49" i="79" s="1"/>
  <c r="C11" i="89"/>
  <c r="C52" i="79"/>
  <c r="D148" i="48" s="1"/>
  <c r="C50" i="79"/>
  <c r="C49" i="79" s="1"/>
  <c r="C35" i="79"/>
  <c r="D102" i="48" s="1"/>
  <c r="C33" i="79"/>
  <c r="C32" i="79" s="1"/>
  <c r="C11" i="94"/>
  <c r="D69" i="79"/>
  <c r="E199" i="48" s="1"/>
  <c r="D11" i="90"/>
  <c r="D67" i="79"/>
  <c r="D66" i="79" s="1"/>
  <c r="M11" i="90"/>
  <c r="M69" i="79"/>
  <c r="N199" i="48" s="1"/>
  <c r="M67" i="79"/>
  <c r="M66" i="79" s="1"/>
  <c r="E11" i="90"/>
  <c r="E69" i="79"/>
  <c r="F199" i="48" s="1"/>
  <c r="E67" i="79"/>
  <c r="E66" i="79" s="1"/>
  <c r="H52" i="79"/>
  <c r="I148" i="48" s="1"/>
  <c r="H11" i="89"/>
  <c r="H50" i="79"/>
  <c r="H49" i="79" s="1"/>
  <c r="D35" i="79"/>
  <c r="E102" i="48" s="1"/>
  <c r="D33" i="79"/>
  <c r="D32" i="79" s="1"/>
  <c r="D11" i="94"/>
  <c r="K11" i="89"/>
  <c r="K52" i="79"/>
  <c r="L148" i="48" s="1"/>
  <c r="K50" i="79"/>
  <c r="K49" i="79" s="1"/>
  <c r="G11" i="89"/>
  <c r="G52" i="79"/>
  <c r="H148" i="48" s="1"/>
  <c r="G50" i="79"/>
  <c r="G49" i="79" s="1"/>
  <c r="J52" i="79"/>
  <c r="J50" i="79"/>
  <c r="J49" i="79" s="1"/>
  <c r="J11" i="89"/>
  <c r="G35" i="79"/>
  <c r="H102" i="48" s="1"/>
  <c r="G33" i="79"/>
  <c r="G32" i="79" s="1"/>
  <c r="G11" i="94"/>
  <c r="F52" i="79"/>
  <c r="G148" i="48" s="1"/>
  <c r="F50" i="79"/>
  <c r="F49" i="79" s="1"/>
  <c r="F11" i="89"/>
  <c r="J35" i="79"/>
  <c r="K102" i="48" s="1"/>
  <c r="J33" i="79"/>
  <c r="J32" i="79" s="1"/>
  <c r="J11" i="94"/>
  <c r="K72" i="79"/>
  <c r="F72" i="73"/>
  <c r="F82" i="79"/>
  <c r="F83" i="79" s="1"/>
  <c r="F85" i="79" s="1"/>
  <c r="G251" i="48" s="1"/>
  <c r="F88" i="79"/>
  <c r="F89" i="79" s="1"/>
  <c r="F90" i="79" s="1"/>
  <c r="F92" i="79" s="1"/>
  <c r="G252" i="48" s="1"/>
  <c r="C31" i="73"/>
  <c r="D82" i="79"/>
  <c r="D83" i="79" s="1"/>
  <c r="D85" i="79" s="1"/>
  <c r="E251" i="48" s="1"/>
  <c r="D88" i="79"/>
  <c r="D89" i="79" s="1"/>
  <c r="D90" i="79" s="1"/>
  <c r="D92" i="79" s="1"/>
  <c r="E252" i="48" s="1"/>
  <c r="M197" i="48"/>
  <c r="L72" i="73"/>
  <c r="I197" i="48"/>
  <c r="H72" i="73"/>
  <c r="D72" i="73"/>
  <c r="L55" i="73"/>
  <c r="M146" i="48"/>
  <c r="G48" i="73"/>
  <c r="M31" i="73"/>
  <c r="I31" i="73"/>
  <c r="E31" i="73"/>
  <c r="H15" i="79"/>
  <c r="H16" i="79" s="1"/>
  <c r="H18" i="79" s="1"/>
  <c r="I62" i="48" s="1"/>
  <c r="H21" i="79"/>
  <c r="G21" i="73"/>
  <c r="G22" i="73" s="1"/>
  <c r="G23" i="73" s="1"/>
  <c r="G25" i="73" s="1"/>
  <c r="H61" i="48" s="1"/>
  <c r="G15" i="73"/>
  <c r="G16" i="73" s="1"/>
  <c r="G18" i="73" s="1"/>
  <c r="H60" i="48" s="1"/>
  <c r="G72" i="79"/>
  <c r="K55" i="79"/>
  <c r="G38" i="73"/>
  <c r="H100" i="48"/>
  <c r="J15" i="79"/>
  <c r="J16" i="79" s="1"/>
  <c r="J18" i="79" s="1"/>
  <c r="K62" i="48" s="1"/>
  <c r="J21" i="79"/>
  <c r="J22" i="79" s="1"/>
  <c r="J23" i="79" s="1"/>
  <c r="J25" i="79" s="1"/>
  <c r="K63" i="48" s="1"/>
  <c r="E21" i="73"/>
  <c r="E15" i="73"/>
  <c r="E16" i="73" s="1"/>
  <c r="E18" i="73" s="1"/>
  <c r="F60" i="48" s="1"/>
  <c r="H72" i="79"/>
  <c r="F48" i="73"/>
  <c r="I38" i="79"/>
  <c r="E38" i="79"/>
  <c r="F102" i="48"/>
  <c r="G15" i="79"/>
  <c r="G16" i="79" s="1"/>
  <c r="G18" i="79" s="1"/>
  <c r="H62" i="48" s="1"/>
  <c r="G21" i="79"/>
  <c r="G22" i="79" s="1"/>
  <c r="G23" i="79" s="1"/>
  <c r="G25" i="79" s="1"/>
  <c r="H63" i="48" s="1"/>
  <c r="K199" i="48"/>
  <c r="J72" i="79"/>
  <c r="F72" i="79"/>
  <c r="B65" i="79"/>
  <c r="Q13" i="78"/>
  <c r="O48" i="79" s="1"/>
  <c r="B82" i="73"/>
  <c r="B15" i="91" s="1"/>
  <c r="B24" i="91" s="1"/>
  <c r="Q14" i="72"/>
  <c r="I55" i="73"/>
  <c r="F55" i="79"/>
  <c r="F38" i="79"/>
  <c r="B31" i="79"/>
  <c r="Q11" i="78"/>
  <c r="O14" i="79" s="1"/>
  <c r="O21" i="79" s="1"/>
  <c r="D72" i="79"/>
  <c r="M38" i="79"/>
  <c r="J21" i="73"/>
  <c r="J15" i="73"/>
  <c r="J16" i="73" s="1"/>
  <c r="J18" i="73" s="1"/>
  <c r="K60" i="48" s="1"/>
  <c r="C21" i="79"/>
  <c r="C22" i="79" s="1"/>
  <c r="C23" i="79" s="1"/>
  <c r="C25" i="79" s="1"/>
  <c r="D63" i="48" s="1"/>
  <c r="C15" i="79"/>
  <c r="C16" i="79" s="1"/>
  <c r="C18" i="79" s="1"/>
  <c r="D62" i="48" s="1"/>
  <c r="J55" i="79"/>
  <c r="K148" i="48"/>
  <c r="H48" i="73"/>
  <c r="D48" i="73"/>
  <c r="K38" i="79"/>
  <c r="G38" i="79"/>
  <c r="C38" i="79"/>
  <c r="L14" i="73"/>
  <c r="H14" i="73"/>
  <c r="D21" i="73"/>
  <c r="D22" i="73" s="1"/>
  <c r="D23" i="73" s="1"/>
  <c r="D25" i="73" s="1"/>
  <c r="E61" i="48" s="1"/>
  <c r="D15" i="73"/>
  <c r="D16" i="73" s="1"/>
  <c r="D18" i="73" s="1"/>
  <c r="E60" i="48" s="1"/>
  <c r="J72" i="73"/>
  <c r="C72" i="79"/>
  <c r="L55" i="79"/>
  <c r="M148" i="48"/>
  <c r="M21" i="73"/>
  <c r="M22" i="73" s="1"/>
  <c r="M23" i="73" s="1"/>
  <c r="M25" i="73" s="1"/>
  <c r="N61" i="48" s="1"/>
  <c r="M15" i="73"/>
  <c r="M16" i="73" s="1"/>
  <c r="M18" i="73" s="1"/>
  <c r="N60" i="48" s="1"/>
  <c r="B81" i="79"/>
  <c r="Q14" i="78"/>
  <c r="O65" i="79" s="1"/>
  <c r="M55" i="73"/>
  <c r="I55" i="79"/>
  <c r="E55" i="79"/>
  <c r="L31" i="73"/>
  <c r="H31" i="73"/>
  <c r="D31" i="73"/>
  <c r="M21" i="79"/>
  <c r="M15" i="79"/>
  <c r="M16" i="79" s="1"/>
  <c r="M18" i="79" s="1"/>
  <c r="N62" i="48" s="1"/>
  <c r="I21" i="79"/>
  <c r="I15" i="79"/>
  <c r="I16" i="79" s="1"/>
  <c r="I18" i="79" s="1"/>
  <c r="J62" i="48" s="1"/>
  <c r="E21" i="79"/>
  <c r="E22" i="79" s="1"/>
  <c r="E23" i="79" s="1"/>
  <c r="E25" i="79" s="1"/>
  <c r="F63" i="48" s="1"/>
  <c r="E15" i="79"/>
  <c r="E16" i="79" s="1"/>
  <c r="E18" i="79" s="1"/>
  <c r="F62" i="48" s="1"/>
  <c r="B65" i="73"/>
  <c r="L72" i="79"/>
  <c r="K48" i="73"/>
  <c r="I21" i="73"/>
  <c r="I22" i="73" s="1"/>
  <c r="I23" i="73" s="1"/>
  <c r="I25" i="73" s="1"/>
  <c r="J61" i="48" s="1"/>
  <c r="I15" i="73"/>
  <c r="I16" i="73" s="1"/>
  <c r="I18" i="73" s="1"/>
  <c r="J60" i="48" s="1"/>
  <c r="M72" i="79"/>
  <c r="I72" i="79"/>
  <c r="E72" i="79"/>
  <c r="M55" i="79"/>
  <c r="H55" i="79"/>
  <c r="D55" i="79"/>
  <c r="L38" i="79"/>
  <c r="H38" i="79"/>
  <c r="D38" i="79"/>
  <c r="L15" i="79"/>
  <c r="L16" i="79" s="1"/>
  <c r="L18" i="79" s="1"/>
  <c r="M62" i="48" s="1"/>
  <c r="L21" i="79"/>
  <c r="K21" i="73"/>
  <c r="K15" i="73"/>
  <c r="K16" i="73" s="1"/>
  <c r="K18" i="73" s="1"/>
  <c r="L60" i="48" s="1"/>
  <c r="D15" i="79"/>
  <c r="D16" i="79" s="1"/>
  <c r="D18" i="79" s="1"/>
  <c r="E62" i="48" s="1"/>
  <c r="D21" i="79"/>
  <c r="C14" i="73"/>
  <c r="E82" i="79"/>
  <c r="E83" i="79" s="1"/>
  <c r="E85" i="79" s="1"/>
  <c r="F251" i="48" s="1"/>
  <c r="E88" i="79"/>
  <c r="E89" i="79" s="1"/>
  <c r="E90" i="79" s="1"/>
  <c r="E92" i="79" s="1"/>
  <c r="F252" i="48" s="1"/>
  <c r="E55" i="73"/>
  <c r="K38" i="73"/>
  <c r="F15" i="79"/>
  <c r="F16" i="79" s="1"/>
  <c r="F18" i="79" s="1"/>
  <c r="G62" i="48" s="1"/>
  <c r="F21" i="79"/>
  <c r="F22" i="79" s="1"/>
  <c r="F23" i="79" s="1"/>
  <c r="F25" i="79" s="1"/>
  <c r="G63" i="48" s="1"/>
  <c r="B14" i="79"/>
  <c r="Q10" i="78"/>
  <c r="K65" i="73"/>
  <c r="G65" i="73"/>
  <c r="G55" i="79"/>
  <c r="C55" i="79"/>
  <c r="J31" i="73"/>
  <c r="F31" i="73"/>
  <c r="K21" i="79"/>
  <c r="K22" i="79" s="1"/>
  <c r="K23" i="79" s="1"/>
  <c r="K25" i="79" s="1"/>
  <c r="L63" i="48" s="1"/>
  <c r="K15" i="79"/>
  <c r="K16" i="79" s="1"/>
  <c r="K18" i="79" s="1"/>
  <c r="L62" i="48" s="1"/>
  <c r="M72" i="73"/>
  <c r="N197" i="48"/>
  <c r="I72" i="73"/>
  <c r="E72" i="73"/>
  <c r="J55" i="73"/>
  <c r="B48" i="79"/>
  <c r="Q12" i="78"/>
  <c r="O31" i="79" s="1"/>
  <c r="J38" i="79"/>
  <c r="C88" i="79"/>
  <c r="C89" i="79" s="1"/>
  <c r="C90" i="79" s="1"/>
  <c r="C92" i="79" s="1"/>
  <c r="D252" i="48" s="1"/>
  <c r="C82" i="79"/>
  <c r="C83" i="79" s="1"/>
  <c r="C85" i="79" s="1"/>
  <c r="D251" i="48" s="1"/>
  <c r="F14" i="73"/>
  <c r="G22" i="94" l="1"/>
  <c r="G35" i="94" s="1"/>
  <c r="H15" i="89"/>
  <c r="H24" i="89" s="1"/>
  <c r="H37" i="89" s="1"/>
  <c r="H52" i="73"/>
  <c r="I146" i="48" s="1"/>
  <c r="H50" i="73"/>
  <c r="H49" i="73" s="1"/>
  <c r="L74" i="73"/>
  <c r="L73" i="73" s="1"/>
  <c r="J24" i="90"/>
  <c r="J37" i="90" s="1"/>
  <c r="L24" i="90"/>
  <c r="L37" i="90" s="1"/>
  <c r="E74" i="73"/>
  <c r="E76" i="73" s="1"/>
  <c r="F198" i="48" s="1"/>
  <c r="M74" i="73"/>
  <c r="M73" i="73" s="1"/>
  <c r="J15" i="94"/>
  <c r="J22" i="94" s="1"/>
  <c r="J35" i="94" s="1"/>
  <c r="J35" i="73"/>
  <c r="K100" i="48" s="1"/>
  <c r="J33" i="73"/>
  <c r="J32" i="73" s="1"/>
  <c r="K15" i="89"/>
  <c r="K52" i="73"/>
  <c r="L146" i="48" s="1"/>
  <c r="K50" i="73"/>
  <c r="K49" i="73" s="1"/>
  <c r="L15" i="94"/>
  <c r="L35" i="73"/>
  <c r="M100" i="48" s="1"/>
  <c r="L33" i="73"/>
  <c r="L32" i="73" s="1"/>
  <c r="I57" i="73"/>
  <c r="I56" i="73" s="1"/>
  <c r="I59" i="73"/>
  <c r="J147" i="48" s="1"/>
  <c r="F15" i="89"/>
  <c r="F24" i="89" s="1"/>
  <c r="F37" i="89" s="1"/>
  <c r="F52" i="73"/>
  <c r="G146" i="48" s="1"/>
  <c r="F50" i="73"/>
  <c r="F49" i="73" s="1"/>
  <c r="G42" i="73"/>
  <c r="H101" i="48" s="1"/>
  <c r="G40" i="73"/>
  <c r="G39" i="73" s="1"/>
  <c r="G15" i="89"/>
  <c r="G24" i="89" s="1"/>
  <c r="G37" i="89" s="1"/>
  <c r="G50" i="73"/>
  <c r="G49" i="73" s="1"/>
  <c r="G52" i="73"/>
  <c r="J24" i="89"/>
  <c r="J37" i="89" s="1"/>
  <c r="D24" i="90"/>
  <c r="D37" i="90" s="1"/>
  <c r="H24" i="90"/>
  <c r="H37" i="90" s="1"/>
  <c r="E24" i="89"/>
  <c r="E37" i="89" s="1"/>
  <c r="F15" i="94"/>
  <c r="F22" i="94" s="1"/>
  <c r="F35" i="94" s="1"/>
  <c r="F33" i="73"/>
  <c r="F32" i="73" s="1"/>
  <c r="F35" i="73"/>
  <c r="G100" i="48" s="1"/>
  <c r="K40" i="73"/>
  <c r="K39" i="73" s="1"/>
  <c r="K42" i="73"/>
  <c r="L101" i="48" s="1"/>
  <c r="H15" i="94"/>
  <c r="H22" i="94" s="1"/>
  <c r="H35" i="94" s="1"/>
  <c r="H35" i="73"/>
  <c r="I100" i="48" s="1"/>
  <c r="H33" i="73"/>
  <c r="H32" i="73" s="1"/>
  <c r="D74" i="73"/>
  <c r="D76" i="73" s="1"/>
  <c r="E198" i="48" s="1"/>
  <c r="D73" i="73"/>
  <c r="F74" i="73"/>
  <c r="F73" i="73" s="1"/>
  <c r="G15" i="90"/>
  <c r="G24" i="90" s="1"/>
  <c r="G37" i="90" s="1"/>
  <c r="G69" i="73"/>
  <c r="H197" i="48" s="1"/>
  <c r="G67" i="73"/>
  <c r="G66" i="73" s="1"/>
  <c r="E15" i="94"/>
  <c r="E22" i="94" s="1"/>
  <c r="E35" i="94" s="1"/>
  <c r="E35" i="73"/>
  <c r="F100" i="48" s="1"/>
  <c r="E33" i="73"/>
  <c r="E32" i="73" s="1"/>
  <c r="H74" i="73"/>
  <c r="H73" i="73" s="1"/>
  <c r="E24" i="90"/>
  <c r="E37" i="90" s="1"/>
  <c r="M24" i="90"/>
  <c r="M37" i="90" s="1"/>
  <c r="I24" i="89"/>
  <c r="I37" i="89" s="1"/>
  <c r="I24" i="90"/>
  <c r="I37" i="90" s="1"/>
  <c r="B15" i="90"/>
  <c r="B69" i="73"/>
  <c r="B67" i="73"/>
  <c r="B66" i="73" s="1"/>
  <c r="M15" i="94"/>
  <c r="M22" i="94" s="1"/>
  <c r="M35" i="94" s="1"/>
  <c r="M35" i="73"/>
  <c r="N100" i="48" s="1"/>
  <c r="M33" i="73"/>
  <c r="M32" i="73" s="1"/>
  <c r="C15" i="94"/>
  <c r="C22" i="94" s="1"/>
  <c r="C35" i="94" s="1"/>
  <c r="C35" i="73"/>
  <c r="C33" i="73"/>
  <c r="C32" i="73" s="1"/>
  <c r="J59" i="73"/>
  <c r="K147" i="48" s="1"/>
  <c r="J57" i="73"/>
  <c r="J56" i="73" s="1"/>
  <c r="I74" i="73"/>
  <c r="I73" i="73" s="1"/>
  <c r="K15" i="90"/>
  <c r="K24" i="90" s="1"/>
  <c r="K37" i="90" s="1"/>
  <c r="K67" i="73"/>
  <c r="K66" i="73" s="1"/>
  <c r="K69" i="73"/>
  <c r="L197" i="48" s="1"/>
  <c r="E59" i="73"/>
  <c r="F147" i="48" s="1"/>
  <c r="E57" i="73"/>
  <c r="E56" i="73" s="1"/>
  <c r="D15" i="94"/>
  <c r="D22" i="94" s="1"/>
  <c r="D35" i="94" s="1"/>
  <c r="D35" i="73"/>
  <c r="E100" i="48" s="1"/>
  <c r="D33" i="73"/>
  <c r="D32" i="73" s="1"/>
  <c r="M57" i="73"/>
  <c r="M56" i="73" s="1"/>
  <c r="M59" i="73"/>
  <c r="N147" i="48" s="1"/>
  <c r="J74" i="73"/>
  <c r="J73" i="73" s="1"/>
  <c r="D15" i="89"/>
  <c r="D24" i="89" s="1"/>
  <c r="D37" i="89" s="1"/>
  <c r="D52" i="73"/>
  <c r="E146" i="48" s="1"/>
  <c r="D50" i="73"/>
  <c r="D49" i="73" s="1"/>
  <c r="I15" i="94"/>
  <c r="I22" i="94" s="1"/>
  <c r="I35" i="94" s="1"/>
  <c r="I35" i="73"/>
  <c r="J100" i="48" s="1"/>
  <c r="I33" i="73"/>
  <c r="I32" i="73" s="1"/>
  <c r="L59" i="73"/>
  <c r="M147" i="48" s="1"/>
  <c r="L57" i="73"/>
  <c r="L56" i="73" s="1"/>
  <c r="K24" i="89"/>
  <c r="K37" i="89" s="1"/>
  <c r="L24" i="89"/>
  <c r="L37" i="89" s="1"/>
  <c r="M24" i="89"/>
  <c r="M37" i="89" s="1"/>
  <c r="F24" i="90"/>
  <c r="F37" i="90" s="1"/>
  <c r="L42" i="79"/>
  <c r="M103" i="48" s="1"/>
  <c r="L40" i="79"/>
  <c r="L39" i="79" s="1"/>
  <c r="M42" i="79"/>
  <c r="N103" i="48" s="1"/>
  <c r="M40" i="79"/>
  <c r="M39" i="79" s="1"/>
  <c r="F59" i="79"/>
  <c r="G149" i="48" s="1"/>
  <c r="F57" i="79"/>
  <c r="F56" i="79" s="1"/>
  <c r="F76" i="79"/>
  <c r="G200" i="48" s="1"/>
  <c r="F74" i="79"/>
  <c r="F73" i="79" s="1"/>
  <c r="J42" i="79"/>
  <c r="K103" i="48" s="1"/>
  <c r="J40" i="79"/>
  <c r="J39" i="79" s="1"/>
  <c r="E76" i="79"/>
  <c r="F200" i="48" s="1"/>
  <c r="E74" i="79"/>
  <c r="E73" i="79" s="1"/>
  <c r="M76" i="79"/>
  <c r="N200" i="48" s="1"/>
  <c r="M74" i="79"/>
  <c r="M73" i="79" s="1"/>
  <c r="L76" i="79"/>
  <c r="M200" i="48" s="1"/>
  <c r="L74" i="79"/>
  <c r="L73" i="79" s="1"/>
  <c r="C42" i="79"/>
  <c r="D103" i="48" s="1"/>
  <c r="C40" i="79"/>
  <c r="C39" i="79" s="1"/>
  <c r="D76" i="79"/>
  <c r="E200" i="48" s="1"/>
  <c r="D74" i="79"/>
  <c r="D73" i="79" s="1"/>
  <c r="F42" i="79"/>
  <c r="G103" i="48" s="1"/>
  <c r="F40" i="79"/>
  <c r="F39" i="79" s="1"/>
  <c r="J76" i="79"/>
  <c r="K200" i="48" s="1"/>
  <c r="J74" i="79"/>
  <c r="J73" i="79" s="1"/>
  <c r="G76" i="79"/>
  <c r="H200" i="48" s="1"/>
  <c r="G74" i="79"/>
  <c r="G73" i="79" s="1"/>
  <c r="B52" i="79"/>
  <c r="B11" i="89"/>
  <c r="B50" i="79"/>
  <c r="B49" i="79" s="1"/>
  <c r="N49" i="79" s="1"/>
  <c r="H59" i="79"/>
  <c r="I149" i="48" s="1"/>
  <c r="H57" i="79"/>
  <c r="H56" i="79" s="1"/>
  <c r="L59" i="79"/>
  <c r="M149" i="48" s="1"/>
  <c r="L57" i="79"/>
  <c r="L56" i="79" s="1"/>
  <c r="B33" i="79"/>
  <c r="B32" i="79" s="1"/>
  <c r="B35" i="79"/>
  <c r="B11" i="94"/>
  <c r="I42" i="79"/>
  <c r="J103" i="48" s="1"/>
  <c r="I40" i="79"/>
  <c r="I39" i="79" s="1"/>
  <c r="L22" i="94"/>
  <c r="L35" i="94" s="1"/>
  <c r="C59" i="79"/>
  <c r="D149" i="48" s="1"/>
  <c r="C57" i="79"/>
  <c r="C56" i="79" s="1"/>
  <c r="H42" i="79"/>
  <c r="I103" i="48" s="1"/>
  <c r="H40" i="79"/>
  <c r="H39" i="79" s="1"/>
  <c r="E59" i="79"/>
  <c r="F149" i="48" s="1"/>
  <c r="E57" i="79"/>
  <c r="E56" i="79" s="1"/>
  <c r="C76" i="79"/>
  <c r="D200" i="48" s="1"/>
  <c r="C74" i="79"/>
  <c r="C73" i="79" s="1"/>
  <c r="K42" i="79"/>
  <c r="L103" i="48" s="1"/>
  <c r="K40" i="79"/>
  <c r="K39" i="79" s="1"/>
  <c r="J59" i="79"/>
  <c r="K149" i="48" s="1"/>
  <c r="J57" i="79"/>
  <c r="J56" i="79" s="1"/>
  <c r="B69" i="79"/>
  <c r="B67" i="79"/>
  <c r="B66" i="79" s="1"/>
  <c r="B11" i="90"/>
  <c r="E42" i="79"/>
  <c r="E40" i="79"/>
  <c r="E39" i="79" s="1"/>
  <c r="K76" i="79"/>
  <c r="L200" i="48" s="1"/>
  <c r="K74" i="79"/>
  <c r="K73" i="79" s="1"/>
  <c r="D42" i="79"/>
  <c r="E103" i="48" s="1"/>
  <c r="D40" i="79"/>
  <c r="D39" i="79" s="1"/>
  <c r="G40" i="79"/>
  <c r="G39" i="79" s="1"/>
  <c r="G42" i="79"/>
  <c r="H103" i="48" s="1"/>
  <c r="N15" i="91"/>
  <c r="O15" i="91"/>
  <c r="B37" i="91"/>
  <c r="G59" i="79"/>
  <c r="H149" i="48" s="1"/>
  <c r="G57" i="79"/>
  <c r="G56" i="79" s="1"/>
  <c r="D59" i="79"/>
  <c r="E149" i="48" s="1"/>
  <c r="D57" i="79"/>
  <c r="D56" i="79" s="1"/>
  <c r="M59" i="79"/>
  <c r="N149" i="48" s="1"/>
  <c r="M57" i="79"/>
  <c r="M56" i="79" s="1"/>
  <c r="I76" i="79"/>
  <c r="J200" i="48" s="1"/>
  <c r="I74" i="79"/>
  <c r="I73" i="79" s="1"/>
  <c r="I59" i="79"/>
  <c r="J149" i="48" s="1"/>
  <c r="I57" i="79"/>
  <c r="I56" i="79" s="1"/>
  <c r="H76" i="79"/>
  <c r="I200" i="48" s="1"/>
  <c r="H74" i="79"/>
  <c r="H73" i="79" s="1"/>
  <c r="K59" i="79"/>
  <c r="L149" i="48" s="1"/>
  <c r="K57" i="79"/>
  <c r="K56" i="79" s="1"/>
  <c r="E276" i="48"/>
  <c r="E281" i="48" s="1"/>
  <c r="F276" i="48"/>
  <c r="F281" i="48" s="1"/>
  <c r="B31" i="73"/>
  <c r="Q11" i="72"/>
  <c r="B15" i="79"/>
  <c r="N15" i="79" s="1"/>
  <c r="B21" i="79"/>
  <c r="N14" i="79"/>
  <c r="P14" i="79" s="1"/>
  <c r="B72" i="73"/>
  <c r="M22" i="79"/>
  <c r="M23" i="79" s="1"/>
  <c r="M25" i="79" s="1"/>
  <c r="N63" i="48" s="1"/>
  <c r="N76" i="48" s="1"/>
  <c r="N81" i="48" s="1"/>
  <c r="B82" i="79"/>
  <c r="N82" i="79" s="1"/>
  <c r="N81" i="79"/>
  <c r="P81" i="79" s="1"/>
  <c r="B88" i="79"/>
  <c r="B38" i="79"/>
  <c r="N31" i="79"/>
  <c r="P31" i="79" s="1"/>
  <c r="H22" i="79"/>
  <c r="H23" i="79" s="1"/>
  <c r="H25" i="79" s="1"/>
  <c r="I63" i="48" s="1"/>
  <c r="I38" i="73"/>
  <c r="D276" i="48"/>
  <c r="D281" i="48" s="1"/>
  <c r="B55" i="79"/>
  <c r="N48" i="79"/>
  <c r="P48" i="79" s="1"/>
  <c r="J38" i="73"/>
  <c r="K72" i="73"/>
  <c r="K55" i="73"/>
  <c r="D38" i="73"/>
  <c r="L38" i="73"/>
  <c r="L15" i="73"/>
  <c r="L16" i="73" s="1"/>
  <c r="L18" i="73" s="1"/>
  <c r="M60" i="48" s="1"/>
  <c r="L21" i="73"/>
  <c r="L22" i="73" s="1"/>
  <c r="L23" i="73" s="1"/>
  <c r="L25" i="73" s="1"/>
  <c r="M61" i="48" s="1"/>
  <c r="B89" i="73"/>
  <c r="B83" i="73"/>
  <c r="N82" i="73"/>
  <c r="F55" i="73"/>
  <c r="C48" i="73"/>
  <c r="G276" i="48"/>
  <c r="G281" i="48" s="1"/>
  <c r="H55" i="73"/>
  <c r="F15" i="73"/>
  <c r="F16" i="73" s="1"/>
  <c r="F18" i="73" s="1"/>
  <c r="G60" i="48" s="1"/>
  <c r="F21" i="73"/>
  <c r="F22" i="73" s="1"/>
  <c r="F23" i="73" s="1"/>
  <c r="F25" i="73" s="1"/>
  <c r="G61" i="48" s="1"/>
  <c r="C15" i="73"/>
  <c r="C16" i="73" s="1"/>
  <c r="C18" i="73" s="1"/>
  <c r="D60" i="48" s="1"/>
  <c r="C21" i="73"/>
  <c r="I22" i="79"/>
  <c r="I23" i="79" s="1"/>
  <c r="I25" i="79" s="1"/>
  <c r="J63" i="48" s="1"/>
  <c r="J76" i="48" s="1"/>
  <c r="J81" i="48" s="1"/>
  <c r="D55" i="73"/>
  <c r="J22" i="73"/>
  <c r="J23" i="73" s="1"/>
  <c r="J25" i="73" s="1"/>
  <c r="K61" i="48" s="1"/>
  <c r="K76" i="48" s="1"/>
  <c r="K81" i="48" s="1"/>
  <c r="N65" i="79"/>
  <c r="P65" i="79" s="1"/>
  <c r="B72" i="79"/>
  <c r="B48" i="73"/>
  <c r="H76" i="48"/>
  <c r="H81" i="48" s="1"/>
  <c r="E38" i="73"/>
  <c r="M38" i="73"/>
  <c r="H146" i="48"/>
  <c r="G55" i="73"/>
  <c r="D100" i="48"/>
  <c r="C38" i="73"/>
  <c r="D22" i="79"/>
  <c r="D23" i="79" s="1"/>
  <c r="D25" i="79" s="1"/>
  <c r="E63" i="48" s="1"/>
  <c r="E76" i="48" s="1"/>
  <c r="E81" i="48" s="1"/>
  <c r="L22" i="79"/>
  <c r="L23" i="79" s="1"/>
  <c r="L25" i="79" s="1"/>
  <c r="M63" i="48" s="1"/>
  <c r="E22" i="73"/>
  <c r="E23" i="73" s="1"/>
  <c r="E25" i="73" s="1"/>
  <c r="F61" i="48" s="1"/>
  <c r="F76" i="48" s="1"/>
  <c r="F81" i="48" s="1"/>
  <c r="B14" i="73"/>
  <c r="Q10" i="72"/>
  <c r="F38" i="73"/>
  <c r="G72" i="73"/>
  <c r="K22" i="73"/>
  <c r="K23" i="73" s="1"/>
  <c r="K25" i="73" s="1"/>
  <c r="L61" i="48" s="1"/>
  <c r="L76" i="48" s="1"/>
  <c r="L81" i="48" s="1"/>
  <c r="H38" i="73"/>
  <c r="H21" i="73"/>
  <c r="H22" i="73" s="1"/>
  <c r="H23" i="73" s="1"/>
  <c r="H25" i="73" s="1"/>
  <c r="I61" i="48" s="1"/>
  <c r="H15" i="73"/>
  <c r="H16" i="73" s="1"/>
  <c r="H18" i="73" s="1"/>
  <c r="I60" i="48" s="1"/>
  <c r="F103" i="48"/>
  <c r="J76" i="73" l="1"/>
  <c r="K198" i="48" s="1"/>
  <c r="H76" i="73"/>
  <c r="I198" i="48" s="1"/>
  <c r="I224" i="48" s="1"/>
  <c r="I229" i="48" s="1"/>
  <c r="F76" i="73"/>
  <c r="G198" i="48" s="1"/>
  <c r="G224" i="48" s="1"/>
  <c r="G229" i="48" s="1"/>
  <c r="J173" i="48"/>
  <c r="J178" i="48" s="1"/>
  <c r="I76" i="73"/>
  <c r="J198" i="48" s="1"/>
  <c r="J224" i="48" s="1"/>
  <c r="J229" i="48" s="1"/>
  <c r="K173" i="48"/>
  <c r="K178" i="48" s="1"/>
  <c r="F173" i="48"/>
  <c r="F178" i="48" s="1"/>
  <c r="C15" i="89"/>
  <c r="C50" i="73"/>
  <c r="C49" i="73" s="1"/>
  <c r="C52" i="73"/>
  <c r="D146" i="48" s="1"/>
  <c r="K74" i="73"/>
  <c r="K76" i="73" s="1"/>
  <c r="L198" i="48" s="1"/>
  <c r="L224" i="48" s="1"/>
  <c r="L229" i="48" s="1"/>
  <c r="L76" i="73"/>
  <c r="M198" i="48" s="1"/>
  <c r="M224" i="48" s="1"/>
  <c r="M229" i="48" s="1"/>
  <c r="H42" i="73"/>
  <c r="I101" i="48" s="1"/>
  <c r="I122" i="48" s="1"/>
  <c r="I127" i="48" s="1"/>
  <c r="H40" i="73"/>
  <c r="H39" i="73" s="1"/>
  <c r="C40" i="73"/>
  <c r="C39" i="73" s="1"/>
  <c r="C42" i="73"/>
  <c r="D101" i="48" s="1"/>
  <c r="D122" i="48" s="1"/>
  <c r="D127" i="48" s="1"/>
  <c r="G59" i="73"/>
  <c r="H147" i="48" s="1"/>
  <c r="H173" i="48" s="1"/>
  <c r="H178" i="48" s="1"/>
  <c r="G57" i="73"/>
  <c r="G56" i="73" s="1"/>
  <c r="E40" i="73"/>
  <c r="E39" i="73" s="1"/>
  <c r="E42" i="73"/>
  <c r="F101" i="48" s="1"/>
  <c r="F122" i="48" s="1"/>
  <c r="F127" i="48" s="1"/>
  <c r="F224" i="48"/>
  <c r="F229" i="48" s="1"/>
  <c r="D42" i="73"/>
  <c r="E101" i="48" s="1"/>
  <c r="E122" i="48" s="1"/>
  <c r="E127" i="48" s="1"/>
  <c r="D40" i="73"/>
  <c r="D39" i="73" s="1"/>
  <c r="I42" i="73"/>
  <c r="J101" i="48" s="1"/>
  <c r="J122" i="48" s="1"/>
  <c r="J127" i="48" s="1"/>
  <c r="I40" i="73"/>
  <c r="I39" i="73" s="1"/>
  <c r="B24" i="90"/>
  <c r="B37" i="90" s="1"/>
  <c r="M76" i="73"/>
  <c r="N198" i="48" s="1"/>
  <c r="N224" i="48" s="1"/>
  <c r="N229" i="48" s="1"/>
  <c r="M173" i="48"/>
  <c r="M178" i="48" s="1"/>
  <c r="E73" i="73"/>
  <c r="F40" i="73"/>
  <c r="F39" i="73" s="1"/>
  <c r="F42" i="73"/>
  <c r="G101" i="48" s="1"/>
  <c r="G122" i="48" s="1"/>
  <c r="G127" i="48" s="1"/>
  <c r="B74" i="73"/>
  <c r="B73" i="73" s="1"/>
  <c r="H59" i="73"/>
  <c r="I147" i="48" s="1"/>
  <c r="I173" i="48" s="1"/>
  <c r="I178" i="48" s="1"/>
  <c r="H57" i="73"/>
  <c r="H56" i="73" s="1"/>
  <c r="L42" i="73"/>
  <c r="M101" i="48" s="1"/>
  <c r="M122" i="48" s="1"/>
  <c r="M127" i="48" s="1"/>
  <c r="L40" i="73"/>
  <c r="L39" i="73" s="1"/>
  <c r="J42" i="73"/>
  <c r="K101" i="48" s="1"/>
  <c r="K122" i="48" s="1"/>
  <c r="K127" i="48" s="1"/>
  <c r="J40" i="73"/>
  <c r="J39" i="73" s="1"/>
  <c r="B15" i="94"/>
  <c r="N15" i="94" s="1"/>
  <c r="B35" i="73"/>
  <c r="B33" i="73"/>
  <c r="B32" i="73" s="1"/>
  <c r="N32" i="73" s="1"/>
  <c r="O24" i="91"/>
  <c r="O37" i="91" s="1"/>
  <c r="G74" i="73"/>
  <c r="G76" i="73" s="1"/>
  <c r="H198" i="48" s="1"/>
  <c r="H224" i="48" s="1"/>
  <c r="H229" i="48" s="1"/>
  <c r="M42" i="73"/>
  <c r="N101" i="48" s="1"/>
  <c r="N122" i="48" s="1"/>
  <c r="N127" i="48" s="1"/>
  <c r="M40" i="73"/>
  <c r="M39" i="73" s="1"/>
  <c r="B15" i="89"/>
  <c r="B24" i="89" s="1"/>
  <c r="B37" i="89" s="1"/>
  <c r="B50" i="73"/>
  <c r="B49" i="73" s="1"/>
  <c r="B52" i="73"/>
  <c r="D59" i="73"/>
  <c r="E147" i="48" s="1"/>
  <c r="E173" i="48" s="1"/>
  <c r="E178" i="48" s="1"/>
  <c r="D57" i="73"/>
  <c r="D56" i="73" s="1"/>
  <c r="F57" i="73"/>
  <c r="F56" i="73" s="1"/>
  <c r="F59" i="73"/>
  <c r="G147" i="48" s="1"/>
  <c r="G173" i="48" s="1"/>
  <c r="G178" i="48" s="1"/>
  <c r="K57" i="73"/>
  <c r="K56" i="73" s="1"/>
  <c r="K59" i="73"/>
  <c r="L147" i="48" s="1"/>
  <c r="L173" i="48" s="1"/>
  <c r="L178" i="48" s="1"/>
  <c r="N173" i="48"/>
  <c r="N178" i="48" s="1"/>
  <c r="N24" i="91"/>
  <c r="N37" i="91" s="1"/>
  <c r="L122" i="48"/>
  <c r="L127" i="48" s="1"/>
  <c r="K224" i="48"/>
  <c r="K229" i="48" s="1"/>
  <c r="O15" i="94"/>
  <c r="N11" i="89"/>
  <c r="O11" i="89"/>
  <c r="E224" i="48"/>
  <c r="E229" i="48" s="1"/>
  <c r="B42" i="79"/>
  <c r="B40" i="79"/>
  <c r="O11" i="90"/>
  <c r="N11" i="90"/>
  <c r="B76" i="79"/>
  <c r="B74" i="79"/>
  <c r="B73" i="79" s="1"/>
  <c r="N73" i="79" s="1"/>
  <c r="N11" i="94"/>
  <c r="O11" i="94"/>
  <c r="B59" i="79"/>
  <c r="B57" i="79"/>
  <c r="B56" i="79" s="1"/>
  <c r="G76" i="48"/>
  <c r="G81" i="48" s="1"/>
  <c r="Q12" i="72"/>
  <c r="H122" i="48"/>
  <c r="H127" i="48" s="1"/>
  <c r="N21" i="79"/>
  <c r="P21" i="79" s="1"/>
  <c r="B22" i="79"/>
  <c r="N22" i="79" s="1"/>
  <c r="C65" i="73"/>
  <c r="Q13" i="72"/>
  <c r="B55" i="73"/>
  <c r="N48" i="73"/>
  <c r="C55" i="73"/>
  <c r="N38" i="79"/>
  <c r="B83" i="79"/>
  <c r="B16" i="79"/>
  <c r="C22" i="73"/>
  <c r="C23" i="73" s="1"/>
  <c r="C25" i="73" s="1"/>
  <c r="D61" i="48" s="1"/>
  <c r="D76" i="48" s="1"/>
  <c r="D81" i="48" s="1"/>
  <c r="N66" i="79"/>
  <c r="B84" i="73"/>
  <c r="N83" i="73"/>
  <c r="M76" i="48"/>
  <c r="M81" i="48" s="1"/>
  <c r="N55" i="79"/>
  <c r="N32" i="79"/>
  <c r="B89" i="79"/>
  <c r="N88" i="79"/>
  <c r="I76" i="48"/>
  <c r="I81" i="48" s="1"/>
  <c r="N14" i="73"/>
  <c r="B15" i="73"/>
  <c r="N15" i="73" s="1"/>
  <c r="B21" i="73"/>
  <c r="N72" i="79"/>
  <c r="B90" i="73"/>
  <c r="N89" i="73"/>
  <c r="N31" i="73"/>
  <c r="B38" i="73"/>
  <c r="O22" i="94" l="1"/>
  <c r="O35" i="94" s="1"/>
  <c r="N22" i="94"/>
  <c r="N35" i="94" s="1"/>
  <c r="B22" i="94"/>
  <c r="B35" i="94" s="1"/>
  <c r="K73" i="73"/>
  <c r="G73" i="73"/>
  <c r="N15" i="89"/>
  <c r="N24" i="89" s="1"/>
  <c r="N37" i="89" s="1"/>
  <c r="O15" i="89"/>
  <c r="O24" i="89" s="1"/>
  <c r="O37" i="89" s="1"/>
  <c r="B59" i="73"/>
  <c r="B57" i="73"/>
  <c r="B56" i="73" s="1"/>
  <c r="C15" i="90"/>
  <c r="C24" i="90" s="1"/>
  <c r="C37" i="90" s="1"/>
  <c r="C69" i="73"/>
  <c r="C67" i="73"/>
  <c r="C66" i="73" s="1"/>
  <c r="B39" i="79"/>
  <c r="N39" i="79" s="1"/>
  <c r="C24" i="89"/>
  <c r="C37" i="89" s="1"/>
  <c r="B42" i="73"/>
  <c r="B40" i="73"/>
  <c r="B39" i="73" s="1"/>
  <c r="N39" i="73" s="1"/>
  <c r="C57" i="73"/>
  <c r="C56" i="73" s="1"/>
  <c r="C59" i="73"/>
  <c r="D147" i="48" s="1"/>
  <c r="D173" i="48" s="1"/>
  <c r="D178" i="48" s="1"/>
  <c r="N50" i="79"/>
  <c r="B16" i="73"/>
  <c r="B18" i="73" s="1"/>
  <c r="N49" i="73"/>
  <c r="B76" i="73"/>
  <c r="N52" i="79"/>
  <c r="C148" i="48"/>
  <c r="O148" i="48" s="1"/>
  <c r="B22" i="73"/>
  <c r="N22" i="73" s="1"/>
  <c r="N21" i="73"/>
  <c r="B90" i="79"/>
  <c r="N89" i="79"/>
  <c r="N56" i="79"/>
  <c r="C72" i="73"/>
  <c r="N65" i="73"/>
  <c r="N38" i="73"/>
  <c r="B86" i="73"/>
  <c r="N84" i="73"/>
  <c r="B18" i="79"/>
  <c r="N16" i="79"/>
  <c r="N55" i="73"/>
  <c r="B23" i="79"/>
  <c r="C197" i="48"/>
  <c r="N67" i="79"/>
  <c r="B91" i="73"/>
  <c r="N90" i="73"/>
  <c r="N33" i="79"/>
  <c r="B85" i="79"/>
  <c r="N83" i="79"/>
  <c r="N15" i="90" l="1"/>
  <c r="N24" i="90" s="1"/>
  <c r="N37" i="90" s="1"/>
  <c r="O15" i="90"/>
  <c r="O24" i="90" s="1"/>
  <c r="O37" i="90" s="1"/>
  <c r="N56" i="73"/>
  <c r="C74" i="73"/>
  <c r="C73" i="73" s="1"/>
  <c r="N40" i="79"/>
  <c r="N16" i="73"/>
  <c r="N74" i="79"/>
  <c r="N50" i="73"/>
  <c r="B23" i="73"/>
  <c r="N23" i="73" s="1"/>
  <c r="C102" i="48"/>
  <c r="O102" i="48" s="1"/>
  <c r="N35" i="79"/>
  <c r="N69" i="79"/>
  <c r="C199" i="48"/>
  <c r="O199" i="48" s="1"/>
  <c r="N57" i="79"/>
  <c r="N42" i="79"/>
  <c r="C103" i="48"/>
  <c r="O103" i="48" s="1"/>
  <c r="B25" i="79"/>
  <c r="N23" i="79"/>
  <c r="C249" i="48"/>
  <c r="N86" i="73"/>
  <c r="N66" i="73"/>
  <c r="C198" i="48"/>
  <c r="C146" i="48"/>
  <c r="N52" i="73"/>
  <c r="C251" i="48"/>
  <c r="N85" i="79"/>
  <c r="B93" i="73"/>
  <c r="N91" i="73"/>
  <c r="C200" i="48"/>
  <c r="O200" i="48" s="1"/>
  <c r="N76" i="79"/>
  <c r="C60" i="48"/>
  <c r="N18" i="73"/>
  <c r="N72" i="73"/>
  <c r="B92" i="79"/>
  <c r="N90" i="79"/>
  <c r="N33" i="73"/>
  <c r="N18" i="79"/>
  <c r="C62" i="48"/>
  <c r="O62" i="48" s="1"/>
  <c r="O251" i="48" l="1"/>
  <c r="C224" i="48"/>
  <c r="C229" i="48" s="1"/>
  <c r="B49" i="75"/>
  <c r="D49" i="75" s="1"/>
  <c r="E49" i="75" s="1"/>
  <c r="B111" i="75"/>
  <c r="D111" i="75" s="1"/>
  <c r="E111" i="75" s="1"/>
  <c r="B25" i="73"/>
  <c r="C61" i="48" s="1"/>
  <c r="N40" i="73"/>
  <c r="C100" i="48"/>
  <c r="N35" i="73"/>
  <c r="N57" i="73"/>
  <c r="C250" i="48" s="1"/>
  <c r="N93" i="73"/>
  <c r="N67" i="73"/>
  <c r="N25" i="79"/>
  <c r="C63" i="48"/>
  <c r="O63" i="48" s="1"/>
  <c r="C149" i="48"/>
  <c r="O149" i="48" s="1"/>
  <c r="B79" i="75" s="1"/>
  <c r="D79" i="75" s="1"/>
  <c r="E79" i="75" s="1"/>
  <c r="N59" i="79"/>
  <c r="O60" i="48"/>
  <c r="N73" i="73"/>
  <c r="C252" i="48"/>
  <c r="O252" i="48" s="1"/>
  <c r="N92" i="79"/>
  <c r="O146" i="48"/>
  <c r="O249" i="48"/>
  <c r="B143" i="75" l="1"/>
  <c r="D143" i="75" s="1"/>
  <c r="O250" i="48"/>
  <c r="B113" i="56" s="1"/>
  <c r="B20" i="75"/>
  <c r="O61" i="48"/>
  <c r="B19" i="56" s="1"/>
  <c r="C76" i="48"/>
  <c r="C81" i="48" s="1"/>
  <c r="N25" i="73"/>
  <c r="C276" i="48"/>
  <c r="C281" i="48" s="1"/>
  <c r="O100" i="48"/>
  <c r="C76" i="73"/>
  <c r="N74" i="73"/>
  <c r="D197" i="48"/>
  <c r="N69" i="73"/>
  <c r="C147" i="48"/>
  <c r="N59" i="73"/>
  <c r="C101" i="48"/>
  <c r="O101" i="48" s="1"/>
  <c r="N42" i="73"/>
  <c r="D20" i="75" l="1"/>
  <c r="E20" i="75" s="1"/>
  <c r="B123" i="56"/>
  <c r="B136" i="56" s="1"/>
  <c r="B142" i="75"/>
  <c r="D142" i="75" s="1"/>
  <c r="O276" i="48"/>
  <c r="O281" i="48" s="1"/>
  <c r="D191" i="75"/>
  <c r="E191" i="75" s="1"/>
  <c r="O76" i="48"/>
  <c r="O81" i="48" s="1"/>
  <c r="B19" i="75"/>
  <c r="B29" i="75" s="1"/>
  <c r="C122" i="48"/>
  <c r="C127" i="48" s="1"/>
  <c r="O147" i="48"/>
  <c r="O173" i="48" s="1"/>
  <c r="O178" i="48" s="1"/>
  <c r="C173" i="48"/>
  <c r="C178" i="48" s="1"/>
  <c r="B45" i="56"/>
  <c r="B48" i="75"/>
  <c r="B65" i="75" s="1"/>
  <c r="O122" i="48"/>
  <c r="O127" i="48" s="1"/>
  <c r="O197" i="48"/>
  <c r="D198" i="48"/>
  <c r="O198" i="48" s="1"/>
  <c r="N76" i="73"/>
  <c r="B25" i="56"/>
  <c r="B31" i="56" s="1"/>
  <c r="D31" i="56" s="1"/>
  <c r="E31" i="56" s="1"/>
  <c r="B32" i="56"/>
  <c r="D32" i="56" s="1"/>
  <c r="E32" i="56" s="1"/>
  <c r="B161" i="75" l="1"/>
  <c r="D161" i="75" s="1"/>
  <c r="E161" i="75" s="1"/>
  <c r="B35" i="75"/>
  <c r="D35" i="75" s="1"/>
  <c r="E35" i="75" s="1"/>
  <c r="B34" i="75"/>
  <c r="B129" i="56"/>
  <c r="B135" i="56" s="1"/>
  <c r="B155" i="75"/>
  <c r="D187" i="75"/>
  <c r="E187" i="75" s="1"/>
  <c r="D48" i="75"/>
  <c r="E48" i="75" s="1"/>
  <c r="D65" i="75"/>
  <c r="E65" i="75" s="1"/>
  <c r="D19" i="75"/>
  <c r="E19" i="75" s="1"/>
  <c r="B59" i="75"/>
  <c r="B97" i="56"/>
  <c r="B110" i="75"/>
  <c r="B129" i="75" s="1"/>
  <c r="O224" i="48"/>
  <c r="O229" i="48" s="1"/>
  <c r="B58" i="56"/>
  <c r="D58" i="56" s="1"/>
  <c r="E58" i="56" s="1"/>
  <c r="B51" i="56"/>
  <c r="B57" i="56" s="1"/>
  <c r="D57" i="56" s="1"/>
  <c r="E57" i="56" s="1"/>
  <c r="D224" i="48"/>
  <c r="D229" i="48" s="1"/>
  <c r="B71" i="56"/>
  <c r="B78" i="75"/>
  <c r="B97" i="75" s="1"/>
  <c r="B160" i="75" l="1"/>
  <c r="D160" i="75" s="1"/>
  <c r="E160" i="75" s="1"/>
  <c r="D155" i="75"/>
  <c r="E155" i="75" s="1"/>
  <c r="D29" i="75"/>
  <c r="E29" i="75" s="1"/>
  <c r="D110" i="75"/>
  <c r="E110" i="75" s="1"/>
  <c r="D129" i="75"/>
  <c r="E129" i="75" s="1"/>
  <c r="B64" i="75"/>
  <c r="D64" i="75" s="1"/>
  <c r="E64" i="75" s="1"/>
  <c r="D34" i="75"/>
  <c r="E34" i="75" s="1"/>
  <c r="D78" i="75"/>
  <c r="E78" i="75" s="1"/>
  <c r="B91" i="75"/>
  <c r="D97" i="75"/>
  <c r="E97" i="75" s="1"/>
  <c r="D59" i="75"/>
  <c r="E59" i="75" s="1"/>
  <c r="B84" i="56"/>
  <c r="D84" i="56" s="1"/>
  <c r="E84" i="56" s="1"/>
  <c r="B77" i="56"/>
  <c r="B83" i="56" s="1"/>
  <c r="D83" i="56" s="1"/>
  <c r="E83" i="56" s="1"/>
  <c r="B110" i="56"/>
  <c r="D110" i="56" s="1"/>
  <c r="E110" i="56" s="1"/>
  <c r="B103" i="56"/>
  <c r="B109" i="56" s="1"/>
  <c r="D109" i="56" s="1"/>
  <c r="E109" i="56" s="1"/>
  <c r="B123" i="75"/>
  <c r="B128" i="75" l="1"/>
  <c r="D128" i="75" s="1"/>
  <c r="E128" i="75" s="1"/>
  <c r="B96" i="75"/>
  <c r="D96" i="75" s="1"/>
  <c r="E96" i="75" s="1"/>
  <c r="D123" i="75"/>
  <c r="E123" i="75" s="1"/>
  <c r="D91" i="75"/>
  <c r="E91" i="75" s="1"/>
</calcChain>
</file>

<file path=xl/sharedStrings.xml><?xml version="1.0" encoding="utf-8"?>
<sst xmlns="http://schemas.openxmlformats.org/spreadsheetml/2006/main" count="5513" uniqueCount="517">
  <si>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</si>
  <si>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</si>
  <si>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</si>
  <si>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</si>
  <si>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</si>
  <si>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</si>
  <si>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</si>
  <si>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</si>
  <si>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</si>
  <si>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</si>
  <si>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</si>
  <si>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</si>
  <si>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</si>
  <si>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   New Smyrna Beach Reserve Transmission Service</t>
  </si>
  <si>
    <t xml:space="preserve">   Long-Term Transmission Service - Demand Revenues</t>
  </si>
  <si>
    <t>WHOLESALE REVENUE BUDGET</t>
  </si>
  <si>
    <t xml:space="preserve">       Contract Dmd</t>
  </si>
  <si>
    <t xml:space="preserve">       Revenue</t>
  </si>
  <si>
    <t>DEMAND REVENUES</t>
  </si>
  <si>
    <t>TRANSMISSION SERVICE AGREEMENTS</t>
  </si>
  <si>
    <t xml:space="preserve">       Demand Charge</t>
  </si>
  <si>
    <t>Stanton I</t>
  </si>
  <si>
    <t>Stanton II</t>
  </si>
  <si>
    <t>FMPA St Lucie Delivery Service</t>
  </si>
  <si>
    <t>OUC St Lucie Delivery Service</t>
  </si>
  <si>
    <t>Total Revenues</t>
  </si>
  <si>
    <t>SERVICE</t>
  </si>
  <si>
    <t>COMMENTS</t>
  </si>
  <si>
    <t>$/KW-MONTH</t>
  </si>
  <si>
    <t xml:space="preserve">   Reactive Supply &amp; Voltage Control Demand Rate *</t>
  </si>
  <si>
    <t>FMPA St. Lucie Delivery Service</t>
  </si>
  <si>
    <t>Metro Dade - Florida Power Corp.</t>
  </si>
  <si>
    <t>Stanton II (Long-Term Firm Point-to-Point)</t>
  </si>
  <si>
    <t>TOTAL</t>
  </si>
  <si>
    <t>SHORT TERM FIRM AND NON FIRM TRANSMISSION SERVICE REVENUE FORECAST</t>
  </si>
  <si>
    <t>REACTIVE DEMAND REVENUES</t>
  </si>
  <si>
    <t>OUC St. Lucie Delivery Service</t>
  </si>
  <si>
    <t>TRANSMISSION SERVICE CAPACITY CHARGE</t>
  </si>
  <si>
    <t>TRANSMISSION SERVICE REACTIVE CHARGE</t>
  </si>
  <si>
    <t>SECI NETWORK TRANSMISSION SERVICE</t>
  </si>
  <si>
    <t xml:space="preserve">       Coincident Dmd</t>
  </si>
  <si>
    <t>Schedule TR</t>
  </si>
  <si>
    <t>City of New Smyrna Beach</t>
  </si>
  <si>
    <t>Revenues</t>
  </si>
  <si>
    <t>Georgia Transmission Corp.</t>
  </si>
  <si>
    <t xml:space="preserve">       Loss Schedule</t>
  </si>
  <si>
    <t xml:space="preserve">       FMPA Load</t>
  </si>
  <si>
    <t xml:space="preserve">       Total Coincident Dmd</t>
  </si>
  <si>
    <t xml:space="preserve">       Distribution Coincident Dmd</t>
  </si>
  <si>
    <t xml:space="preserve">       Transmission Coincident Dmd</t>
  </si>
  <si>
    <t xml:space="preserve">       SECI Load</t>
  </si>
  <si>
    <t>REGULATION/FREQUENCY CHARGE</t>
  </si>
  <si>
    <t xml:space="preserve">       % SECI Load</t>
  </si>
  <si>
    <t xml:space="preserve">       Regulation/Frequency Charge</t>
  </si>
  <si>
    <t>2010 REVENUES</t>
  </si>
  <si>
    <t xml:space="preserve">TRANSMISSION SERVICE </t>
  </si>
  <si>
    <t>2012 REVENUES</t>
  </si>
  <si>
    <t xml:space="preserve">   SECI Network Regulation Service Revenues</t>
  </si>
  <si>
    <t xml:space="preserve">   Short-Term Firm &amp; Non-Firm Transmission Service</t>
  </si>
  <si>
    <t>Network Transmission Service (Monthly CP in MW)</t>
  </si>
  <si>
    <t>Total Monthly Demand</t>
  </si>
  <si>
    <t>Forecast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</si>
  <si>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</si>
  <si>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</si>
  <si>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</si>
  <si>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</si>
  <si>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</si>
  <si>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</si>
  <si>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</si>
  <si>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</si>
  <si>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</si>
  <si>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</si>
  <si>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</si>
  <si>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2010 Transmission Service Revenues </t>
  </si>
  <si>
    <t xml:space="preserve">Total 2012 Transmission Service Revenues </t>
  </si>
  <si>
    <t xml:space="preserve">   FMPA Network Transmission Service Reactive  Revenues</t>
  </si>
  <si>
    <t xml:space="preserve">   SECI Network Transmission Service Reactive Revenues</t>
  </si>
  <si>
    <t xml:space="preserve">   Long-Term Transmission Service - Reactive Revenues</t>
  </si>
  <si>
    <t xml:space="preserve">   FMPA Network Transmission Service Reactive Revenues</t>
  </si>
  <si>
    <t xml:space="preserve">   FMPA Network Transmission Service Capacity Revenues</t>
  </si>
  <si>
    <t xml:space="preserve">   SECI Network Transmission Service Capacity Revenues</t>
  </si>
  <si>
    <t>Total Transmission Revenues (Acct 456.200 - 456.250)</t>
  </si>
  <si>
    <t xml:space="preserve">       LEE Load</t>
  </si>
  <si>
    <t>JXB</t>
  </si>
  <si>
    <t>GCS</t>
  </si>
  <si>
    <t>CLW</t>
  </si>
  <si>
    <t>STK</t>
  </si>
  <si>
    <t>CKW</t>
  </si>
  <si>
    <t>FTP</t>
  </si>
  <si>
    <t>Ratio to Summer Peak</t>
  </si>
  <si>
    <t>(1) No reactive charge for Lee County (included in purchased power agreement)</t>
  </si>
  <si>
    <t>TRANSMISSION REVENUE BUDGET</t>
  </si>
  <si>
    <t>Variance</t>
  </si>
  <si>
    <t>% Variance</t>
  </si>
  <si>
    <t>Variance Explanation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</si>
  <si>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</si>
  <si>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</si>
  <si>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</si>
  <si>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</si>
  <si>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</si>
  <si>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</si>
  <si>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</si>
  <si>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</si>
  <si>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</si>
  <si>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</si>
  <si>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</si>
  <si>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 xml:space="preserve">Dec </t>
  </si>
  <si>
    <t xml:space="preserve">  Seminole Energy LLC</t>
  </si>
  <si>
    <t xml:space="preserve">  Brevard Energy LLC</t>
  </si>
  <si>
    <t>2013 REVENUES</t>
  </si>
  <si>
    <t xml:space="preserve">Total 2013 Transmission Service Revenues </t>
  </si>
  <si>
    <t>TRANSMISSION SERVICE REVENUE FORECAST</t>
  </si>
  <si>
    <t>(all amounts are expressed in dollars)</t>
  </si>
  <si>
    <t xml:space="preserve">   SECI Distribution Wheeling Revenues</t>
  </si>
  <si>
    <t>2014 REVENUES</t>
  </si>
  <si>
    <t xml:space="preserve">Total 2014 Transmission Service Revenues </t>
  </si>
  <si>
    <t>Homestead</t>
  </si>
  <si>
    <t>Seminole</t>
  </si>
  <si>
    <t>Dynamic Scheduling Service</t>
  </si>
  <si>
    <t>Oleander</t>
  </si>
  <si>
    <t>FMPA Treasure Coast</t>
  </si>
  <si>
    <t>Seminole Energy</t>
  </si>
  <si>
    <t>Brevard Energy</t>
  </si>
  <si>
    <t>Total Dynamic Scheduling</t>
  </si>
  <si>
    <t xml:space="preserve">   Transmission Service - Dynamic Scheduling </t>
  </si>
  <si>
    <t xml:space="preserve">   Vero Beach Network Transmission Service Capacity Revenues</t>
  </si>
  <si>
    <t xml:space="preserve">   Vero Beach Network Transmission Service Reactive  Revenues</t>
  </si>
  <si>
    <t>VERO BEACH NETWORK TRANSMISSION SERVICE</t>
  </si>
  <si>
    <t xml:space="preserve">       Vero Beach Load</t>
  </si>
  <si>
    <t xml:space="preserve">   LCEC Network Transmission Service Capacity Revenues</t>
  </si>
  <si>
    <t>FMPA Network Transmission Forecast</t>
  </si>
  <si>
    <t>SECI Network Transmission Service Settlement Credit</t>
  </si>
  <si>
    <t>Check</t>
  </si>
  <si>
    <t>Energy Imbalance Service Revenues</t>
  </si>
  <si>
    <t>SECI Network Transmission Service Settlement</t>
  </si>
  <si>
    <t>Total Network Service (excluding ancillary and SECI credit)</t>
  </si>
  <si>
    <t>Note:  The City of Vero Beach was terminated at the end of 2009.</t>
  </si>
  <si>
    <t>INPUT REQUIREMENTS (RATES REFLECT 2000 &amp; 2004 SETTLEMENT RATES, 2005 FERC FILING &amp; TRANSMISSION FORMULA RATE EFFECTIVE JULY 1, 2010)</t>
  </si>
  <si>
    <t xml:space="preserve">   FMPA REACTIVE RATE - per settlement</t>
  </si>
  <si>
    <t xml:space="preserve">   SECI REACTIVE RATE - per settlement</t>
  </si>
  <si>
    <t xml:space="preserve">   LEE REACTIVE RATE - per settlement (1)</t>
  </si>
  <si>
    <t>TRANSMISSION SERVICE SCHEDULING CHARGE</t>
  </si>
  <si>
    <t xml:space="preserve">   FMPA Network Transmission Service Scheduling Revenues</t>
  </si>
  <si>
    <t xml:space="preserve">   Vero Beach Network Transmission Service Scheduling Revenues</t>
  </si>
  <si>
    <t xml:space="preserve">   SECI Network Transmission Service Scheduling Revenues</t>
  </si>
  <si>
    <t xml:space="preserve">   LCEC Network Transmission Service Scheduling Revenues</t>
  </si>
  <si>
    <t xml:space="preserve">   Long-Term Transmission Service - Scheduling Revenues</t>
  </si>
  <si>
    <t>2015 REVENUES</t>
  </si>
  <si>
    <t xml:space="preserve">Total 2015 Transmission Service Revenues </t>
  </si>
  <si>
    <t xml:space="preserve">       Scheduling Charge</t>
  </si>
  <si>
    <t xml:space="preserve">       Reactive Charge</t>
  </si>
  <si>
    <t>SCHEDULING REVENUES</t>
  </si>
  <si>
    <t>Account</t>
  </si>
  <si>
    <t xml:space="preserve">   Short-Term Firm  &amp; Non-Firm Transmission Capacity Revenues</t>
  </si>
  <si>
    <t xml:space="preserve">   Short-Term Firm  &amp; Non-Firm Transmission Scheduling Revenues</t>
  </si>
  <si>
    <t>Subtotal Transmission Revenues</t>
  </si>
  <si>
    <t xml:space="preserve">  Energy Imbalance Service</t>
  </si>
  <si>
    <t xml:space="preserve">  Energy Imbalance Service Penalty Revenue</t>
  </si>
  <si>
    <t xml:space="preserve">  Energy Imbalance Service Penalty Revenue Refund</t>
  </si>
  <si>
    <t xml:space="preserve">  Unreserved Use Penalty Revenues</t>
  </si>
  <si>
    <t xml:space="preserve">  Unreserved Use Penalty Revenues Refund</t>
  </si>
  <si>
    <t>Transmission Formula Rate</t>
  </si>
  <si>
    <t>Estimated Transmission Demand Charge</t>
  </si>
  <si>
    <t>Transmission Demand Charge ($/kW-month)</t>
  </si>
  <si>
    <t>Forecast Year 2014</t>
  </si>
  <si>
    <t>Forecast Year 2015</t>
  </si>
  <si>
    <t xml:space="preserve">FMPA NETWORK Rate </t>
  </si>
  <si>
    <t>SECI NETWORK Rate</t>
  </si>
  <si>
    <t>LCEC NETWORK Rate</t>
  </si>
  <si>
    <t>VERO NETWORK Rate</t>
  </si>
  <si>
    <t>Total FPL Load</t>
  </si>
  <si>
    <t>Reedy Creek</t>
  </si>
  <si>
    <t>From January 24, 2007 Settlement</t>
  </si>
  <si>
    <t>SECI Monthly Credit</t>
  </si>
  <si>
    <t>LCEC Monthly Credit</t>
  </si>
  <si>
    <t>Total Monthly Adjustment</t>
  </si>
  <si>
    <t>FKEC NETWORK TRANSMISSION SERVICE</t>
  </si>
  <si>
    <t>Regulation/Frequency Charge</t>
  </si>
  <si>
    <t>PSL Uprate FMPA</t>
  </si>
  <si>
    <t>OUC PSL2 Uprate</t>
  </si>
  <si>
    <t>2016 REVENUES</t>
  </si>
  <si>
    <t xml:space="preserve">Total 2016 Transmission Service Revenues </t>
  </si>
  <si>
    <t xml:space="preserve">  Port Charlotte L/F Gas Gen</t>
  </si>
  <si>
    <t xml:space="preserve">   SECI/Reedy Creek/Port Char Distribution Wheeling Revenues</t>
  </si>
  <si>
    <t xml:space="preserve">   FKEC Network Transmission Service Capacity Revenues</t>
  </si>
  <si>
    <t xml:space="preserve">   FKEC Network Transmission Service Scheduling Revenues</t>
  </si>
  <si>
    <t>Forecast Year 2016</t>
  </si>
  <si>
    <t>Forecast Year 2017</t>
  </si>
  <si>
    <t>(LCEC) LEE NETWORK TRANSMISSION SERVICE</t>
  </si>
  <si>
    <t>Georgia Transmission Corp</t>
  </si>
  <si>
    <t xml:space="preserve">As provided by Original Service Agreement </t>
  </si>
  <si>
    <t>FKEC NETWORK Rate</t>
  </si>
  <si>
    <t xml:space="preserve">   FKEC REACTIVE RATE *</t>
  </si>
  <si>
    <t>YEARS 2012-2016 - provided to Finance on July 6, 2011 (all amounts are expressed in dollars)</t>
  </si>
  <si>
    <t>Distribution Charge</t>
  </si>
  <si>
    <t>Added GES Port Charlotte L/F Gas Gen as of September 2011</t>
  </si>
  <si>
    <t>Added Georgia Transmsission Corp and Port Charlotte as of September 2011</t>
  </si>
  <si>
    <t>Revised Actuals for Forecasting Purposes</t>
  </si>
  <si>
    <t>Regulation Service Factor</t>
  </si>
  <si>
    <t>Transmission Line Loss</t>
  </si>
  <si>
    <t>WAUCHULA NETWORK TRANSMISSION SERVICE</t>
  </si>
  <si>
    <t>Total Demands</t>
  </si>
  <si>
    <t xml:space="preserve">   Wauchula Network Transmission Service Capacity Revenues</t>
  </si>
  <si>
    <t xml:space="preserve">   Wauchula Network Transmission Service Scheduling Revenues</t>
  </si>
  <si>
    <t>New Contracts</t>
  </si>
  <si>
    <t>Revised Actuals for Forecasting Purposes, Not including Penalty Revenue as of 2012</t>
  </si>
  <si>
    <t>Addition of FKEC and Wauchula</t>
  </si>
  <si>
    <t xml:space="preserve">June </t>
  </si>
  <si>
    <t xml:space="preserve">July </t>
  </si>
  <si>
    <t xml:space="preserve">Sept </t>
  </si>
  <si>
    <t xml:space="preserve">       Wauchula Load</t>
  </si>
  <si>
    <t xml:space="preserve">       FKEC Load</t>
  </si>
  <si>
    <t>From Jason Chin_07/22/2011</t>
  </si>
  <si>
    <t>Revised Actuals Through June 2011</t>
  </si>
  <si>
    <t>Added additional service for OUC share of SL2 uprate</t>
  </si>
  <si>
    <t>Revised Forecast            July 22,2011</t>
  </si>
  <si>
    <t>Previous Forecast dated March 11,2011</t>
  </si>
  <si>
    <t>2017 REVENUES</t>
  </si>
  <si>
    <t>2018 REVENUES</t>
  </si>
  <si>
    <t xml:space="preserve">  Updated based on SECI 2010 - FPL Contract Forecast _BL_Final 12-27-10 2012-2022</t>
  </si>
  <si>
    <t>WHOLESALE REVENUE BUDGET - Distribution Wheeling Revenues (now called Revenues for Radial Facilities)</t>
  </si>
  <si>
    <t xml:space="preserve">  Lee County Radial Charge</t>
  </si>
  <si>
    <t xml:space="preserve">  Seminole Radial Charges</t>
  </si>
  <si>
    <t>(per SAP)</t>
  </si>
  <si>
    <t>Seminiole Radials (1-1-12)</t>
  </si>
  <si>
    <t>Contract Link</t>
  </si>
  <si>
    <t>LEC Radials Eff (1-1-12)</t>
  </si>
  <si>
    <t>* In 2014, annual charges for FPL - owned radial facility tap lines shall be reduced by the annual payment reduces by amount in Appendix F-1 (per settlement contract)</t>
  </si>
  <si>
    <t xml:space="preserve">* Expect the charge to Lee will cease in 2015 </t>
  </si>
  <si>
    <t>Total Distribution Charge (2014)</t>
  </si>
  <si>
    <t>Total Distribution Charge (2016)</t>
  </si>
  <si>
    <t>Total Distribution Charge (2018)</t>
  </si>
  <si>
    <t>*Wachula Contract ends December 31, 2016</t>
  </si>
  <si>
    <t>Wachula Power Purchase Contract</t>
  </si>
  <si>
    <t>Link</t>
  </si>
  <si>
    <t>* Georgia Transmission Corp estimated start on completion of facilities 12/1/2012</t>
  </si>
  <si>
    <t>* Reedy Creek Contract to end 12/31/2014</t>
  </si>
  <si>
    <t>OUC Port Charlotte</t>
  </si>
  <si>
    <t>* OUC Port Charlotte ends 10/01/2016</t>
  </si>
  <si>
    <t>TEC Oleander Purchase</t>
  </si>
  <si>
    <t>* TEC expires 01/01/2016</t>
  </si>
  <si>
    <t>Forecast Year 2018</t>
  </si>
  <si>
    <t>* Rates based on OATT Settlement Agreement.</t>
  </si>
  <si>
    <t xml:space="preserve">   Scheduling Charge (Schedule 1) *</t>
  </si>
  <si>
    <t xml:space="preserve">*Contract ends 2016 </t>
  </si>
  <si>
    <t xml:space="preserve">Total 2017 Transmission Service Revenues </t>
  </si>
  <si>
    <t xml:space="preserve">Total 2018 Transmission Service Revenues </t>
  </si>
  <si>
    <t>Old Acct</t>
  </si>
  <si>
    <t>G/L Acct</t>
  </si>
  <si>
    <t>I/O</t>
  </si>
  <si>
    <t>FERC Acct</t>
  </si>
  <si>
    <t>Description</t>
  </si>
  <si>
    <t>GPP, MDC</t>
  </si>
  <si>
    <t>FERC Assessment</t>
  </si>
  <si>
    <t>LTF TS Demand</t>
  </si>
  <si>
    <t>STF/NF TS Demand</t>
  </si>
  <si>
    <t>LTF Trans Sched</t>
  </si>
  <si>
    <t>Reactive</t>
  </si>
  <si>
    <t>STF/NF Trans Sched</t>
  </si>
  <si>
    <t>Regulation</t>
  </si>
  <si>
    <t>Energy Imbalance</t>
  </si>
  <si>
    <t>Spinning Reserve</t>
  </si>
  <si>
    <t>Supplemental Res</t>
  </si>
  <si>
    <t>Energy Imbal Pen Rev</t>
  </si>
  <si>
    <t>Energy Imbal Pen Rev Ref</t>
  </si>
  <si>
    <t>Unreserv Use Pen Rev</t>
  </si>
  <si>
    <t>Unreserv Use Pen Rev Ref</t>
  </si>
  <si>
    <t>Dist Wheeling</t>
  </si>
  <si>
    <t>Radial Line Charge</t>
  </si>
  <si>
    <t>*Contract ends 5/1/2017</t>
  </si>
  <si>
    <t>BLOUNTSTOWN NETWORK TRANSMISSION SERVICE</t>
  </si>
  <si>
    <t>*Blountstown 5/1/2017</t>
  </si>
  <si>
    <t xml:space="preserve">   Blountstown Network Transmission Service Capacity Revenues</t>
  </si>
  <si>
    <t xml:space="preserve">   Blountstown Network Transmission Service Scheduling Revenues</t>
  </si>
  <si>
    <t xml:space="preserve">** Per Luke Whiting FPL looking to purchase these facilities where credit will no longer exist. As of now credit remains. </t>
  </si>
  <si>
    <t xml:space="preserve">   Radial Facilities Revenue</t>
  </si>
  <si>
    <t>FKEC Contract</t>
  </si>
  <si>
    <t xml:space="preserve">Contract Link </t>
  </si>
  <si>
    <t xml:space="preserve">Blountstown Full Req Electric Service Contract </t>
  </si>
  <si>
    <t>Blountstown Maximum Peak Demand</t>
  </si>
  <si>
    <t>* Reedy Creek contract ends 12/31/2014</t>
  </si>
  <si>
    <t>*Added 1/1/2013-1/1/2016</t>
  </si>
  <si>
    <t>*Added 10/1/2011-10/1/2016</t>
  </si>
  <si>
    <t>* Seminole starts 150 MW (6/1/14 - 12/31/15)</t>
  </si>
  <si>
    <t>Georgia Transmission Company</t>
  </si>
  <si>
    <t>Georgia  Transmission Corp</t>
  </si>
  <si>
    <t xml:space="preserve">OUC Port Charlotte </t>
  </si>
  <si>
    <t xml:space="preserve">TEC Oleander Purchase </t>
  </si>
  <si>
    <t>Wasn't updated because of 2014 Moratorium (Will keep 1.59 rate for this forecast period)</t>
  </si>
  <si>
    <t xml:space="preserve">Forecast Link </t>
  </si>
  <si>
    <t>* clean up file don't need line 12 or 13</t>
  </si>
  <si>
    <t xml:space="preserve">* Use Coincident Peak Demands </t>
  </si>
  <si>
    <t>FMPA</t>
  </si>
  <si>
    <t>Winter / Summer differential</t>
  </si>
  <si>
    <t>TRANSMISSION SERVICE REVENUE FORECAST UPDATE</t>
  </si>
  <si>
    <t>Winter Park Maximum Peak Demand</t>
  </si>
  <si>
    <t xml:space="preserve">       Blountstown Load</t>
  </si>
  <si>
    <t xml:space="preserve">       Winter Park Load</t>
  </si>
  <si>
    <t>Winter Park NETWORK TRANSMISSION SERVICE</t>
  </si>
  <si>
    <t xml:space="preserve">Winter Park Full Req Electric Service Contract </t>
  </si>
  <si>
    <t xml:space="preserve">   City of Winter Park Transmission Capacity Revenues</t>
  </si>
  <si>
    <t xml:space="preserve">   Winter Park Network Transmission Service Capacity Revenues</t>
  </si>
  <si>
    <t>FPL EMT (Winter Park)</t>
  </si>
  <si>
    <t>* Added 1/1/14 - 1/1/15</t>
  </si>
  <si>
    <t>Lake Worth NETWORK TRANSMISSION SERVICE</t>
  </si>
  <si>
    <t xml:space="preserve">       Lake Worth Load</t>
  </si>
  <si>
    <t xml:space="preserve">Lake Worth Full Req Electric Service Contract </t>
  </si>
  <si>
    <t>City of Lake Worth</t>
  </si>
  <si>
    <t>Provided by Charles Knight</t>
  </si>
  <si>
    <t>Oth Elec Rev-Trans Scheduling-STF &amp; NF</t>
  </si>
  <si>
    <t>Oth Elec Rev-Transm Srce Demand-STF &amp; NF</t>
  </si>
  <si>
    <t xml:space="preserve">  All coincident peak demands are demands that are coincident with the East Group.</t>
  </si>
  <si>
    <t xml:space="preserve">  Jacksonville Beach is served from the Sampson substation at 230 kV.</t>
  </si>
  <si>
    <t xml:space="preserve">  Green Cove Springs is served from the Chapman substation at 230 kV.</t>
  </si>
  <si>
    <t xml:space="preserve">  Clewiston is served from the McCarthy substation at 138 kV.</t>
  </si>
  <si>
    <t xml:space="preserve">   Starke is served from the Call Street (STK) substation at 13.8 kV.</t>
  </si>
  <si>
    <t xml:space="preserve">   Key West  is served from the Marathon  (FKEC) substation at 138 kV.</t>
  </si>
  <si>
    <t xml:space="preserve">   Ft. Pierce is served from the Hartman and Garden City substations at 138 kV.</t>
  </si>
  <si>
    <t xml:space="preserve">   Lake Worth is served from the Hypoluxo substation at 138 kV.</t>
  </si>
  <si>
    <t xml:space="preserve">   Lake Worth load will not be included in All-requirements Project  after 12/31/2013, it is included here just for reference.</t>
  </si>
  <si>
    <t xml:space="preserve">FMPA Provides Forecast once a year end of October </t>
  </si>
  <si>
    <t xml:space="preserve">   City of New Smyrna Beach Transmission Capacity Revenues</t>
  </si>
  <si>
    <t xml:space="preserve">   City of New Smyrna Beach Transmission Service Scheduling Revenues</t>
  </si>
  <si>
    <t>New Smyrna NETWORK TRANSMISSION SERVICE</t>
  </si>
  <si>
    <t xml:space="preserve">       New Smyrna Load</t>
  </si>
  <si>
    <t xml:space="preserve">   City of Lake Worth Transmission Capacity Revenues</t>
  </si>
  <si>
    <t xml:space="preserve">   City of Lake Worth Transmission Service Scheduling Revenues</t>
  </si>
  <si>
    <t>2019 REVENUES</t>
  </si>
  <si>
    <t xml:space="preserve">Total 2019 Transmission Service Revenues </t>
  </si>
  <si>
    <t>Provided by Charles Knight October 2014</t>
  </si>
  <si>
    <t>Make sure these are accounted for in final page</t>
  </si>
  <si>
    <t>Revenues provided by Charles Knight - 10/01/2014</t>
  </si>
  <si>
    <t>Matt will provide exact numbers.</t>
  </si>
  <si>
    <t>Forecast Year 2019</t>
  </si>
  <si>
    <t>Haven't updated</t>
  </si>
  <si>
    <t>You need to launch the BEx Analyzer toolbar in Microsoft Excel first</t>
  </si>
  <si>
    <t>Launch the "SAP Financial BW" system from the Corporate Portal</t>
  </si>
  <si>
    <t>and then enter "RRMX" in the transaction code box and a new MS Excel window should open with the toolbar activated</t>
  </si>
  <si>
    <t>Once you have the window opened, you can open up your report, right-click, and "Refresh" the report</t>
  </si>
  <si>
    <t>Instructions for retrieving actuals from SAP</t>
  </si>
  <si>
    <t>Total Distribution Charge (2017)</t>
  </si>
  <si>
    <t>Total Distribution Charge (2019)</t>
  </si>
  <si>
    <t xml:space="preserve">  Reedy Creek (Discontinued 12/31/2014)</t>
  </si>
  <si>
    <t>*Reedy Creek Discontinued as of 12/31/14</t>
  </si>
  <si>
    <t xml:space="preserve">  Sarasota L/F Gas Gen</t>
  </si>
  <si>
    <t>November 1, 2014 estimated forcast (provided by Rosemary Morely)</t>
  </si>
  <si>
    <t>2014 Actual Data</t>
  </si>
  <si>
    <t>Draft Contract provided by Charles Knight October 2014 - File Pending</t>
  </si>
  <si>
    <t>FMPA Forecast Provided October 31, 2014 by Charles Knight</t>
  </si>
  <si>
    <t xml:space="preserve">FMPA NETWORK TRANSMISSION SERVICE (Forecast dated October 1, 2014) </t>
  </si>
  <si>
    <t>New Smyrna Contract Termination Date February 1, 2019</t>
  </si>
  <si>
    <t xml:space="preserve">OATT Rate Link </t>
  </si>
  <si>
    <t>OATT Schedule Rates</t>
  </si>
  <si>
    <t>As provided by Charles Knight</t>
  </si>
  <si>
    <t xml:space="preserve">Lake Worth Contract </t>
  </si>
  <si>
    <t>Lake Worth\FPL and Lake Worth,FL NITSA-SA No. 321-FINAL.pdf</t>
  </si>
  <si>
    <t>*Contract ends 1/1/2019</t>
  </si>
  <si>
    <t>Contracted - Long Term Point to Point Contract Demands</t>
  </si>
  <si>
    <t>Ends 01/01/2016</t>
  </si>
  <si>
    <t>Sarasota Landfill</t>
  </si>
  <si>
    <t>* Discontinued as of 12/31/2014</t>
  </si>
  <si>
    <t>Ends 12/31/2014</t>
  </si>
  <si>
    <t xml:space="preserve">   New Smyrna Network Transmission Service Capacity Revenues</t>
  </si>
  <si>
    <t xml:space="preserve">   New Smyrna Network Transmission Service Scheduling Revenues</t>
  </si>
  <si>
    <t>As provided by Rosemary Morley</t>
  </si>
  <si>
    <t>Wauchula Maximum Coincidental Peak Demand</t>
  </si>
  <si>
    <t>2020 REVENUES</t>
  </si>
  <si>
    <t xml:space="preserve">Total 2020 Transmission Service Revenues </t>
  </si>
  <si>
    <t>FKEC Coincidental Peak Demand</t>
  </si>
  <si>
    <t xml:space="preserve">  Updated based on SECI 2012 - FPL Contract Forecast _BL_Final 12-9-13</t>
  </si>
  <si>
    <t>Avg  Change 2014-2020</t>
  </si>
  <si>
    <t>Total Distribution Charge (2020)</t>
  </si>
  <si>
    <t>(2014 through 2020)</t>
  </si>
  <si>
    <t>Georgia Transmission NETWORK TRANSMISSION SERVICE</t>
  </si>
  <si>
    <t>Transmission Revenue Forecast</t>
  </si>
  <si>
    <t xml:space="preserve">   Georgia Transmission Corporation Transmission Capacity Revenues</t>
  </si>
  <si>
    <t xml:space="preserve">   Georgia Transmission Corporation Transmission Service Scheduling Revenues</t>
  </si>
  <si>
    <t xml:space="preserve">   Georgia Transmission Corporation Transmission Service</t>
  </si>
  <si>
    <t>2014-2020 Forecast Provided December 2014 New Methodology</t>
  </si>
  <si>
    <t>* Lee Contract to Expire 12/31/2015</t>
  </si>
  <si>
    <t>* Discontinued 12/31/14</t>
  </si>
  <si>
    <t>* Through 11/1/24</t>
  </si>
  <si>
    <t>Through 12/31/19</t>
  </si>
  <si>
    <t>Forecast Year 2020</t>
  </si>
  <si>
    <t>* Includes Customer provided Forecast in email from New Smyrna to Luke Whiting 7/27/2015</t>
  </si>
  <si>
    <t>Use for 2015 through 2020</t>
  </si>
  <si>
    <t>Average</t>
  </si>
  <si>
    <t xml:space="preserve">Weighted </t>
  </si>
  <si>
    <t>2015 Actual Data</t>
  </si>
  <si>
    <t>SECI Transmission Network Service Forecast (2015 through 2024)</t>
  </si>
  <si>
    <t>* Forecasted numbers taken from GTC forecast provided by</t>
  </si>
  <si>
    <t xml:space="preserve">  Charles Knight on PDF 7/30/15</t>
  </si>
  <si>
    <t>1/1/15 begins network service</t>
  </si>
  <si>
    <t>FLORIDA POWER &amp; LIGHT COMPANY</t>
  </si>
  <si>
    <t>AVERAGE</t>
  </si>
  <si>
    <t>FIRM NETWORK</t>
  </si>
  <si>
    <t>Blountstown</t>
  </si>
  <si>
    <t>Winter Park</t>
  </si>
  <si>
    <t>LCEC</t>
  </si>
  <si>
    <t>FKEC</t>
  </si>
  <si>
    <t>Wauchula</t>
  </si>
  <si>
    <t>Vero Beach</t>
  </si>
  <si>
    <t>SECI</t>
  </si>
  <si>
    <t>Lake Worth</t>
  </si>
  <si>
    <t>FNO TOTALS</t>
  </si>
  <si>
    <t>LT POINT-TO-POINT</t>
  </si>
  <si>
    <t>LES Sarasota</t>
  </si>
  <si>
    <t>LFP TOTALS</t>
  </si>
  <si>
    <t>New Smyrna Beach</t>
  </si>
  <si>
    <t>TOTAL 2016 TRANS SERVICES FORECAST</t>
  </si>
  <si>
    <t>TEC Oleander</t>
  </si>
  <si>
    <t>* Contract extended through 10/1/21</t>
  </si>
  <si>
    <t>YEARS 2015-2020 - Updated to include approved forecast October 2015 (all amounts are expressed in dollars)</t>
  </si>
  <si>
    <t xml:space="preserve">2014-2020 Forecast Updated October 2015 </t>
  </si>
  <si>
    <t>October 1, 2015 estimated forcast (provided by Rosemary Morely)</t>
  </si>
  <si>
    <t>October 2015</t>
  </si>
  <si>
    <t xml:space="preserve">2015-2020 Forecast Updated October 2015 </t>
  </si>
  <si>
    <t>2016 TRANSMISSION SERVICES FORECAST (KW) - OCTOBER 2015 FORECAST</t>
  </si>
  <si>
    <t>2015 - 2020  TRANSMISSION REVENUE FORECAST</t>
  </si>
  <si>
    <t xml:space="preserve">       Georgia Transmission Load</t>
  </si>
  <si>
    <t xml:space="preserve">   Georgia Transmission Corporation Transmission Service Reactive Revenues</t>
  </si>
  <si>
    <t>Contract Ends 1/1/19</t>
  </si>
  <si>
    <t xml:space="preserve">   City of Lake Worth Transmission Service Reactive Revenues</t>
  </si>
  <si>
    <t xml:space="preserve">   City of New Smyrna Beach Transmission Service Reactive Revenues</t>
  </si>
  <si>
    <t xml:space="preserve">*Winter Park 1/1/2020 </t>
  </si>
  <si>
    <t>2015 TRANSMISSION SERVICES FORECAST (KW) - OCTOBER 2015 FORECAST</t>
  </si>
  <si>
    <t>2017 TRANSMISSION SERVICES FORECAST (KW) - OCTOBER 2015 FORECAST</t>
  </si>
  <si>
    <t>2018 TRANSMISSION SERVICES FORECAST (KW) - OCTOBER 2015 FORECAST</t>
  </si>
  <si>
    <t>2019 TRANSMISSION SERVICES FORECAST (KW) - OCTOBER 2015 FORECAST</t>
  </si>
  <si>
    <t>2020 TRANSMISSION SERVICES FORECAST (KW) - OCTOBER 2015 FORECAST</t>
  </si>
  <si>
    <t>*Contract ends 1/1/2020</t>
  </si>
  <si>
    <t xml:space="preserve">   City of Winter Park Transmission Scheduling Revenues</t>
  </si>
  <si>
    <t>Homestead NETWORK TRANSMISSION SERVICE</t>
  </si>
  <si>
    <t xml:space="preserve">       Homestead Load</t>
  </si>
  <si>
    <t>*Contract ends 1/1/2021</t>
  </si>
  <si>
    <t>Contract Ends 1/1/21</t>
  </si>
  <si>
    <t xml:space="preserve">   City of Homestead Transmission Capacity Revenues</t>
  </si>
  <si>
    <t xml:space="preserve">   City of Homestead Transmission Service Scheduling Revenues</t>
  </si>
  <si>
    <t xml:space="preserve">   City of Homestead Transmission Service Reactive Revenues</t>
  </si>
  <si>
    <t xml:space="preserve">Per Renae Deaton, January and August are taken from Rosemary's Firm Load forecast and </t>
  </si>
  <si>
    <t>the  other months are taken from the Non-Firm Interruptible forecast</t>
  </si>
  <si>
    <t>*New Customer 1/1/16 Contract ends 1/1/2021</t>
  </si>
  <si>
    <t>As provided by Rosemary Morley October 2015</t>
  </si>
  <si>
    <t>As provided by Rosemary Morley Non-Firm Forecast 2015</t>
  </si>
  <si>
    <t>Quincy Maximum Peak Demand</t>
  </si>
  <si>
    <t>Quincy NETWORK TRANSMISSION SERVICE</t>
  </si>
  <si>
    <t xml:space="preserve">       Quincy Load</t>
  </si>
  <si>
    <t>*Quincy 1/1/2021</t>
  </si>
  <si>
    <t xml:space="preserve">   City of Quincy Transmission Capacity Revenues</t>
  </si>
  <si>
    <t xml:space="preserve">   City of Quincy Transmission Service Scheduling Revenues</t>
  </si>
  <si>
    <t>Quincy</t>
  </si>
  <si>
    <t>Per Renae Deaton, when available use Firm Load Forecast and</t>
  </si>
  <si>
    <t>Reduction in Capacity Requirements</t>
  </si>
  <si>
    <t>Contract Ends 1/1/20</t>
  </si>
  <si>
    <t>Transmission Credit still active.  May change December 2015</t>
  </si>
  <si>
    <t>New customer 2016</t>
  </si>
  <si>
    <t>New customer 2015</t>
  </si>
  <si>
    <t>New Customer 2015</t>
  </si>
  <si>
    <t>Winter Park was extended from 12/31/16 to 1/1/20</t>
  </si>
  <si>
    <t>Contract ends 1/1/19</t>
  </si>
  <si>
    <t>Contract ends 12/31/2016</t>
  </si>
  <si>
    <t>Contract ends 5/1/2017</t>
  </si>
  <si>
    <t>Contract ends 2/1/19</t>
  </si>
  <si>
    <t>No forecast last year</t>
  </si>
  <si>
    <t>TOTAL 2020 TRANS SERVICES FORECAST</t>
  </si>
  <si>
    <t>TOTAL 2019 TRANS SERVICES FORECAST</t>
  </si>
  <si>
    <t>TOTAL 2018 TRANS SERVICES FORECAST</t>
  </si>
  <si>
    <t>TOTAL 2017 TRANS SERVICES FORECAST</t>
  </si>
  <si>
    <t>TOTAL 2015 TRANS SERVICES FORECAST</t>
  </si>
  <si>
    <t>No 2020 forecast last year</t>
  </si>
  <si>
    <t>Not charged due to being full requirements customer</t>
  </si>
  <si>
    <t>No longer charged as of 2015 per Luke Whiting.</t>
  </si>
  <si>
    <t>OPC 012862</t>
  </si>
  <si>
    <t>FPL RC-16</t>
  </si>
  <si>
    <t>OPC 012863</t>
  </si>
  <si>
    <t>OPC 012864</t>
  </si>
  <si>
    <t>OPC 012865</t>
  </si>
  <si>
    <t>OPC 012866</t>
  </si>
  <si>
    <t>OPC 012867</t>
  </si>
  <si>
    <t>OPC 012868</t>
  </si>
  <si>
    <t>OPC 012869</t>
  </si>
  <si>
    <t>OPC 012870</t>
  </si>
  <si>
    <t>OPC 012871</t>
  </si>
  <si>
    <t>OPC 012872</t>
  </si>
  <si>
    <t>OPC 012873</t>
  </si>
  <si>
    <t>OPC 012874</t>
  </si>
  <si>
    <t>OPC 012875</t>
  </si>
  <si>
    <t>OPC 012876</t>
  </si>
  <si>
    <t>OPC 012877</t>
  </si>
  <si>
    <t>OPC 012878</t>
  </si>
  <si>
    <t>OPC 012879</t>
  </si>
  <si>
    <t>OPC 012880</t>
  </si>
  <si>
    <t>OPC 012881</t>
  </si>
  <si>
    <t>OPC 012882</t>
  </si>
  <si>
    <t>OPC 012883</t>
  </si>
  <si>
    <t>OPC 012884</t>
  </si>
  <si>
    <t>OPC 012885</t>
  </si>
  <si>
    <t>OPC 012886</t>
  </si>
  <si>
    <t>OPC 012887</t>
  </si>
  <si>
    <t>OPC 012888</t>
  </si>
  <si>
    <t>OPC 012889</t>
  </si>
  <si>
    <t>OPC 012890</t>
  </si>
  <si>
    <t>OPC 012891</t>
  </si>
  <si>
    <t>OPC 012892</t>
  </si>
  <si>
    <t>OPC 012893</t>
  </si>
  <si>
    <t>OPC 012894</t>
  </si>
  <si>
    <t>OPC 012895</t>
  </si>
  <si>
    <t>OPC 012896</t>
  </si>
  <si>
    <t>OPC 012897</t>
  </si>
  <si>
    <t>OPC 012898</t>
  </si>
  <si>
    <t>OPC 012899</t>
  </si>
  <si>
    <t>OPC 012900</t>
  </si>
  <si>
    <t>OPC 012901</t>
  </si>
  <si>
    <t>OPC 012902</t>
  </si>
  <si>
    <t>OPC 012903</t>
  </si>
  <si>
    <t>OPC 012904</t>
  </si>
  <si>
    <t>OPC 012905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</si>
</sst>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dd\-mmm\-yy_)"/>
    <numFmt numFmtId="166" formatCode="hh:mm\ AM/PM_)"/>
    <numFmt numFmtId="167" formatCode="0.00_)"/>
    <numFmt numFmtId="168" formatCode="#,##0.000_);[Red]\(#,##0.000\)"/>
    <numFmt numFmtId="169" formatCode="&quot;$&quot;#,##0.000_);[Red]\(&quot;$&quot;#,##0.000\)"/>
    <numFmt numFmtId="170" formatCode="&quot;$&quot;#,##0.00000_);[Red]\(&quot;$&quot;#,##0.00000\)"/>
    <numFmt numFmtId="171" formatCode="&quot;$&quot;#,##0.000_);\(&quot;$&quot;#,##0.000\)"/>
    <numFmt numFmtId="172" formatCode="&quot;$&quot;#,##0.00000_);\(&quot;$&quot;#,##0.00000\)"/>
    <numFmt numFmtId="173" formatCode="0.000"/>
    <numFmt numFmtId="174" formatCode="#,###.0000"/>
    <numFmt numFmtId="175" formatCode="0.0%"/>
    <numFmt numFmtId="176" formatCode="_(* #,##0.000_);_(* \(#,##0.000\);_(* &quot;-&quot;??_);_(@_)"/>
    <numFmt numFmtId="177" formatCode="0.000000"/>
    <numFmt numFmtId="178" formatCode="0.0"/>
    <numFmt numFmtId="179" formatCode="0.0_)"/>
    <numFmt numFmtId="180" formatCode="_(* #,##0.00000_);_(* \(#,##0.00000\);_(* &quot;-&quot;??_);_(@_)"/>
    <numFmt numFmtId="181" formatCode="_(* #,##0.0_);_(* \(#,##0.0\);_(* &quot;-&quot;??_);_(@_)"/>
    <numFmt numFmtId="182" formatCode="_(* #,##0_);_(* \(#,##0\);_(* &quot;-&quot;??_);_(@_)"/>
    <numFmt numFmtId="183" formatCode="&quot;$&quot;#,##0.00"/>
    <numFmt numFmtId="184" formatCode="0_);\(0\)"/>
    <numFmt numFmtId="185" formatCode="#,##0.000_);\(#,##0.000\)"/>
    <numFmt numFmtId="186" formatCode="0.000_);\(0.000\)"/>
    <numFmt numFmtId="187" formatCode="m\-d\-yy"/>
    <numFmt numFmtId="188" formatCode=";;;\(@\)"/>
    <numFmt numFmtId="189" formatCode="0."/>
    <numFmt numFmtId="190" formatCode="_-* #,##0.0_-;\-* #,##0.0_-;_-* &quot;-&quot;??_-;_-@_-"/>
    <numFmt numFmtId="191" formatCode="#,##0.00&quot; $&quot;;\-#,##0.00&quot; $&quot;"/>
    <numFmt numFmtId="192" formatCode="_(* #,##0_);_(* \(#,##0\);_(* &quot;&quot;_);_(@_)"/>
    <numFmt numFmtId="193" formatCode="_(* #,##0,_);_(* \(#,##0,\);_(* &quot;-   &quot;_);_(@_)"/>
    <numFmt numFmtId="194" formatCode="_(* #,##0.0,_);_(* \(#,##0.0,\);_(* &quot;-   &quot;_);_(@_)"/>
    <numFmt numFmtId="195" formatCode="&quot;£&quot;#,##0_);[Red]\(&quot;£&quot;#,##0\)"/>
    <numFmt numFmtId="196" formatCode="&quot;$&quot;#,##0.0000_);[Red]\(&quot;$&quot;#,##0.0000\)"/>
    <numFmt numFmtId="197" formatCode="_(&quot;$&quot;* #,##0_);_(&quot;$&quot;* \(#,##0\);_(&quot;$&quot;* &quot;-&quot;??_);_(@_)"/>
    <numFmt numFmtId="198" formatCode="&quot;$&quot;#,##0.00000"/>
    <numFmt numFmtId="199" formatCode="&quot;$&quot;#,##0"/>
    <numFmt numFmtId="200" formatCode="[$-409]mmm\-yy;@"/>
  </numFmts>
  <fonts count="1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Helvetica-Narrow"/>
      <family val="2"/>
    </font>
    <font>
      <sz val="8"/>
      <name val="Helvetica-Narrow"/>
      <family val="2"/>
    </font>
    <font>
      <sz val="8"/>
      <name val="Arial Narrow"/>
      <family val="2"/>
    </font>
    <font>
      <sz val="10"/>
      <name val="Arial Narrow"/>
      <family val="2"/>
    </font>
    <font>
      <sz val="10"/>
      <name val="Courier"/>
      <family val="3"/>
    </font>
    <font>
      <sz val="8.5"/>
      <name val="MS Sans Serif"/>
      <family val="2"/>
    </font>
    <font>
      <sz val="8"/>
      <name val="Arial"/>
      <family val="2"/>
    </font>
    <font>
      <b/>
      <u/>
      <sz val="8.5"/>
      <name val="Arial Narrow"/>
      <family val="2"/>
    </font>
    <font>
      <sz val="8.5"/>
      <name val="Arial Narrow"/>
      <family val="2"/>
    </font>
    <font>
      <b/>
      <sz val="8.5"/>
      <name val="Arial Narrow"/>
      <family val="2"/>
    </font>
    <font>
      <b/>
      <sz val="8.5"/>
      <name val="Arial Narrow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b/>
      <sz val="10"/>
      <name val="Helvetica-Narrow"/>
    </font>
    <font>
      <b/>
      <sz val="8"/>
      <name val="Arial"/>
      <family val="2"/>
    </font>
    <font>
      <b/>
      <sz val="14"/>
      <name val="Arial"/>
      <family val="2"/>
    </font>
    <font>
      <sz val="8"/>
      <name val="Courier"/>
      <family val="3"/>
    </font>
    <font>
      <sz val="8"/>
      <name val="Helvetica-Narrow"/>
    </font>
    <font>
      <sz val="10"/>
      <name val="Courier"/>
      <family val="3"/>
    </font>
    <font>
      <b/>
      <u/>
      <sz val="8"/>
      <name val="Arial"/>
      <family val="2"/>
    </font>
    <font>
      <sz val="8.5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Garamond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u val="singleAccounting"/>
      <sz val="10"/>
      <name val="Times"/>
      <family val="1"/>
    </font>
    <font>
      <sz val="10"/>
      <name val="MS Sans Serif"/>
      <family val="2"/>
    </font>
    <font>
      <sz val="9"/>
      <name val="Univers (WN)"/>
    </font>
    <font>
      <b/>
      <sz val="10"/>
      <color indexed="64"/>
      <name val="Arial"/>
      <family val="2"/>
    </font>
    <font>
      <sz val="10"/>
      <name val="MS Serif"/>
      <family val="1"/>
    </font>
    <font>
      <sz val="11"/>
      <name val="??"/>
      <family val="3"/>
      <charset val="129"/>
    </font>
    <font>
      <sz val="12"/>
      <name val="Times New Roman"/>
      <family val="1"/>
    </font>
    <font>
      <sz val="10"/>
      <color indexed="16"/>
      <name val="MS Serif"/>
      <family val="1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64"/>
      <name val="Arial"/>
      <family val="2"/>
    </font>
    <font>
      <sz val="8"/>
      <name val="Tahoma"/>
      <family val="2"/>
    </font>
    <font>
      <sz val="10"/>
      <name val="Courier"/>
      <family val="3"/>
    </font>
    <font>
      <sz val="10"/>
      <color indexed="72"/>
      <name val="Arial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sz val="8"/>
      <color indexed="12"/>
      <name val="Arial"/>
      <family val="2"/>
    </font>
    <font>
      <sz val="10"/>
      <name val="Helvetica-Narrow"/>
    </font>
    <font>
      <b/>
      <sz val="8"/>
      <name val="Arial Narrow"/>
      <family val="2"/>
    </font>
    <font>
      <b/>
      <sz val="8"/>
      <name val="Helvetica-Narrow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8.5"/>
      <color rgb="FFFF0000"/>
      <name val="Arial Narrow"/>
      <family val="2"/>
    </font>
    <font>
      <sz val="10"/>
      <color rgb="FFFF0000"/>
      <name val="Courier"/>
      <family val="3"/>
    </font>
    <font>
      <sz val="8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Helvetica-Narrow"/>
      <family val="2"/>
    </font>
    <font>
      <sz val="10"/>
      <name val="Cambria"/>
      <family val="1"/>
      <scheme val="major"/>
    </font>
    <font>
      <u/>
      <sz val="10"/>
      <color theme="10"/>
      <name val="Courier"/>
      <family val="3"/>
    </font>
    <font>
      <b/>
      <sz val="10"/>
      <color theme="3" tint="-0.499984740745262"/>
      <name val="Arial"/>
      <family val="2"/>
    </font>
    <font>
      <u/>
      <sz val="10"/>
      <color rgb="FFFF0000"/>
      <name val="Arial"/>
      <family val="2"/>
    </font>
    <font>
      <b/>
      <i/>
      <sz val="10"/>
      <color theme="3" tint="-0.499984740745262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ourier"/>
      <family val="3"/>
    </font>
    <font>
      <b/>
      <sz val="8"/>
      <color rgb="FFFF0000"/>
      <name val="Helvetica-Narrow"/>
    </font>
    <font>
      <b/>
      <sz val="7"/>
      <color rgb="FFFF0000"/>
      <name val="Courier"/>
      <family val="3"/>
    </font>
    <font>
      <b/>
      <sz val="8.5"/>
      <color rgb="FFFF0000"/>
      <name val="Arial Narrow"/>
      <family val="2"/>
    </font>
    <font>
      <b/>
      <sz val="10"/>
      <color rgb="FFFF0000"/>
      <name val="Helvetica-Narrow"/>
    </font>
    <font>
      <sz val="11"/>
      <color rgb="FF1F497D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FF0000"/>
      <name val="Helvetica-Narrow"/>
    </font>
    <font>
      <i/>
      <sz val="8"/>
      <color rgb="FFFF0000"/>
      <name val="Helvetica-Narrow"/>
    </font>
    <font>
      <i/>
      <sz val="10"/>
      <color rgb="FFFF0000"/>
      <name val="Courier"/>
      <family val="3"/>
    </font>
    <font>
      <i/>
      <sz val="8"/>
      <name val="Arial"/>
      <family val="2"/>
    </font>
    <font>
      <sz val="8"/>
      <color rgb="FF000000"/>
      <name val="Arial"/>
      <family val="2"/>
    </font>
    <font>
      <sz val="14"/>
      <name val="Arial MT"/>
      <family val="2"/>
    </font>
    <font>
      <sz val="14"/>
      <color rgb="FFFF0000"/>
      <name val="Arial MT"/>
      <family val="2"/>
    </font>
    <font>
      <i/>
      <sz val="8"/>
      <color rgb="FFFF0000"/>
      <name val="Arial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Helvetica-Narrow"/>
    </font>
    <font>
      <b/>
      <u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514">
    <xf numFmtId="164" fontId="0" fillId="0" borderId="0"/>
    <xf numFmtId="177" fontId="19" fillId="0" borderId="0">
      <alignment horizontal="left" wrapText="1"/>
    </xf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9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3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3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1" fillId="1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18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9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6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87" fontId="18" fillId="25" borderId="1">
      <alignment horizontal="center" vertical="center"/>
    </xf>
    <xf numFmtId="0" fontId="42" fillId="4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195" fontId="19" fillId="0" borderId="0" applyFill="0" applyBorder="0" applyAlignment="0"/>
    <xf numFmtId="0" fontId="43" fillId="10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60" fillId="26" borderId="2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0" fontId="44" fillId="27" borderId="3" applyNumberFormat="0" applyAlignment="0" applyProtection="0"/>
    <xf numFmtId="188" fontId="61" fillId="0" borderId="0">
      <alignment horizontal="center" wrapText="1"/>
    </xf>
    <xf numFmtId="40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0" fontId="6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9" fillId="0" borderId="4"/>
    <xf numFmtId="0" fontId="65" fillId="0" borderId="0" applyNumberFormat="0" applyAlignment="0">
      <alignment horizontal="left"/>
    </xf>
    <xf numFmtId="8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62" fillId="0" borderId="0" applyFont="0" applyFill="0" applyBorder="0" applyAlignment="0" applyProtection="0"/>
    <xf numFmtId="8" fontId="6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6" fontId="66" fillId="0" borderId="0">
      <protection locked="0"/>
    </xf>
    <xf numFmtId="189" fontId="67" fillId="0" borderId="0"/>
    <xf numFmtId="0" fontId="68" fillId="0" borderId="0" applyNumberFormat="0" applyAlignment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0" fontId="19" fillId="0" borderId="0">
      <protection locked="0"/>
    </xf>
    <xf numFmtId="0" fontId="47" fillId="6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38" fontId="10" fillId="28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0" borderId="5" applyNumberFormat="0" applyAlignment="0" applyProtection="0">
      <alignment horizontal="left" vertical="center"/>
    </xf>
    <xf numFmtId="0" fontId="70" fillId="0" borderId="6">
      <alignment horizontal="left" vertical="center"/>
    </xf>
    <xf numFmtId="0" fontId="48" fillId="0" borderId="7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49" fillId="0" borderId="9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50" fillId="0" borderId="11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73" fillId="0" borderId="12" applyNumberFormat="0" applyFill="0" applyAlignment="0" applyProtection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91" fontId="19" fillId="0" borderId="0">
      <protection locked="0"/>
    </xf>
    <xf numFmtId="191" fontId="19" fillId="0" borderId="0">
      <protection locked="0"/>
    </xf>
    <xf numFmtId="0" fontId="74" fillId="0" borderId="13" applyNumberFormat="0" applyFill="0" applyAlignment="0" applyProtection="0"/>
    <xf numFmtId="0" fontId="51" fillId="9" borderId="2" applyNumberFormat="0" applyAlignment="0" applyProtection="0"/>
    <xf numFmtId="10" fontId="10" fillId="29" borderId="14" applyNumberFormat="0" applyBorder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1" fillId="13" borderId="2" applyNumberFormat="0" applyAlignment="0" applyProtection="0"/>
    <xf numFmtId="0" fontId="52" fillId="0" borderId="15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182" fontId="18" fillId="0" borderId="0">
      <alignment horizontal="center"/>
    </xf>
    <xf numFmtId="0" fontId="53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37" fontId="76" fillId="0" borderId="0"/>
    <xf numFmtId="167" fontId="77" fillId="0" borderId="0"/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1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77" fontId="63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9" fillId="0" borderId="0" applyAlignment="0">
      <alignment vertical="top" wrapText="1"/>
      <protection locked="0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4" fontId="8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1" fillId="0" borderId="0" applyAlignment="0">
      <alignment vertical="top"/>
      <protection locked="0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9" fillId="0" borderId="0"/>
    <xf numFmtId="17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5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0" fontId="19" fillId="7" borderId="17" applyNumberFormat="0" applyFont="0" applyAlignment="0" applyProtection="0"/>
    <xf numFmtId="192" fontId="19" fillId="0" borderId="0"/>
    <xf numFmtId="174" fontId="10" fillId="0" borderId="0"/>
    <xf numFmtId="0" fontId="54" fillId="10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0" fontId="54" fillId="26" borderId="18" applyNumberFormat="0" applyAlignment="0" applyProtection="0"/>
    <xf numFmtId="9" fontId="3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82" fillId="0" borderId="19">
      <alignment horizontal="center"/>
    </xf>
    <xf numFmtId="3" fontId="62" fillId="0" borderId="0" applyFont="0" applyFill="0" applyBorder="0" applyAlignment="0" applyProtection="0"/>
    <xf numFmtId="0" fontId="62" fillId="30" borderId="0" applyNumberFormat="0" applyFont="0" applyBorder="0" applyAlignment="0" applyProtection="0"/>
    <xf numFmtId="0" fontId="83" fillId="0" borderId="20"/>
    <xf numFmtId="14" fontId="84" fillId="0" borderId="0" applyNumberFormat="0" applyFill="0" applyBorder="0" applyAlignment="0" applyProtection="0">
      <alignment horizontal="left"/>
    </xf>
    <xf numFmtId="4" fontId="59" fillId="31" borderId="18" applyNumberFormat="0" applyProtection="0">
      <alignment vertical="center"/>
    </xf>
    <xf numFmtId="4" fontId="85" fillId="31" borderId="18" applyNumberFormat="0" applyProtection="0">
      <alignment vertical="center"/>
    </xf>
    <xf numFmtId="4" fontId="59" fillId="31" borderId="18" applyNumberFormat="0" applyProtection="0">
      <alignment horizontal="left" vertical="center" indent="1"/>
    </xf>
    <xf numFmtId="4" fontId="59" fillId="31" borderId="18" applyNumberFormat="0" applyProtection="0">
      <alignment horizontal="left" vertical="center" indent="1"/>
    </xf>
    <xf numFmtId="0" fontId="19" fillId="32" borderId="18" applyNumberFormat="0" applyProtection="0">
      <alignment horizontal="left" vertical="center" indent="1"/>
    </xf>
    <xf numFmtId="4" fontId="59" fillId="33" borderId="18" applyNumberFormat="0" applyProtection="0">
      <alignment horizontal="right" vertical="center"/>
    </xf>
    <xf numFmtId="4" fontId="59" fillId="34" borderId="18" applyNumberFormat="0" applyProtection="0">
      <alignment horizontal="right" vertical="center"/>
    </xf>
    <xf numFmtId="4" fontId="59" fillId="35" borderId="18" applyNumberFormat="0" applyProtection="0">
      <alignment horizontal="right" vertical="center"/>
    </xf>
    <xf numFmtId="4" fontId="59" fillId="36" borderId="18" applyNumberFormat="0" applyProtection="0">
      <alignment horizontal="right" vertical="center"/>
    </xf>
    <xf numFmtId="4" fontId="59" fillId="37" borderId="18" applyNumberFormat="0" applyProtection="0">
      <alignment horizontal="right" vertical="center"/>
    </xf>
    <xf numFmtId="4" fontId="59" fillId="38" borderId="18" applyNumberFormat="0" applyProtection="0">
      <alignment horizontal="right" vertical="center"/>
    </xf>
    <xf numFmtId="4" fontId="59" fillId="39" borderId="18" applyNumberFormat="0" applyProtection="0">
      <alignment horizontal="right" vertical="center"/>
    </xf>
    <xf numFmtId="4" fontId="59" fillId="40" borderId="18" applyNumberFormat="0" applyProtection="0">
      <alignment horizontal="right" vertical="center"/>
    </xf>
    <xf numFmtId="4" fontId="59" fillId="41" borderId="18" applyNumberFormat="0" applyProtection="0">
      <alignment horizontal="right" vertical="center"/>
    </xf>
    <xf numFmtId="4" fontId="86" fillId="42" borderId="18" applyNumberFormat="0" applyProtection="0">
      <alignment horizontal="left" vertical="center" indent="1"/>
    </xf>
    <xf numFmtId="4" fontId="59" fillId="43" borderId="21" applyNumberFormat="0" applyProtection="0">
      <alignment horizontal="left" vertical="center" indent="1"/>
    </xf>
    <xf numFmtId="4" fontId="87" fillId="44" borderId="0" applyNumberFormat="0" applyProtection="0">
      <alignment horizontal="left" vertical="center" indent="1"/>
    </xf>
    <xf numFmtId="0" fontId="19" fillId="32" borderId="18" applyNumberFormat="0" applyProtection="0">
      <alignment horizontal="left" vertical="center" indent="1"/>
    </xf>
    <xf numFmtId="4" fontId="59" fillId="43" borderId="18" applyNumberFormat="0" applyProtection="0">
      <alignment horizontal="left" vertical="center" indent="1"/>
    </xf>
    <xf numFmtId="4" fontId="59" fillId="45" borderId="18" applyNumberFormat="0" applyProtection="0">
      <alignment horizontal="left" vertical="center" indent="1"/>
    </xf>
    <xf numFmtId="0" fontId="19" fillId="45" borderId="18" applyNumberFormat="0" applyProtection="0">
      <alignment horizontal="left" vertical="center" indent="1"/>
    </xf>
    <xf numFmtId="0" fontId="19" fillId="45" borderId="18" applyNumberFormat="0" applyProtection="0">
      <alignment horizontal="left" vertical="center" indent="1"/>
    </xf>
    <xf numFmtId="0" fontId="19" fillId="46" borderId="18" applyNumberFormat="0" applyProtection="0">
      <alignment horizontal="left" vertical="center" indent="1"/>
    </xf>
    <xf numFmtId="0" fontId="19" fillId="46" borderId="18" applyNumberFormat="0" applyProtection="0">
      <alignment horizontal="left" vertical="center" indent="1"/>
    </xf>
    <xf numFmtId="0" fontId="19" fillId="28" borderId="18" applyNumberFormat="0" applyProtection="0">
      <alignment horizontal="left" vertical="center" indent="1"/>
    </xf>
    <xf numFmtId="0" fontId="19" fillId="28" borderId="18" applyNumberFormat="0" applyProtection="0">
      <alignment horizontal="left" vertical="center" indent="1"/>
    </xf>
    <xf numFmtId="0" fontId="19" fillId="32" borderId="18" applyNumberFormat="0" applyProtection="0">
      <alignment horizontal="left" vertical="center" indent="1"/>
    </xf>
    <xf numFmtId="0" fontId="19" fillId="32" borderId="18" applyNumberFormat="0" applyProtection="0">
      <alignment horizontal="left" vertical="center" indent="1"/>
    </xf>
    <xf numFmtId="4" fontId="59" fillId="29" borderId="18" applyNumberFormat="0" applyProtection="0">
      <alignment vertical="center"/>
    </xf>
    <xf numFmtId="4" fontId="85" fillId="29" borderId="18" applyNumberFormat="0" applyProtection="0">
      <alignment vertical="center"/>
    </xf>
    <xf numFmtId="4" fontId="59" fillId="29" borderId="18" applyNumberFormat="0" applyProtection="0">
      <alignment horizontal="left" vertical="center" indent="1"/>
    </xf>
    <xf numFmtId="4" fontId="59" fillId="29" borderId="18" applyNumberFormat="0" applyProtection="0">
      <alignment horizontal="left" vertical="center" indent="1"/>
    </xf>
    <xf numFmtId="4" fontId="59" fillId="43" borderId="18" applyNumberFormat="0" applyProtection="0">
      <alignment horizontal="right" vertical="center"/>
    </xf>
    <xf numFmtId="4" fontId="85" fillId="43" borderId="18" applyNumberFormat="0" applyProtection="0">
      <alignment horizontal="right" vertical="center"/>
    </xf>
    <xf numFmtId="0" fontId="19" fillId="32" borderId="18" applyNumberFormat="0" applyProtection="0">
      <alignment horizontal="left" vertical="center" indent="1"/>
    </xf>
    <xf numFmtId="0" fontId="19" fillId="32" borderId="18" applyNumberFormat="0" applyProtection="0">
      <alignment horizontal="left" vertical="center" indent="1"/>
    </xf>
    <xf numFmtId="0" fontId="88" fillId="0" borderId="0"/>
    <xf numFmtId="4" fontId="89" fillId="43" borderId="18" applyNumberFormat="0" applyProtection="0">
      <alignment horizontal="right" vertical="center"/>
    </xf>
    <xf numFmtId="0" fontId="22" fillId="47" borderId="0"/>
    <xf numFmtId="177" fontId="19" fillId="0" borderId="0">
      <alignment horizontal="left" wrapText="1"/>
    </xf>
    <xf numFmtId="0" fontId="90" fillId="0" borderId="22"/>
    <xf numFmtId="40" fontId="91" fillId="0" borderId="0" applyBorder="0">
      <alignment horizontal="right"/>
    </xf>
    <xf numFmtId="0" fontId="19" fillId="28" borderId="4" applyNumberFormat="0" applyFont="0" applyAlignment="0"/>
    <xf numFmtId="0" fontId="19" fillId="0" borderId="0"/>
    <xf numFmtId="193" fontId="19" fillId="0" borderId="0">
      <alignment wrapText="1"/>
    </xf>
    <xf numFmtId="194" fontId="19" fillId="0" borderId="0">
      <alignment wrapText="1"/>
    </xf>
    <xf numFmtId="0" fontId="55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37" fontId="10" fillId="31" borderId="0" applyNumberFormat="0" applyBorder="0" applyAlignment="0" applyProtection="0"/>
    <xf numFmtId="37" fontId="10" fillId="0" borderId="0"/>
    <xf numFmtId="3" fontId="93" fillId="0" borderId="13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/>
    <xf numFmtId="164" fontId="106" fillId="0" borderId="0" applyNumberFormat="0" applyFill="0" applyBorder="0" applyAlignment="0" applyProtection="0"/>
    <xf numFmtId="0" fontId="15" fillId="0" borderId="0"/>
    <xf numFmtId="164" fontId="8" fillId="0" borderId="0"/>
    <xf numFmtId="164" fontId="8" fillId="0" borderId="0"/>
    <xf numFmtId="40" fontId="3" fillId="0" borderId="0" applyFont="0" applyFill="0" applyBorder="0" applyAlignment="0" applyProtection="0"/>
    <xf numFmtId="43" fontId="15" fillId="0" borderId="0" applyNumberFormat="0" applyFill="0" applyBorder="0" applyAlignment="0" applyProtection="0"/>
    <xf numFmtId="44" fontId="40" fillId="0" borderId="0" applyFont="0" applyFill="0" applyBorder="0" applyAlignment="0" applyProtection="0"/>
    <xf numFmtId="0" fontId="1" fillId="0" borderId="0"/>
  </cellStyleXfs>
  <cellXfs count="493">
    <xf numFmtId="164" fontId="0" fillId="0" borderId="0" xfId="0"/>
    <xf numFmtId="0" fontId="16" fillId="0" borderId="0" xfId="1196" applyFont="1" applyAlignment="1">
      <alignment horizontal="left"/>
    </xf>
    <xf numFmtId="0" fontId="17" fillId="0" borderId="0" xfId="1196" applyFont="1" applyAlignment="1">
      <alignment horizontal="centerContinuous"/>
    </xf>
    <xf numFmtId="0" fontId="15" fillId="0" borderId="0" xfId="1196"/>
    <xf numFmtId="0" fontId="15" fillId="0" borderId="0" xfId="1196" applyAlignment="1">
      <alignment horizontal="center"/>
    </xf>
    <xf numFmtId="165" fontId="21" fillId="0" borderId="0" xfId="0" applyNumberFormat="1" applyFont="1" applyFill="1" applyProtection="1"/>
    <xf numFmtId="164" fontId="10" fillId="0" borderId="0" xfId="0" applyFont="1" applyFill="1"/>
    <xf numFmtId="38" fontId="10" fillId="0" borderId="0" xfId="572" applyNumberFormat="1" applyFont="1" applyFill="1"/>
    <xf numFmtId="164" fontId="21" fillId="0" borderId="0" xfId="0" applyFont="1" applyFill="1" applyAlignment="1" applyProtection="1">
      <alignment horizontal="left"/>
    </xf>
    <xf numFmtId="166" fontId="21" fillId="0" borderId="0" xfId="0" applyNumberFormat="1" applyFont="1" applyFill="1" applyProtection="1"/>
    <xf numFmtId="164" fontId="21" fillId="0" borderId="0" xfId="0" applyFont="1" applyFill="1"/>
    <xf numFmtId="9" fontId="10" fillId="0" borderId="0" xfId="1242" applyFont="1" applyFill="1"/>
    <xf numFmtId="164" fontId="21" fillId="0" borderId="0" xfId="0" applyFont="1" applyFill="1" applyBorder="1"/>
    <xf numFmtId="0" fontId="15" fillId="0" borderId="0" xfId="1196" applyFont="1" applyAlignment="1">
      <alignment horizontal="left"/>
    </xf>
    <xf numFmtId="165" fontId="6" fillId="0" borderId="0" xfId="0" applyNumberFormat="1" applyFont="1" applyFill="1" applyProtection="1"/>
    <xf numFmtId="164" fontId="6" fillId="0" borderId="0" xfId="0" applyFont="1" applyFill="1"/>
    <xf numFmtId="164" fontId="7" fillId="0" borderId="0" xfId="0" applyFont="1" applyFill="1"/>
    <xf numFmtId="164" fontId="6" fillId="0" borderId="0" xfId="0" applyFont="1" applyFill="1" applyAlignment="1" applyProtection="1">
      <alignment horizontal="left"/>
    </xf>
    <xf numFmtId="166" fontId="6" fillId="0" borderId="0" xfId="0" applyNumberFormat="1" applyFont="1" applyFill="1" applyProtection="1"/>
    <xf numFmtId="164" fontId="4" fillId="0" borderId="0" xfId="0" applyFont="1" applyFill="1"/>
    <xf numFmtId="164" fontId="5" fillId="0" borderId="0" xfId="0" applyFont="1" applyFill="1"/>
    <xf numFmtId="37" fontId="5" fillId="0" borderId="0" xfId="0" applyNumberFormat="1" applyFont="1" applyFill="1" applyProtection="1"/>
    <xf numFmtId="164" fontId="8" fillId="0" borderId="0" xfId="0" applyFont="1" applyFill="1"/>
    <xf numFmtId="164" fontId="5" fillId="0" borderId="0" xfId="0" applyFont="1" applyFill="1" applyProtection="1"/>
    <xf numFmtId="164" fontId="5" fillId="0" borderId="0" xfId="0" applyFont="1" applyFill="1" applyAlignment="1" applyProtection="1">
      <alignment horizontal="center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left"/>
    </xf>
    <xf numFmtId="168" fontId="5" fillId="0" borderId="0" xfId="572" applyNumberFormat="1" applyFont="1" applyFill="1" applyAlignment="1" applyProtection="1">
      <alignment horizontal="left"/>
    </xf>
    <xf numFmtId="38" fontId="5" fillId="0" borderId="0" xfId="572" applyNumberFormat="1" applyFont="1" applyFill="1"/>
    <xf numFmtId="168" fontId="5" fillId="0" borderId="0" xfId="572" applyNumberFormat="1" applyFont="1" applyFill="1"/>
    <xf numFmtId="7" fontId="5" fillId="0" borderId="0" xfId="0" applyNumberFormat="1" applyFont="1" applyFill="1" applyProtection="1"/>
    <xf numFmtId="8" fontId="5" fillId="0" borderId="0" xfId="687" applyFont="1" applyFill="1" applyProtection="1"/>
    <xf numFmtId="172" fontId="5" fillId="0" borderId="0" xfId="0" applyNumberFormat="1" applyFont="1" applyFill="1" applyProtection="1"/>
    <xf numFmtId="170" fontId="5" fillId="0" borderId="0" xfId="687" applyNumberFormat="1" applyFont="1" applyFill="1" applyProtection="1"/>
    <xf numFmtId="164" fontId="20" fillId="0" borderId="0" xfId="0" applyFont="1" applyFill="1" applyProtection="1"/>
    <xf numFmtId="38" fontId="24" fillId="0" borderId="0" xfId="572" applyNumberFormat="1" applyFont="1" applyFill="1"/>
    <xf numFmtId="37" fontId="24" fillId="0" borderId="0" xfId="572" applyNumberFormat="1" applyFont="1" applyFill="1"/>
    <xf numFmtId="164" fontId="25" fillId="0" borderId="0" xfId="0" applyFont="1" applyFill="1"/>
    <xf numFmtId="38" fontId="26" fillId="0" borderId="0" xfId="572" applyNumberFormat="1" applyFont="1" applyFill="1" applyAlignment="1">
      <alignment horizontal="center"/>
    </xf>
    <xf numFmtId="164" fontId="26" fillId="0" borderId="0" xfId="0" applyFont="1" applyFill="1" applyAlignment="1">
      <alignment horizontal="center"/>
    </xf>
    <xf numFmtId="6" fontId="10" fillId="0" borderId="0" xfId="687" applyNumberFormat="1" applyFont="1" applyFill="1" applyProtection="1"/>
    <xf numFmtId="5" fontId="10" fillId="0" borderId="0" xfId="687" applyNumberFormat="1" applyFont="1" applyFill="1" applyProtection="1"/>
    <xf numFmtId="37" fontId="21" fillId="0" borderId="0" xfId="0" applyNumberFormat="1" applyFont="1" applyFill="1" applyProtection="1"/>
    <xf numFmtId="6" fontId="10" fillId="0" borderId="0" xfId="687" applyNumberFormat="1" applyFont="1" applyFill="1" applyBorder="1" applyProtection="1"/>
    <xf numFmtId="5" fontId="10" fillId="0" borderId="0" xfId="687" applyNumberFormat="1" applyFont="1" applyFill="1" applyBorder="1" applyProtection="1"/>
    <xf numFmtId="37" fontId="21" fillId="0" borderId="0" xfId="0" applyNumberFormat="1" applyFont="1" applyFill="1" applyBorder="1" applyProtection="1"/>
    <xf numFmtId="37" fontId="10" fillId="0" borderId="0" xfId="0" applyNumberFormat="1" applyFont="1" applyFill="1" applyProtection="1"/>
    <xf numFmtId="164" fontId="6" fillId="0" borderId="0" xfId="0" applyFont="1" applyFill="1" applyAlignment="1">
      <alignment horizontal="left" indent="1"/>
    </xf>
    <xf numFmtId="10" fontId="5" fillId="0" borderId="0" xfId="1242" applyNumberFormat="1" applyFont="1" applyFill="1"/>
    <xf numFmtId="171" fontId="5" fillId="0" borderId="0" xfId="0" applyNumberFormat="1" applyFont="1" applyFill="1" applyProtection="1"/>
    <xf numFmtId="169" fontId="5" fillId="0" borderId="0" xfId="687" applyNumberFormat="1" applyFont="1" applyFill="1"/>
    <xf numFmtId="164" fontId="11" fillId="0" borderId="0" xfId="0" quotePrefix="1" applyFont="1" applyFill="1" applyAlignment="1">
      <alignment horizontal="left"/>
    </xf>
    <xf numFmtId="164" fontId="12" fillId="0" borderId="0" xfId="0" applyFont="1" applyFill="1"/>
    <xf numFmtId="164" fontId="11" fillId="0" borderId="0" xfId="0" applyFont="1" applyFill="1"/>
    <xf numFmtId="164" fontId="14" fillId="0" borderId="0" xfId="0" applyFont="1" applyFill="1"/>
    <xf numFmtId="164" fontId="11" fillId="0" borderId="0" xfId="0" applyFont="1" applyFill="1" applyBorder="1" applyAlignment="1">
      <alignment horizontal="center"/>
    </xf>
    <xf numFmtId="164" fontId="11" fillId="0" borderId="0" xfId="0" applyFont="1" applyFill="1" applyAlignment="1">
      <alignment horizontal="center"/>
    </xf>
    <xf numFmtId="164" fontId="11" fillId="0" borderId="0" xfId="0" applyFont="1" applyFill="1" applyAlignment="1"/>
    <xf numFmtId="164" fontId="12" fillId="0" borderId="0" xfId="0" applyFont="1" applyFill="1" applyAlignment="1"/>
    <xf numFmtId="164" fontId="12" fillId="0" borderId="0" xfId="0" applyFont="1" applyFill="1" applyAlignment="1">
      <alignment horizontal="centerContinuous"/>
    </xf>
    <xf numFmtId="164" fontId="13" fillId="0" borderId="0" xfId="0" quotePrefix="1" applyFont="1" applyFill="1" applyAlignment="1">
      <alignment horizontal="left"/>
    </xf>
    <xf numFmtId="8" fontId="27" fillId="0" borderId="0" xfId="687" applyFont="1" applyFill="1"/>
    <xf numFmtId="8" fontId="12" fillId="0" borderId="0" xfId="687" applyFont="1" applyFill="1"/>
    <xf numFmtId="164" fontId="12" fillId="0" borderId="0" xfId="0" quotePrefix="1" applyFont="1" applyFill="1" applyAlignment="1">
      <alignment horizontal="left"/>
    </xf>
    <xf numFmtId="164" fontId="13" fillId="0" borderId="0" xfId="0" applyFont="1" applyFill="1"/>
    <xf numFmtId="8" fontId="27" fillId="0" borderId="0" xfId="687" applyFont="1" applyFill="1" applyAlignment="1">
      <alignment horizontal="right"/>
    </xf>
    <xf numFmtId="164" fontId="6" fillId="0" borderId="0" xfId="0" quotePrefix="1" applyFont="1" applyFill="1" applyAlignment="1">
      <alignment horizontal="left"/>
    </xf>
    <xf numFmtId="37" fontId="10" fillId="0" borderId="0" xfId="0" applyNumberFormat="1" applyFont="1" applyFill="1" applyBorder="1" applyProtection="1"/>
    <xf numFmtId="164" fontId="19" fillId="0" borderId="0" xfId="0" applyFont="1" applyFill="1"/>
    <xf numFmtId="0" fontId="15" fillId="0" borderId="0" xfId="1194"/>
    <xf numFmtId="0" fontId="31" fillId="0" borderId="0" xfId="1194" applyFont="1"/>
    <xf numFmtId="3" fontId="30" fillId="0" borderId="0" xfId="1194" applyNumberFormat="1" applyFont="1" applyAlignment="1"/>
    <xf numFmtId="0" fontId="32" fillId="0" borderId="0" xfId="1194" applyFont="1" applyAlignment="1">
      <alignment horizontal="center"/>
    </xf>
    <xf numFmtId="0" fontId="29" fillId="0" borderId="0" xfId="1194" applyFont="1"/>
    <xf numFmtId="0" fontId="29" fillId="0" borderId="0" xfId="1194" applyFont="1" applyAlignment="1">
      <alignment horizontal="center"/>
    </xf>
    <xf numFmtId="0" fontId="29" fillId="0" borderId="14" xfId="1194" applyFont="1" applyBorder="1" applyAlignment="1">
      <alignment horizontal="center"/>
    </xf>
    <xf numFmtId="176" fontId="33" fillId="0" borderId="14" xfId="683" applyNumberFormat="1" applyFont="1" applyBorder="1"/>
    <xf numFmtId="176" fontId="29" fillId="0" borderId="14" xfId="683" applyNumberFormat="1" applyFont="1" applyBorder="1"/>
    <xf numFmtId="176" fontId="29" fillId="0" borderId="14" xfId="683" applyNumberFormat="1" applyFont="1" applyBorder="1" applyAlignment="1">
      <alignment horizontal="center"/>
    </xf>
    <xf numFmtId="10" fontId="34" fillId="0" borderId="0" xfId="1242" applyNumberFormat="1" applyFont="1" applyFill="1" applyBorder="1" applyAlignment="1" applyProtection="1">
      <alignment horizontal="center"/>
      <protection locked="0"/>
    </xf>
    <xf numFmtId="176" fontId="10" fillId="0" borderId="14" xfId="683" applyNumberFormat="1" applyFont="1" applyBorder="1" applyAlignment="1">
      <alignment horizontal="center"/>
    </xf>
    <xf numFmtId="175" fontId="35" fillId="0" borderId="0" xfId="1242" applyNumberFormat="1" applyFont="1" applyFill="1" applyBorder="1" applyAlignment="1" applyProtection="1">
      <alignment horizontal="center"/>
      <protection locked="0"/>
    </xf>
    <xf numFmtId="10" fontId="29" fillId="0" borderId="14" xfId="1242" applyNumberFormat="1" applyFont="1" applyBorder="1"/>
    <xf numFmtId="175" fontId="19" fillId="0" borderId="0" xfId="1194" applyNumberFormat="1" applyFont="1"/>
    <xf numFmtId="0" fontId="29" fillId="0" borderId="0" xfId="1194" applyFont="1" applyAlignment="1">
      <alignment horizontal="right"/>
    </xf>
    <xf numFmtId="10" fontId="33" fillId="0" borderId="0" xfId="1242" applyNumberFormat="1" applyFont="1"/>
    <xf numFmtId="10" fontId="29" fillId="0" borderId="0" xfId="1242" applyNumberFormat="1" applyFont="1"/>
    <xf numFmtId="10" fontId="29" fillId="0" borderId="0" xfId="1242" applyNumberFormat="1" applyFont="1" applyAlignment="1">
      <alignment horizontal="center"/>
    </xf>
    <xf numFmtId="164" fontId="36" fillId="0" borderId="0" xfId="0" applyFont="1" applyFill="1" applyAlignment="1" applyProtection="1">
      <alignment horizontal="left"/>
    </xf>
    <xf numFmtId="164" fontId="37" fillId="0" borderId="0" xfId="0" applyFont="1" applyFill="1" applyAlignment="1" applyProtection="1">
      <alignment horizontal="left"/>
    </xf>
    <xf numFmtId="164" fontId="37" fillId="0" borderId="0" xfId="0" applyFont="1" applyFill="1"/>
    <xf numFmtId="164" fontId="18" fillId="0" borderId="0" xfId="0" applyFont="1" applyFill="1"/>
    <xf numFmtId="164" fontId="29" fillId="0" borderId="0" xfId="0" applyFont="1" applyFill="1" applyAlignment="1" applyProtection="1">
      <alignment horizontal="left"/>
    </xf>
    <xf numFmtId="0" fontId="18" fillId="0" borderId="0" xfId="1194" applyFont="1"/>
    <xf numFmtId="176" fontId="21" fillId="0" borderId="0" xfId="1194" applyNumberFormat="1" applyFont="1"/>
    <xf numFmtId="175" fontId="21" fillId="0" borderId="0" xfId="1242" applyNumberFormat="1" applyFont="1"/>
    <xf numFmtId="170" fontId="12" fillId="0" borderId="0" xfId="687" applyNumberFormat="1" applyFont="1" applyFill="1"/>
    <xf numFmtId="0" fontId="15" fillId="0" borderId="0" xfId="1197"/>
    <xf numFmtId="178" fontId="34" fillId="0" borderId="0" xfId="1197" applyNumberFormat="1" applyFont="1" applyFill="1" applyBorder="1" applyAlignment="1" applyProtection="1">
      <alignment horizontal="center"/>
      <protection locked="0"/>
    </xf>
    <xf numFmtId="181" fontId="34" fillId="0" borderId="0" xfId="684" applyNumberFormat="1" applyFont="1" applyFill="1" applyBorder="1" applyAlignment="1" applyProtection="1">
      <alignment horizontal="center"/>
      <protection locked="0"/>
    </xf>
    <xf numFmtId="0" fontId="15" fillId="0" borderId="0" xfId="1197" applyFill="1" applyBorder="1"/>
    <xf numFmtId="0" fontId="15" fillId="0" borderId="0" xfId="1197" applyAlignment="1">
      <alignment horizontal="center"/>
    </xf>
    <xf numFmtId="43" fontId="15" fillId="0" borderId="0" xfId="1197" applyNumberFormat="1"/>
    <xf numFmtId="173" fontId="15" fillId="0" borderId="0" xfId="1197" applyNumberFormat="1"/>
    <xf numFmtId="0" fontId="18" fillId="0" borderId="0" xfId="1197" applyFont="1"/>
    <xf numFmtId="0" fontId="18" fillId="0" borderId="0" xfId="1197" applyFont="1" applyAlignment="1">
      <alignment horizontal="center"/>
    </xf>
    <xf numFmtId="173" fontId="18" fillId="0" borderId="0" xfId="684" applyNumberFormat="1" applyFont="1"/>
    <xf numFmtId="173" fontId="15" fillId="0" borderId="0" xfId="684" applyNumberFormat="1"/>
    <xf numFmtId="173" fontId="19" fillId="0" borderId="0" xfId="684" applyNumberFormat="1" applyFont="1"/>
    <xf numFmtId="0" fontId="19" fillId="0" borderId="0" xfId="1197" applyFont="1"/>
    <xf numFmtId="180" fontId="19" fillId="0" borderId="0" xfId="684" applyNumberFormat="1" applyFont="1"/>
    <xf numFmtId="181" fontId="15" fillId="0" borderId="0" xfId="1197" applyNumberFormat="1"/>
    <xf numFmtId="175" fontId="34" fillId="0" borderId="0" xfId="1242" applyNumberFormat="1" applyFont="1" applyFill="1" applyBorder="1" applyAlignment="1" applyProtection="1">
      <alignment horizontal="center"/>
      <protection locked="0"/>
    </xf>
    <xf numFmtId="0" fontId="22" fillId="0" borderId="0" xfId="1197" applyFont="1"/>
    <xf numFmtId="0" fontId="38" fillId="0" borderId="0" xfId="1194" applyFont="1"/>
    <xf numFmtId="0" fontId="38" fillId="0" borderId="0" xfId="1194" applyFont="1" applyAlignment="1">
      <alignment horizontal="left"/>
    </xf>
    <xf numFmtId="0" fontId="39" fillId="0" borderId="0" xfId="1194" applyFont="1"/>
    <xf numFmtId="0" fontId="15" fillId="0" borderId="0" xfId="1197" applyFont="1"/>
    <xf numFmtId="0" fontId="15" fillId="28" borderId="14" xfId="1197" applyFill="1" applyBorder="1"/>
    <xf numFmtId="176" fontId="15" fillId="0" borderId="0" xfId="1197" applyNumberFormat="1"/>
    <xf numFmtId="0" fontId="15" fillId="0" borderId="14" xfId="1197" applyBorder="1" applyAlignment="1">
      <alignment horizontal="center"/>
    </xf>
    <xf numFmtId="0" fontId="15" fillId="0" borderId="25" xfId="1197" applyBorder="1" applyAlignment="1">
      <alignment horizontal="center"/>
    </xf>
    <xf numFmtId="0" fontId="15" fillId="0" borderId="14" xfId="1197" applyFont="1" applyBorder="1" applyAlignment="1">
      <alignment horizontal="center"/>
    </xf>
    <xf numFmtId="0" fontId="15" fillId="0" borderId="14" xfId="1197" applyBorder="1"/>
    <xf numFmtId="37" fontId="5" fillId="28" borderId="0" xfId="0" applyNumberFormat="1" applyFont="1" applyFill="1" applyProtection="1"/>
    <xf numFmtId="164" fontId="21" fillId="28" borderId="26" xfId="0" applyFont="1" applyFill="1" applyBorder="1" applyAlignment="1" applyProtection="1">
      <alignment horizontal="center" wrapText="1"/>
    </xf>
    <xf numFmtId="164" fontId="21" fillId="28" borderId="14" xfId="0" applyFont="1" applyFill="1" applyBorder="1" applyAlignment="1" applyProtection="1">
      <alignment horizontal="center" wrapText="1"/>
    </xf>
    <xf numFmtId="5" fontId="10" fillId="0" borderId="27" xfId="1242" applyNumberFormat="1" applyFont="1" applyFill="1" applyBorder="1"/>
    <xf numFmtId="5" fontId="10" fillId="0" borderId="25" xfId="1242" applyNumberFormat="1" applyFont="1" applyFill="1" applyBorder="1"/>
    <xf numFmtId="9" fontId="10" fillId="0" borderId="27" xfId="1242" applyFont="1" applyFill="1" applyBorder="1"/>
    <xf numFmtId="164" fontId="10" fillId="0" borderId="27" xfId="0" applyFont="1" applyFill="1" applyBorder="1"/>
    <xf numFmtId="164" fontId="10" fillId="0" borderId="25" xfId="0" applyFont="1" applyFill="1" applyBorder="1"/>
    <xf numFmtId="9" fontId="10" fillId="0" borderId="28" xfId="1242" applyFont="1" applyFill="1" applyBorder="1"/>
    <xf numFmtId="164" fontId="21" fillId="0" borderId="28" xfId="0" applyFont="1" applyFill="1" applyBorder="1"/>
    <xf numFmtId="164" fontId="37" fillId="0" borderId="28" xfId="0" applyFont="1" applyFill="1" applyBorder="1"/>
    <xf numFmtId="164" fontId="37" fillId="0" borderId="27" xfId="0" applyFont="1" applyFill="1" applyBorder="1" applyAlignment="1" applyProtection="1">
      <alignment horizontal="left"/>
    </xf>
    <xf numFmtId="164" fontId="36" fillId="0" borderId="27" xfId="0" applyFont="1" applyFill="1" applyBorder="1" applyAlignment="1" applyProtection="1">
      <alignment horizontal="left"/>
    </xf>
    <xf numFmtId="164" fontId="37" fillId="0" borderId="25" xfId="0" applyFont="1" applyFill="1" applyBorder="1" applyAlignment="1" applyProtection="1">
      <alignment horizontal="left"/>
    </xf>
    <xf numFmtId="5" fontId="10" fillId="0" borderId="25" xfId="572" applyNumberFormat="1" applyFont="1" applyFill="1" applyBorder="1"/>
    <xf numFmtId="164" fontId="10" fillId="31" borderId="28" xfId="0" applyFont="1" applyFill="1" applyBorder="1"/>
    <xf numFmtId="6" fontId="10" fillId="31" borderId="27" xfId="687" applyNumberFormat="1" applyFont="1" applyFill="1" applyBorder="1" applyProtection="1"/>
    <xf numFmtId="5" fontId="10" fillId="31" borderId="27" xfId="687" applyNumberFormat="1" applyFont="1" applyFill="1" applyBorder="1" applyProtection="1"/>
    <xf numFmtId="37" fontId="10" fillId="31" borderId="27" xfId="0" applyNumberFormat="1" applyFont="1" applyFill="1" applyBorder="1" applyProtection="1"/>
    <xf numFmtId="5" fontId="10" fillId="31" borderId="25" xfId="0" applyNumberFormat="1" applyFont="1" applyFill="1" applyBorder="1" applyProtection="1"/>
    <xf numFmtId="37" fontId="5" fillId="31" borderId="0" xfId="0" applyNumberFormat="1" applyFont="1" applyFill="1" applyProtection="1"/>
    <xf numFmtId="164" fontId="5" fillId="31" borderId="0" xfId="0" applyFont="1" applyFill="1" applyAlignment="1" applyProtection="1">
      <alignment horizontal="left"/>
    </xf>
    <xf numFmtId="38" fontId="5" fillId="31" borderId="0" xfId="572" applyNumberFormat="1" applyFont="1" applyFill="1"/>
    <xf numFmtId="164" fontId="5" fillId="31" borderId="0" xfId="0" applyFont="1" applyFill="1"/>
    <xf numFmtId="164" fontId="19" fillId="0" borderId="0" xfId="0" applyFont="1" applyFill="1" applyAlignment="1" applyProtection="1">
      <alignment horizontal="left"/>
    </xf>
    <xf numFmtId="165" fontId="19" fillId="0" borderId="0" xfId="0" applyNumberFormat="1" applyFont="1" applyFill="1" applyProtection="1"/>
    <xf numFmtId="164" fontId="19" fillId="0" borderId="0" xfId="0" applyFont="1" applyFill="1" applyAlignment="1">
      <alignment horizontal="left" indent="1"/>
    </xf>
    <xf numFmtId="166" fontId="19" fillId="0" borderId="0" xfId="0" applyNumberFormat="1" applyFont="1" applyFill="1" applyProtection="1"/>
    <xf numFmtId="37" fontId="19" fillId="0" borderId="0" xfId="0" applyNumberFormat="1" applyFont="1" applyFill="1" applyProtection="1"/>
    <xf numFmtId="164" fontId="19" fillId="0" borderId="0" xfId="0" applyFont="1" applyFill="1" applyAlignment="1" applyProtection="1">
      <alignment horizontal="center"/>
    </xf>
    <xf numFmtId="38" fontId="19" fillId="0" borderId="0" xfId="572" applyNumberFormat="1" applyFont="1" applyFill="1"/>
    <xf numFmtId="37" fontId="19" fillId="0" borderId="0" xfId="572" applyNumberFormat="1" applyFont="1" applyFill="1"/>
    <xf numFmtId="5" fontId="19" fillId="0" borderId="0" xfId="0" applyNumberFormat="1" applyFont="1" applyFill="1"/>
    <xf numFmtId="6" fontId="10" fillId="31" borderId="25" xfId="687" applyNumberFormat="1" applyFont="1" applyFill="1" applyBorder="1" applyProtection="1"/>
    <xf numFmtId="164" fontId="29" fillId="0" borderId="0" xfId="0" applyFont="1" applyFill="1"/>
    <xf numFmtId="0" fontId="18" fillId="0" borderId="0" xfId="1197" applyFont="1" applyFill="1" applyBorder="1"/>
    <xf numFmtId="0" fontId="15" fillId="0" borderId="0" xfId="1197" applyFont="1" applyFill="1" applyBorder="1"/>
    <xf numFmtId="176" fontId="29" fillId="0" borderId="14" xfId="683" applyNumberFormat="1" applyFont="1" applyFill="1" applyBorder="1"/>
    <xf numFmtId="6" fontId="10" fillId="31" borderId="29" xfId="687" applyNumberFormat="1" applyFont="1" applyFill="1" applyBorder="1" applyProtection="1"/>
    <xf numFmtId="5" fontId="10" fillId="0" borderId="29" xfId="687" applyNumberFormat="1" applyFont="1" applyFill="1" applyBorder="1" applyProtection="1"/>
    <xf numFmtId="164" fontId="36" fillId="28" borderId="14" xfId="0" applyFont="1" applyFill="1" applyBorder="1"/>
    <xf numFmtId="5" fontId="10" fillId="0" borderId="29" xfId="1242" applyNumberFormat="1" applyFont="1" applyFill="1" applyBorder="1"/>
    <xf numFmtId="175" fontId="10" fillId="0" borderId="25" xfId="1242" applyNumberFormat="1" applyFont="1" applyFill="1" applyBorder="1"/>
    <xf numFmtId="164" fontId="37" fillId="31" borderId="27" xfId="0" applyFont="1" applyFill="1" applyBorder="1" applyAlignment="1" applyProtection="1">
      <alignment horizontal="left"/>
    </xf>
    <xf numFmtId="175" fontId="10" fillId="0" borderId="29" xfId="1242" applyNumberFormat="1" applyFont="1" applyFill="1" applyBorder="1"/>
    <xf numFmtId="5" fontId="15" fillId="0" borderId="0" xfId="1196" applyNumberFormat="1"/>
    <xf numFmtId="5" fontId="10" fillId="31" borderId="0" xfId="687" applyNumberFormat="1" applyFont="1" applyFill="1" applyBorder="1" applyProtection="1"/>
    <xf numFmtId="172" fontId="9" fillId="0" borderId="0" xfId="692" applyNumberFormat="1" applyFont="1" applyFill="1"/>
    <xf numFmtId="172" fontId="27" fillId="0" borderId="0" xfId="687" applyNumberFormat="1" applyFont="1" applyFill="1"/>
    <xf numFmtId="164" fontId="19" fillId="31" borderId="0" xfId="0" applyFont="1" applyFill="1"/>
    <xf numFmtId="5" fontId="19" fillId="31" borderId="0" xfId="0" applyNumberFormat="1" applyFont="1" applyFill="1"/>
    <xf numFmtId="164" fontId="19" fillId="0" borderId="30" xfId="0" applyFont="1" applyFill="1" applyBorder="1" applyAlignment="1" applyProtection="1">
      <alignment horizontal="left"/>
    </xf>
    <xf numFmtId="1" fontId="34" fillId="0" borderId="0" xfId="1197" quotePrefix="1" applyNumberFormat="1" applyFont="1" applyFill="1" applyBorder="1" applyAlignment="1" applyProtection="1">
      <alignment horizontal="center"/>
      <protection locked="0"/>
    </xf>
    <xf numFmtId="179" fontId="34" fillId="0" borderId="0" xfId="1197" quotePrefix="1" applyNumberFormat="1" applyFont="1" applyFill="1" applyBorder="1" applyAlignment="1" applyProtection="1">
      <alignment horizontal="center"/>
      <protection locked="0"/>
    </xf>
    <xf numFmtId="186" fontId="15" fillId="0" borderId="14" xfId="1197" applyNumberFormat="1" applyBorder="1"/>
    <xf numFmtId="1" fontId="58" fillId="0" borderId="0" xfId="1197" applyNumberFormat="1" applyFont="1" applyFill="1" applyBorder="1" applyAlignment="1" applyProtection="1">
      <alignment horizontal="left"/>
      <protection locked="0"/>
    </xf>
    <xf numFmtId="37" fontId="15" fillId="0" borderId="0" xfId="1194" applyNumberFormat="1"/>
    <xf numFmtId="0" fontId="15" fillId="0" borderId="0" xfId="1194" applyFont="1" applyAlignment="1">
      <alignment horizontal="center"/>
    </xf>
    <xf numFmtId="5" fontId="10" fillId="0" borderId="31" xfId="1242" applyNumberFormat="1" applyFont="1" applyFill="1" applyBorder="1"/>
    <xf numFmtId="175" fontId="10" fillId="0" borderId="31" xfId="1242" applyNumberFormat="1" applyFont="1" applyFill="1" applyBorder="1"/>
    <xf numFmtId="5" fontId="10" fillId="0" borderId="32" xfId="572" applyNumberFormat="1" applyFont="1" applyFill="1" applyBorder="1"/>
    <xf numFmtId="164" fontId="21" fillId="0" borderId="32" xfId="0" applyFont="1" applyFill="1" applyBorder="1"/>
    <xf numFmtId="5" fontId="10" fillId="0" borderId="0" xfId="572" applyNumberFormat="1" applyFont="1" applyFill="1" applyBorder="1"/>
    <xf numFmtId="175" fontId="10" fillId="0" borderId="0" xfId="1242" applyNumberFormat="1" applyFont="1" applyFill="1" applyBorder="1"/>
    <xf numFmtId="164" fontId="37" fillId="0" borderId="33" xfId="0" applyFont="1" applyFill="1" applyBorder="1" applyAlignment="1" applyProtection="1">
      <alignment horizontal="left"/>
    </xf>
    <xf numFmtId="175" fontId="10" fillId="0" borderId="0" xfId="0" applyNumberFormat="1" applyFont="1" applyFill="1" applyBorder="1"/>
    <xf numFmtId="176" fontId="10" fillId="31" borderId="14" xfId="683" applyNumberFormat="1" applyFont="1" applyFill="1" applyBorder="1"/>
    <xf numFmtId="185" fontId="28" fillId="0" borderId="0" xfId="1194" applyNumberFormat="1" applyFont="1"/>
    <xf numFmtId="184" fontId="28" fillId="0" borderId="0" xfId="1194" applyNumberFormat="1" applyFont="1"/>
    <xf numFmtId="164" fontId="19" fillId="0" borderId="0" xfId="0" applyFont="1"/>
    <xf numFmtId="164" fontId="19" fillId="0" borderId="0" xfId="0" applyFont="1" applyAlignment="1">
      <alignment horizontal="center"/>
    </xf>
    <xf numFmtId="164" fontId="19" fillId="0" borderId="0" xfId="0" quotePrefix="1" applyFont="1" applyAlignment="1">
      <alignment horizontal="center"/>
    </xf>
    <xf numFmtId="183" fontId="12" fillId="0" borderId="0" xfId="0" applyNumberFormat="1" applyFont="1" applyFill="1"/>
    <xf numFmtId="164" fontId="13" fillId="0" borderId="0" xfId="0" applyFont="1" applyFill="1" applyAlignment="1">
      <alignment horizontal="left"/>
    </xf>
    <xf numFmtId="5" fontId="5" fillId="31" borderId="0" xfId="0" applyNumberFormat="1" applyFont="1" applyFill="1" applyProtection="1"/>
    <xf numFmtId="5" fontId="5" fillId="0" borderId="0" xfId="0" applyNumberFormat="1" applyFont="1" applyFill="1" applyProtection="1"/>
    <xf numFmtId="5" fontId="5" fillId="0" borderId="0" xfId="0" applyNumberFormat="1" applyFont="1" applyFill="1"/>
    <xf numFmtId="164" fontId="21" fillId="0" borderId="6" xfId="0" applyFont="1" applyFill="1" applyBorder="1" applyAlignment="1" applyProtection="1">
      <alignment horizontal="center"/>
    </xf>
    <xf numFmtId="164" fontId="21" fillId="0" borderId="26" xfId="0" applyFont="1" applyFill="1" applyBorder="1" applyAlignment="1" applyProtection="1">
      <alignment horizontal="center"/>
    </xf>
    <xf numFmtId="164" fontId="36" fillId="0" borderId="34" xfId="0" applyFont="1" applyFill="1" applyBorder="1"/>
    <xf numFmtId="0" fontId="15" fillId="48" borderId="0" xfId="1197" applyFill="1"/>
    <xf numFmtId="173" fontId="19" fillId="48" borderId="14" xfId="1197" applyNumberFormat="1" applyFont="1" applyFill="1" applyBorder="1"/>
    <xf numFmtId="186" fontId="35" fillId="48" borderId="14" xfId="1197" applyNumberFormat="1" applyFont="1" applyFill="1" applyBorder="1" applyAlignment="1" applyProtection="1">
      <alignment horizontal="center"/>
      <protection locked="0"/>
    </xf>
    <xf numFmtId="0" fontId="15" fillId="0" borderId="0" xfId="1194" applyFill="1" applyBorder="1"/>
    <xf numFmtId="0" fontId="15" fillId="0" borderId="0" xfId="1194" applyFont="1" applyFill="1" applyBorder="1"/>
    <xf numFmtId="164" fontId="36" fillId="0" borderId="6" xfId="0" applyFont="1" applyFill="1" applyBorder="1"/>
    <xf numFmtId="164" fontId="36" fillId="0" borderId="6" xfId="0" applyFont="1" applyFill="1" applyBorder="1" applyAlignment="1">
      <alignment horizontal="center"/>
    </xf>
    <xf numFmtId="173" fontId="37" fillId="0" borderId="0" xfId="0" applyNumberFormat="1" applyFont="1" applyFill="1" applyAlignment="1" applyProtection="1">
      <alignment horizontal="center"/>
    </xf>
    <xf numFmtId="0" fontId="15" fillId="0" borderId="0" xfId="1196" applyFont="1"/>
    <xf numFmtId="0" fontId="28" fillId="0" borderId="0" xfId="1196" applyFont="1"/>
    <xf numFmtId="0" fontId="28" fillId="0" borderId="0" xfId="1196" applyFont="1" applyAlignment="1">
      <alignment horizontal="center"/>
    </xf>
    <xf numFmtId="164" fontId="28" fillId="0" borderId="0" xfId="0" applyFont="1" applyFill="1" applyAlignment="1" applyProtection="1">
      <alignment horizontal="center"/>
    </xf>
    <xf numFmtId="164" fontId="37" fillId="0" borderId="0" xfId="0" applyFont="1" applyFill="1" applyAlignment="1" applyProtection="1">
      <alignment horizontal="center"/>
    </xf>
    <xf numFmtId="5" fontId="10" fillId="0" borderId="30" xfId="687" applyNumberFormat="1" applyFont="1" applyFill="1" applyBorder="1" applyProtection="1"/>
    <xf numFmtId="0" fontId="22" fillId="0" borderId="0" xfId="1195" applyFont="1"/>
    <xf numFmtId="0" fontId="15" fillId="0" borderId="0" xfId="1195"/>
    <xf numFmtId="0" fontId="18" fillId="0" borderId="0" xfId="1195" applyFont="1"/>
    <xf numFmtId="0" fontId="18" fillId="28" borderId="28" xfId="1195" applyFont="1" applyFill="1" applyBorder="1" applyAlignment="1">
      <alignment horizontal="left"/>
    </xf>
    <xf numFmtId="0" fontId="18" fillId="28" borderId="28" xfId="1195" applyFont="1" applyFill="1" applyBorder="1" applyAlignment="1">
      <alignment horizontal="center"/>
    </xf>
    <xf numFmtId="0" fontId="15" fillId="0" borderId="28" xfId="1195" applyBorder="1" applyAlignment="1">
      <alignment horizontal="left"/>
    </xf>
    <xf numFmtId="183" fontId="15" fillId="0" borderId="28" xfId="1195" applyNumberFormat="1" applyBorder="1" applyAlignment="1">
      <alignment horizontal="center"/>
    </xf>
    <xf numFmtId="0" fontId="18" fillId="28" borderId="14" xfId="1195" applyFont="1" applyFill="1" applyBorder="1" applyAlignment="1">
      <alignment horizontal="left"/>
    </xf>
    <xf numFmtId="0" fontId="18" fillId="28" borderId="14" xfId="1195" applyFont="1" applyFill="1" applyBorder="1" applyAlignment="1">
      <alignment horizontal="center"/>
    </xf>
    <xf numFmtId="0" fontId="15" fillId="0" borderId="14" xfId="1195" applyBorder="1" applyAlignment="1">
      <alignment horizontal="left"/>
    </xf>
    <xf numFmtId="0" fontId="15" fillId="0" borderId="35" xfId="1196" applyFont="1" applyBorder="1"/>
    <xf numFmtId="7" fontId="19" fillId="0" borderId="0" xfId="0" applyNumberFormat="1" applyFont="1" applyFill="1"/>
    <xf numFmtId="7" fontId="19" fillId="0" borderId="0" xfId="0" applyNumberFormat="1" applyFont="1" applyFill="1" applyAlignment="1">
      <alignment horizontal="center"/>
    </xf>
    <xf numFmtId="0" fontId="15" fillId="0" borderId="0" xfId="1197" applyFont="1" applyAlignment="1">
      <alignment horizontal="center"/>
    </xf>
    <xf numFmtId="0" fontId="15" fillId="48" borderId="36" xfId="1197" applyFont="1" applyFill="1" applyBorder="1"/>
    <xf numFmtId="0" fontId="15" fillId="48" borderId="32" xfId="1197" applyFill="1" applyBorder="1"/>
    <xf numFmtId="0" fontId="15" fillId="48" borderId="37" xfId="1197" applyFill="1" applyBorder="1"/>
    <xf numFmtId="0" fontId="15" fillId="48" borderId="30" xfId="1197" applyFill="1" applyBorder="1"/>
    <xf numFmtId="0" fontId="15" fillId="48" borderId="38" xfId="1197" applyFill="1" applyBorder="1"/>
    <xf numFmtId="186" fontId="59" fillId="48" borderId="14" xfId="1197" applyNumberFormat="1" applyFont="1" applyFill="1" applyBorder="1" applyAlignment="1" applyProtection="1">
      <alignment horizontal="center"/>
      <protection locked="0"/>
    </xf>
    <xf numFmtId="173" fontId="19" fillId="48" borderId="14" xfId="1197" applyNumberFormat="1" applyFont="1" applyFill="1" applyBorder="1" applyAlignment="1">
      <alignment horizontal="center"/>
    </xf>
    <xf numFmtId="38" fontId="5" fillId="48" borderId="0" xfId="572" applyNumberFormat="1" applyFont="1" applyFill="1"/>
    <xf numFmtId="0" fontId="10" fillId="0" borderId="14" xfId="1194" applyFont="1" applyBorder="1" applyAlignment="1">
      <alignment horizontal="center" wrapText="1"/>
    </xf>
    <xf numFmtId="164" fontId="94" fillId="0" borderId="0" xfId="0" applyFont="1"/>
    <xf numFmtId="164" fontId="24" fillId="0" borderId="0" xfId="0" applyFont="1" applyFill="1" applyAlignment="1" applyProtection="1">
      <alignment horizontal="center"/>
    </xf>
    <xf numFmtId="164" fontId="94" fillId="0" borderId="0" xfId="0" applyFont="1" applyAlignment="1">
      <alignment horizontal="center"/>
    </xf>
    <xf numFmtId="38" fontId="24" fillId="0" borderId="0" xfId="572" applyNumberFormat="1" applyFont="1" applyFill="1" applyAlignment="1">
      <alignment horizontal="center"/>
    </xf>
    <xf numFmtId="164" fontId="6" fillId="0" borderId="0" xfId="0" applyFont="1" applyFill="1" applyAlignment="1">
      <alignment horizontal="center"/>
    </xf>
    <xf numFmtId="164" fontId="23" fillId="0" borderId="0" xfId="0" applyFont="1" applyAlignment="1">
      <alignment wrapText="1"/>
    </xf>
    <xf numFmtId="164" fontId="23" fillId="0" borderId="0" xfId="0" applyFont="1"/>
    <xf numFmtId="5" fontId="10" fillId="0" borderId="0" xfId="687" applyNumberFormat="1" applyFont="1" applyFill="1" applyBorder="1" applyAlignment="1" applyProtection="1">
      <alignment horizontal="center"/>
    </xf>
    <xf numFmtId="164" fontId="0" fillId="0" borderId="0" xfId="0" applyAlignment="1">
      <alignment horizontal="center"/>
    </xf>
    <xf numFmtId="164" fontId="8" fillId="0" borderId="39" xfId="0" applyFont="1" applyFill="1" applyBorder="1"/>
    <xf numFmtId="164" fontId="6" fillId="0" borderId="39" xfId="0" applyFont="1" applyFill="1" applyBorder="1" applyAlignment="1" applyProtection="1">
      <alignment horizontal="left"/>
    </xf>
    <xf numFmtId="164" fontId="20" fillId="0" borderId="39" xfId="0" applyFont="1" applyFill="1" applyBorder="1" applyProtection="1"/>
    <xf numFmtId="164" fontId="5" fillId="0" borderId="39" xfId="0" applyFont="1" applyFill="1" applyBorder="1" applyProtection="1"/>
    <xf numFmtId="164" fontId="5" fillId="0" borderId="39" xfId="0" applyFont="1" applyFill="1" applyBorder="1" applyAlignment="1" applyProtection="1">
      <alignment horizontal="left"/>
    </xf>
    <xf numFmtId="164" fontId="5" fillId="0" borderId="39" xfId="0" applyFont="1" applyFill="1" applyBorder="1" applyAlignment="1" applyProtection="1">
      <alignment horizontal="right"/>
    </xf>
    <xf numFmtId="168" fontId="5" fillId="0" borderId="39" xfId="572" applyNumberFormat="1" applyFont="1" applyFill="1" applyBorder="1" applyAlignment="1" applyProtection="1">
      <alignment horizontal="left"/>
    </xf>
    <xf numFmtId="164" fontId="5" fillId="0" borderId="39" xfId="0" applyFont="1" applyFill="1" applyBorder="1"/>
    <xf numFmtId="164" fontId="94" fillId="0" borderId="39" xfId="0" applyFont="1" applyBorder="1"/>
    <xf numFmtId="164" fontId="94" fillId="0" borderId="39" xfId="0" applyFont="1" applyBorder="1" applyAlignment="1">
      <alignment horizontal="center"/>
    </xf>
    <xf numFmtId="43" fontId="29" fillId="0" borderId="0" xfId="1194" applyNumberFormat="1" applyFont="1"/>
    <xf numFmtId="0" fontId="97" fillId="0" borderId="0" xfId="1194" applyFont="1"/>
    <xf numFmtId="185" fontId="98" fillId="0" borderId="0" xfId="1194" applyNumberFormat="1" applyFont="1"/>
    <xf numFmtId="0" fontId="99" fillId="0" borderId="0" xfId="1194" applyFont="1"/>
    <xf numFmtId="168" fontId="5" fillId="50" borderId="0" xfId="572" applyNumberFormat="1" applyFont="1" applyFill="1" applyAlignment="1" applyProtection="1">
      <alignment horizontal="left"/>
    </xf>
    <xf numFmtId="164" fontId="5" fillId="50" borderId="0" xfId="0" applyFont="1" applyFill="1" applyAlignment="1" applyProtection="1">
      <alignment horizontal="left"/>
    </xf>
    <xf numFmtId="10" fontId="15" fillId="50" borderId="0" xfId="1242" applyNumberFormat="1" applyFont="1" applyFill="1" applyAlignment="1">
      <alignment horizontal="center"/>
    </xf>
    <xf numFmtId="169" fontId="15" fillId="50" borderId="0" xfId="687" applyNumberFormat="1" applyFont="1" applyFill="1" applyAlignment="1">
      <alignment horizontal="center"/>
    </xf>
    <xf numFmtId="164" fontId="96" fillId="0" borderId="0" xfId="0" applyFont="1" applyFill="1" applyAlignment="1" applyProtection="1">
      <alignment horizontal="center"/>
    </xf>
    <xf numFmtId="164" fontId="100" fillId="0" borderId="0" xfId="0" applyFont="1" applyFill="1"/>
    <xf numFmtId="1" fontId="5" fillId="0" borderId="0" xfId="687" applyNumberFormat="1" applyFont="1" applyFill="1" applyProtection="1"/>
    <xf numFmtId="164" fontId="101" fillId="0" borderId="0" xfId="0" applyFont="1"/>
    <xf numFmtId="196" fontId="5" fillId="0" borderId="0" xfId="687" applyNumberFormat="1" applyFont="1" applyFill="1" applyProtection="1"/>
    <xf numFmtId="38" fontId="5" fillId="51" borderId="0" xfId="572" applyNumberFormat="1" applyFont="1" applyFill="1"/>
    <xf numFmtId="164" fontId="102" fillId="0" borderId="0" xfId="0" applyFont="1" applyFill="1"/>
    <xf numFmtId="164" fontId="103" fillId="0" borderId="0" xfId="0" applyFont="1" applyFill="1"/>
    <xf numFmtId="164" fontId="104" fillId="0" borderId="0" xfId="0" applyFont="1" applyFill="1"/>
    <xf numFmtId="164" fontId="101" fillId="0" borderId="0" xfId="0" applyFont="1" applyFill="1"/>
    <xf numFmtId="168" fontId="104" fillId="0" borderId="0" xfId="572" applyNumberFormat="1" applyFont="1" applyFill="1"/>
    <xf numFmtId="37" fontId="104" fillId="0" borderId="0" xfId="0" applyNumberFormat="1" applyFont="1" applyFill="1" applyProtection="1"/>
    <xf numFmtId="37" fontId="104" fillId="0" borderId="0" xfId="0" applyNumberFormat="1" applyFont="1" applyFill="1"/>
    <xf numFmtId="6" fontId="19" fillId="0" borderId="0" xfId="687" applyNumberFormat="1" applyFont="1" applyFill="1"/>
    <xf numFmtId="8" fontId="15" fillId="0" borderId="28" xfId="1195" applyNumberFormat="1" applyBorder="1" applyAlignment="1">
      <alignment horizontal="center"/>
    </xf>
    <xf numFmtId="0" fontId="97" fillId="0" borderId="0" xfId="1196" applyFont="1"/>
    <xf numFmtId="38" fontId="104" fillId="0" borderId="0" xfId="572" applyNumberFormat="1" applyFont="1" applyFill="1"/>
    <xf numFmtId="9" fontId="35" fillId="0" borderId="0" xfId="1242" applyFont="1" applyFill="1" applyBorder="1" applyAlignment="1" applyProtection="1">
      <alignment horizontal="center"/>
      <protection locked="0"/>
    </xf>
    <xf numFmtId="164" fontId="20" fillId="0" borderId="0" xfId="0" applyFont="1"/>
    <xf numFmtId="164" fontId="104" fillId="0" borderId="0" xfId="0" applyFont="1" applyFill="1" applyAlignment="1" applyProtection="1">
      <alignment horizontal="center"/>
    </xf>
    <xf numFmtId="8" fontId="19" fillId="0" borderId="0" xfId="687" applyFont="1" applyFill="1"/>
    <xf numFmtId="5" fontId="19" fillId="49" borderId="0" xfId="0" applyNumberFormat="1" applyFont="1" applyFill="1" applyAlignment="1">
      <alignment horizontal="center"/>
    </xf>
    <xf numFmtId="164" fontId="94" fillId="0" borderId="0" xfId="0" applyFont="1" applyBorder="1" applyAlignment="1">
      <alignment horizontal="center"/>
    </xf>
    <xf numFmtId="164" fontId="94" fillId="0" borderId="0" xfId="0" applyFont="1" applyBorder="1"/>
    <xf numFmtId="38" fontId="94" fillId="0" borderId="0" xfId="572" applyNumberFormat="1" applyFont="1"/>
    <xf numFmtId="6" fontId="10" fillId="0" borderId="29" xfId="687" applyNumberFormat="1" applyFont="1" applyFill="1" applyBorder="1" applyProtection="1"/>
    <xf numFmtId="37" fontId="10" fillId="0" borderId="27" xfId="690" applyNumberFormat="1" applyFont="1" applyFill="1" applyBorder="1" applyProtection="1"/>
    <xf numFmtId="5" fontId="10" fillId="31" borderId="28" xfId="687" applyNumberFormat="1" applyFont="1" applyFill="1" applyBorder="1" applyProtection="1"/>
    <xf numFmtId="6" fontId="10" fillId="0" borderId="39" xfId="687" applyNumberFormat="1" applyFont="1" applyFill="1" applyBorder="1" applyProtection="1"/>
    <xf numFmtId="0" fontId="15" fillId="0" borderId="0" xfId="1196" applyFill="1"/>
    <xf numFmtId="0" fontId="28" fillId="0" borderId="0" xfId="1196" applyFont="1" applyFill="1"/>
    <xf numFmtId="5" fontId="28" fillId="0" borderId="0" xfId="693" applyNumberFormat="1" applyFont="1" applyFill="1" applyAlignment="1">
      <alignment horizontal="center"/>
    </xf>
    <xf numFmtId="0" fontId="15" fillId="0" borderId="5" xfId="1196" applyFill="1" applyBorder="1"/>
    <xf numFmtId="5" fontId="19" fillId="0" borderId="0" xfId="1196" applyNumberFormat="1" applyFont="1"/>
    <xf numFmtId="0" fontId="10" fillId="0" borderId="0" xfId="1196" applyFont="1" applyAlignment="1">
      <alignment horizontal="center"/>
    </xf>
    <xf numFmtId="5" fontId="19" fillId="52" borderId="0" xfId="693" applyNumberFormat="1" applyFont="1" applyFill="1" applyAlignment="1">
      <alignment horizontal="center"/>
    </xf>
    <xf numFmtId="164" fontId="5" fillId="0" borderId="0" xfId="0" applyFont="1" applyFill="1" applyBorder="1"/>
    <xf numFmtId="8" fontId="19" fillId="0" borderId="0" xfId="687" applyFont="1"/>
    <xf numFmtId="6" fontId="105" fillId="0" borderId="0" xfId="687" applyNumberFormat="1" applyFont="1"/>
    <xf numFmtId="164" fontId="95" fillId="0" borderId="0" xfId="0" applyFont="1" applyFill="1"/>
    <xf numFmtId="175" fontId="95" fillId="0" borderId="0" xfId="1242" applyNumberFormat="1" applyFont="1" applyFill="1"/>
    <xf numFmtId="5" fontId="5" fillId="53" borderId="0" xfId="0" applyNumberFormat="1" applyFont="1" applyFill="1" applyProtection="1"/>
    <xf numFmtId="164" fontId="21" fillId="0" borderId="0" xfId="0" applyFont="1" applyFill="1" applyAlignment="1" applyProtection="1">
      <alignment horizontal="center"/>
    </xf>
    <xf numFmtId="164" fontId="10" fillId="0" borderId="0" xfId="687" applyNumberFormat="1" applyFont="1" applyFill="1" applyBorder="1" applyProtection="1"/>
    <xf numFmtId="10" fontId="19" fillId="50" borderId="0" xfId="1242" applyNumberFormat="1" applyFont="1" applyFill="1" applyAlignment="1">
      <alignment horizontal="center"/>
    </xf>
    <xf numFmtId="175" fontId="10" fillId="0" borderId="27" xfId="1242" applyNumberFormat="1" applyFont="1" applyFill="1" applyBorder="1"/>
    <xf numFmtId="198" fontId="12" fillId="0" borderId="0" xfId="687" applyNumberFormat="1" applyFont="1" applyFill="1"/>
    <xf numFmtId="198" fontId="27" fillId="0" borderId="0" xfId="687" applyNumberFormat="1" applyFont="1" applyFill="1"/>
    <xf numFmtId="198" fontId="12" fillId="0" borderId="0" xfId="0" applyNumberFormat="1" applyFont="1" applyFill="1"/>
    <xf numFmtId="170" fontId="5" fillId="0" borderId="0" xfId="0" applyNumberFormat="1" applyFont="1" applyFill="1"/>
    <xf numFmtId="2" fontId="10" fillId="0" borderId="0" xfId="1242" applyNumberFormat="1" applyFont="1" applyFill="1"/>
    <xf numFmtId="164" fontId="15" fillId="0" borderId="0" xfId="0" applyFont="1" applyFill="1" applyAlignment="1" applyProtection="1">
      <alignment horizontal="left"/>
    </xf>
    <xf numFmtId="164" fontId="15" fillId="0" borderId="0" xfId="0" applyFont="1" applyFill="1"/>
    <xf numFmtId="8" fontId="19" fillId="0" borderId="0" xfId="687" applyNumberFormat="1" applyFont="1" applyFill="1"/>
    <xf numFmtId="164" fontId="8" fillId="52" borderId="14" xfId="0" applyFont="1" applyFill="1" applyBorder="1"/>
    <xf numFmtId="164" fontId="8" fillId="54" borderId="14" xfId="0" applyFont="1" applyFill="1" applyBorder="1"/>
    <xf numFmtId="164" fontId="15" fillId="0" borderId="0" xfId="0" applyFont="1" applyFill="1" applyAlignment="1">
      <alignment horizontal="center"/>
    </xf>
    <xf numFmtId="164" fontId="19" fillId="55" borderId="0" xfId="0" applyFont="1" applyFill="1"/>
    <xf numFmtId="164" fontId="107" fillId="55" borderId="0" xfId="0" applyFont="1" applyFill="1"/>
    <xf numFmtId="164" fontId="108" fillId="55" borderId="0" xfId="1506" applyFont="1" applyFill="1"/>
    <xf numFmtId="164" fontId="109" fillId="55" borderId="0" xfId="0" applyFont="1" applyFill="1" applyAlignment="1">
      <alignment horizontal="center"/>
    </xf>
    <xf numFmtId="0" fontId="15" fillId="0" borderId="0" xfId="1507" applyFont="1"/>
    <xf numFmtId="164" fontId="106" fillId="0" borderId="39" xfId="1506" applyFill="1" applyBorder="1"/>
    <xf numFmtId="17" fontId="15" fillId="0" borderId="0" xfId="1196" applyNumberFormat="1" applyAlignment="1">
      <alignment horizontal="center"/>
    </xf>
    <xf numFmtId="164" fontId="110" fillId="0" borderId="0" xfId="0" applyFont="1" applyFill="1"/>
    <xf numFmtId="199" fontId="19" fillId="0" borderId="0" xfId="0" applyNumberFormat="1" applyFont="1" applyFill="1"/>
    <xf numFmtId="199" fontId="19" fillId="0" borderId="0" xfId="687" applyNumberFormat="1" applyFont="1" applyFill="1"/>
    <xf numFmtId="164" fontId="111" fillId="0" borderId="0" xfId="0" applyFont="1" applyFill="1"/>
    <xf numFmtId="164" fontId="112" fillId="0" borderId="0" xfId="0" applyFont="1" applyFill="1"/>
    <xf numFmtId="164" fontId="5" fillId="56" borderId="0" xfId="0" applyFont="1" applyFill="1" applyAlignment="1" applyProtection="1">
      <alignment horizontal="left"/>
    </xf>
    <xf numFmtId="164" fontId="113" fillId="0" borderId="0" xfId="0" applyFont="1" applyFill="1"/>
    <xf numFmtId="164" fontId="114" fillId="0" borderId="0" xfId="0" applyFont="1" applyFill="1"/>
    <xf numFmtId="164" fontId="14" fillId="57" borderId="0" xfId="0" quotePrefix="1" applyFont="1" applyFill="1" applyAlignment="1">
      <alignment horizontal="left"/>
    </xf>
    <xf numFmtId="164" fontId="13" fillId="57" borderId="0" xfId="0" applyFont="1" applyFill="1" applyAlignment="1">
      <alignment horizontal="left"/>
    </xf>
    <xf numFmtId="164" fontId="13" fillId="57" borderId="0" xfId="0" applyFont="1" applyFill="1"/>
    <xf numFmtId="164" fontId="13" fillId="57" borderId="0" xfId="0" quotePrefix="1" applyFont="1" applyFill="1" applyAlignment="1">
      <alignment horizontal="left"/>
    </xf>
    <xf numFmtId="164" fontId="115" fillId="0" borderId="0" xfId="0" applyFont="1"/>
    <xf numFmtId="164" fontId="15" fillId="0" borderId="0" xfId="0" applyFont="1"/>
    <xf numFmtId="164" fontId="116" fillId="0" borderId="0" xfId="0" applyFont="1" applyAlignment="1">
      <alignment vertical="center"/>
    </xf>
    <xf numFmtId="164" fontId="117" fillId="0" borderId="0" xfId="0" applyFont="1" applyAlignment="1">
      <alignment vertical="center"/>
    </xf>
    <xf numFmtId="164" fontId="118" fillId="0" borderId="0" xfId="0" applyFont="1" applyAlignment="1">
      <alignment vertical="center"/>
    </xf>
    <xf numFmtId="0" fontId="29" fillId="58" borderId="14" xfId="1194" applyFont="1" applyFill="1" applyBorder="1"/>
    <xf numFmtId="0" fontId="15" fillId="58" borderId="14" xfId="1194" applyFill="1" applyBorder="1"/>
    <xf numFmtId="185" fontId="10" fillId="58" borderId="14" xfId="683" applyNumberFormat="1" applyFont="1" applyFill="1" applyBorder="1"/>
    <xf numFmtId="164" fontId="120" fillId="0" borderId="4" xfId="0" applyFont="1" applyBorder="1" applyAlignment="1">
      <alignment horizontal="center" vertical="center"/>
    </xf>
    <xf numFmtId="164" fontId="120" fillId="0" borderId="41" xfId="0" applyFont="1" applyBorder="1" applyAlignment="1">
      <alignment horizontal="center" vertical="center"/>
    </xf>
    <xf numFmtId="164" fontId="121" fillId="0" borderId="0" xfId="0" applyFont="1" applyAlignment="1">
      <alignment horizontal="center" vertical="center"/>
    </xf>
    <xf numFmtId="164" fontId="119" fillId="0" borderId="0" xfId="0" applyFont="1"/>
    <xf numFmtId="164" fontId="121" fillId="0" borderId="0" xfId="0" applyFont="1" applyAlignment="1">
      <alignment vertical="center"/>
    </xf>
    <xf numFmtId="164" fontId="10" fillId="59" borderId="0" xfId="0" applyFont="1" applyFill="1" applyAlignment="1" applyProtection="1">
      <alignment horizontal="center"/>
    </xf>
    <xf numFmtId="164" fontId="121" fillId="0" borderId="0" xfId="0" applyFont="1" applyFill="1" applyAlignment="1">
      <alignment horizontal="center" vertical="center"/>
    </xf>
    <xf numFmtId="164" fontId="121" fillId="0" borderId="0" xfId="0" applyFont="1" applyFill="1" applyAlignment="1">
      <alignment vertical="center"/>
    </xf>
    <xf numFmtId="164" fontId="119" fillId="0" borderId="0" xfId="0" applyFont="1" applyFill="1"/>
    <xf numFmtId="164" fontId="121" fillId="54" borderId="0" xfId="0" applyFont="1" applyFill="1" applyAlignment="1">
      <alignment horizontal="center" vertical="center"/>
    </xf>
    <xf numFmtId="164" fontId="121" fillId="54" borderId="0" xfId="0" applyFont="1" applyFill="1" applyAlignment="1">
      <alignment vertical="center"/>
    </xf>
    <xf numFmtId="164" fontId="8" fillId="54" borderId="0" xfId="0" applyFont="1" applyFill="1"/>
    <xf numFmtId="5" fontId="5" fillId="52" borderId="0" xfId="0" applyNumberFormat="1" applyFont="1" applyFill="1" applyProtection="1"/>
    <xf numFmtId="38" fontId="5" fillId="56" borderId="0" xfId="572" applyNumberFormat="1" applyFont="1" applyFill="1"/>
    <xf numFmtId="37" fontId="5" fillId="56" borderId="0" xfId="0" applyNumberFormat="1" applyFont="1" applyFill="1" applyProtection="1"/>
    <xf numFmtId="38" fontId="106" fillId="0" borderId="0" xfId="1506" applyNumberFormat="1" applyFill="1" applyAlignment="1">
      <alignment horizontal="left"/>
    </xf>
    <xf numFmtId="164" fontId="122" fillId="0" borderId="39" xfId="0" applyFont="1" applyBorder="1" applyAlignment="1">
      <alignment horizontal="center"/>
    </xf>
    <xf numFmtId="164" fontId="101" fillId="0" borderId="0" xfId="0" applyFont="1" applyFill="1" applyAlignment="1">
      <alignment horizontal="center"/>
    </xf>
    <xf numFmtId="164" fontId="106" fillId="0" borderId="0" xfId="1506" applyFill="1"/>
    <xf numFmtId="164" fontId="123" fillId="0" borderId="0" xfId="0" applyFont="1" applyFill="1"/>
    <xf numFmtId="164" fontId="124" fillId="0" borderId="0" xfId="0" applyFont="1" applyFill="1"/>
    <xf numFmtId="3" fontId="0" fillId="0" borderId="14" xfId="0" applyNumberFormat="1" applyBorder="1"/>
    <xf numFmtId="38" fontId="106" fillId="0" borderId="0" xfId="1506" applyNumberFormat="1" applyFill="1" applyAlignment="1">
      <alignment horizontal="center"/>
    </xf>
    <xf numFmtId="0" fontId="97" fillId="0" borderId="0" xfId="1197" applyFont="1" applyAlignment="1">
      <alignment horizontal="center"/>
    </xf>
    <xf numFmtId="0" fontId="106" fillId="0" borderId="0" xfId="1506" applyNumberFormat="1"/>
    <xf numFmtId="0" fontId="15" fillId="48" borderId="40" xfId="1197" applyFont="1" applyFill="1" applyBorder="1"/>
    <xf numFmtId="176" fontId="125" fillId="58" borderId="14" xfId="683" applyNumberFormat="1" applyFont="1" applyFill="1" applyBorder="1"/>
    <xf numFmtId="175" fontId="10" fillId="0" borderId="27" xfId="0" applyNumberFormat="1" applyFont="1" applyFill="1" applyBorder="1"/>
    <xf numFmtId="164" fontId="21" fillId="56" borderId="0" xfId="0" applyFont="1" applyFill="1"/>
    <xf numFmtId="164" fontId="10" fillId="56" borderId="0" xfId="0" applyFont="1" applyFill="1"/>
    <xf numFmtId="38" fontId="10" fillId="56" borderId="0" xfId="572" applyNumberFormat="1" applyFont="1" applyFill="1"/>
    <xf numFmtId="44" fontId="19" fillId="0" borderId="0" xfId="687" applyNumberFormat="1" applyFont="1" applyFill="1"/>
    <xf numFmtId="197" fontId="19" fillId="0" borderId="0" xfId="687" applyNumberFormat="1" applyFont="1" applyFill="1"/>
    <xf numFmtId="6" fontId="10" fillId="0" borderId="42" xfId="687" applyNumberFormat="1" applyFont="1" applyFill="1" applyBorder="1" applyProtection="1"/>
    <xf numFmtId="6" fontId="10" fillId="0" borderId="43" xfId="687" applyNumberFormat="1" applyFont="1" applyFill="1" applyBorder="1" applyProtection="1"/>
    <xf numFmtId="0" fontId="19" fillId="32" borderId="18" xfId="1427" quotePrefix="1" applyNumberFormat="1" applyProtection="1">
      <alignment horizontal="left" vertical="center" indent="1"/>
    </xf>
    <xf numFmtId="5" fontId="10" fillId="0" borderId="38" xfId="572" applyNumberFormat="1" applyFont="1" applyFill="1" applyBorder="1"/>
    <xf numFmtId="5" fontId="10" fillId="0" borderId="30" xfId="572" applyNumberFormat="1" applyFont="1" applyFill="1" applyBorder="1"/>
    <xf numFmtId="164" fontId="126" fillId="0" borderId="39" xfId="0" applyFont="1" applyBorder="1" applyAlignment="1">
      <alignment vertical="center" wrapText="1"/>
    </xf>
    <xf numFmtId="0" fontId="129" fillId="48" borderId="0" xfId="1197" applyFont="1" applyFill="1"/>
    <xf numFmtId="164" fontId="15" fillId="52" borderId="0" xfId="0" applyFont="1" applyFill="1"/>
    <xf numFmtId="164" fontId="19" fillId="52" borderId="0" xfId="0" applyFont="1" applyFill="1"/>
    <xf numFmtId="164" fontId="0" fillId="52" borderId="0" xfId="0" applyFill="1"/>
    <xf numFmtId="164" fontId="6" fillId="52" borderId="0" xfId="0" applyFont="1" applyFill="1"/>
    <xf numFmtId="0" fontId="15" fillId="52" borderId="0" xfId="1197" applyFill="1"/>
    <xf numFmtId="164" fontId="127" fillId="52" borderId="0" xfId="0" applyFont="1" applyFill="1" applyAlignment="1">
      <alignment horizontal="left"/>
    </xf>
    <xf numFmtId="164" fontId="127" fillId="52" borderId="0" xfId="0" quotePrefix="1" applyFont="1" applyFill="1" applyAlignment="1">
      <alignment horizontal="left"/>
    </xf>
    <xf numFmtId="164" fontId="128" fillId="52" borderId="0" xfId="0" applyFont="1" applyFill="1" applyAlignment="1">
      <alignment horizontal="left"/>
    </xf>
    <xf numFmtId="164" fontId="106" fillId="0" borderId="0" xfId="1506"/>
    <xf numFmtId="164" fontId="130" fillId="0" borderId="0" xfId="0" applyFont="1" applyFill="1"/>
    <xf numFmtId="164" fontId="5" fillId="52" borderId="0" xfId="0" applyFont="1" applyFill="1" applyAlignment="1" applyProtection="1">
      <alignment horizontal="left"/>
    </xf>
    <xf numFmtId="164" fontId="96" fillId="52" borderId="0" xfId="0" applyFont="1" applyFill="1"/>
    <xf numFmtId="164" fontId="8" fillId="52" borderId="0" xfId="0" applyFont="1" applyFill="1"/>
    <xf numFmtId="168" fontId="5" fillId="52" borderId="0" xfId="572" applyNumberFormat="1" applyFont="1" applyFill="1"/>
    <xf numFmtId="164" fontId="5" fillId="0" borderId="36" xfId="0" applyFont="1" applyFill="1" applyBorder="1" applyAlignment="1" applyProtection="1">
      <alignment horizontal="right"/>
    </xf>
    <xf numFmtId="37" fontId="5" fillId="0" borderId="32" xfId="0" applyNumberFormat="1" applyFont="1" applyFill="1" applyBorder="1" applyProtection="1"/>
    <xf numFmtId="37" fontId="5" fillId="0" borderId="37" xfId="0" applyNumberFormat="1" applyFont="1" applyFill="1" applyBorder="1" applyProtection="1"/>
    <xf numFmtId="164" fontId="5" fillId="0" borderId="33" xfId="0" applyFont="1" applyFill="1" applyBorder="1" applyProtection="1"/>
    <xf numFmtId="164" fontId="5" fillId="0" borderId="0" xfId="0" applyFont="1" applyFill="1" applyBorder="1" applyAlignment="1" applyProtection="1">
      <alignment horizontal="center"/>
    </xf>
    <xf numFmtId="164" fontId="5" fillId="0" borderId="39" xfId="0" applyFont="1" applyFill="1" applyBorder="1" applyAlignment="1" applyProtection="1">
      <alignment horizontal="center"/>
    </xf>
    <xf numFmtId="164" fontId="4" fillId="0" borderId="0" xfId="0" applyFont="1" applyFill="1" applyBorder="1"/>
    <xf numFmtId="164" fontId="4" fillId="0" borderId="39" xfId="0" applyFont="1" applyFill="1" applyBorder="1"/>
    <xf numFmtId="164" fontId="5" fillId="52" borderId="33" xfId="0" applyFont="1" applyFill="1" applyBorder="1" applyAlignment="1" applyProtection="1">
      <alignment horizontal="left"/>
    </xf>
    <xf numFmtId="168" fontId="5" fillId="0" borderId="33" xfId="572" applyNumberFormat="1" applyFont="1" applyFill="1" applyBorder="1" applyAlignment="1" applyProtection="1">
      <alignment horizontal="left"/>
    </xf>
    <xf numFmtId="38" fontId="5" fillId="0" borderId="0" xfId="572" applyNumberFormat="1" applyFont="1" applyFill="1" applyBorder="1"/>
    <xf numFmtId="38" fontId="5" fillId="0" borderId="39" xfId="572" applyNumberFormat="1" applyFont="1" applyFill="1" applyBorder="1"/>
    <xf numFmtId="164" fontId="5" fillId="0" borderId="33" xfId="0" applyFont="1" applyFill="1" applyBorder="1" applyAlignment="1" applyProtection="1">
      <alignment horizontal="left"/>
    </xf>
    <xf numFmtId="7" fontId="5" fillId="0" borderId="0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39" xfId="0" applyNumberFormat="1" applyFont="1" applyFill="1" applyBorder="1" applyProtection="1"/>
    <xf numFmtId="164" fontId="5" fillId="0" borderId="33" xfId="0" applyFont="1" applyFill="1" applyBorder="1"/>
    <xf numFmtId="8" fontId="5" fillId="0" borderId="0" xfId="687" applyFont="1" applyFill="1" applyBorder="1" applyProtection="1"/>
    <xf numFmtId="164" fontId="5" fillId="31" borderId="33" xfId="0" applyFont="1" applyFill="1" applyBorder="1" applyAlignment="1" applyProtection="1">
      <alignment horizontal="left"/>
    </xf>
    <xf numFmtId="37" fontId="5" fillId="31" borderId="0" xfId="0" applyNumberFormat="1" applyFont="1" applyFill="1" applyBorder="1" applyProtection="1"/>
    <xf numFmtId="37" fontId="5" fillId="31" borderId="39" xfId="0" applyNumberFormat="1" applyFont="1" applyFill="1" applyBorder="1" applyProtection="1"/>
    <xf numFmtId="164" fontId="5" fillId="31" borderId="40" xfId="0" applyFont="1" applyFill="1" applyBorder="1" applyAlignment="1" applyProtection="1">
      <alignment horizontal="left"/>
    </xf>
    <xf numFmtId="37" fontId="5" fillId="31" borderId="30" xfId="0" applyNumberFormat="1" applyFont="1" applyFill="1" applyBorder="1" applyProtection="1"/>
    <xf numFmtId="37" fontId="5" fillId="31" borderId="38" xfId="0" applyNumberFormat="1" applyFont="1" applyFill="1" applyBorder="1" applyProtection="1"/>
    <xf numFmtId="164" fontId="5" fillId="52" borderId="36" xfId="0" applyFont="1" applyFill="1" applyBorder="1" applyAlignment="1" applyProtection="1">
      <alignment horizontal="right"/>
    </xf>
    <xf numFmtId="164" fontId="5" fillId="56" borderId="33" xfId="0" applyFont="1" applyFill="1" applyBorder="1" applyAlignment="1" applyProtection="1">
      <alignment horizontal="left"/>
    </xf>
    <xf numFmtId="38" fontId="5" fillId="31" borderId="30" xfId="572" applyNumberFormat="1" applyFont="1" applyFill="1" applyBorder="1"/>
    <xf numFmtId="164" fontId="94" fillId="0" borderId="0" xfId="0" quotePrefix="1" applyFont="1"/>
    <xf numFmtId="0" fontId="29" fillId="0" borderId="14" xfId="1194" applyFont="1" applyFill="1" applyBorder="1" applyAlignment="1">
      <alignment horizontal="center"/>
    </xf>
    <xf numFmtId="164" fontId="131" fillId="0" borderId="39" xfId="0" applyFont="1" applyFill="1" applyBorder="1" applyProtection="1"/>
    <xf numFmtId="165" fontId="132" fillId="0" borderId="0" xfId="0" applyNumberFormat="1" applyFont="1" applyFill="1" applyProtection="1"/>
    <xf numFmtId="164" fontId="132" fillId="0" borderId="0" xfId="0" applyFont="1" applyFill="1"/>
    <xf numFmtId="164" fontId="131" fillId="0" borderId="0" xfId="0" applyFont="1" applyFill="1" applyAlignment="1" applyProtection="1">
      <alignment horizontal="left"/>
    </xf>
    <xf numFmtId="166" fontId="132" fillId="0" borderId="0" xfId="0" applyNumberFormat="1" applyFont="1" applyFill="1" applyProtection="1"/>
    <xf numFmtId="164" fontId="132" fillId="0" borderId="39" xfId="0" applyFont="1" applyFill="1" applyBorder="1" applyProtection="1"/>
    <xf numFmtId="164" fontId="132" fillId="0" borderId="0" xfId="0" applyFont="1" applyFill="1" applyAlignment="1">
      <alignment horizontal="center"/>
    </xf>
    <xf numFmtId="164" fontId="132" fillId="0" borderId="0" xfId="0" applyFont="1" applyFill="1" applyAlignment="1" applyProtection="1">
      <alignment horizontal="center"/>
    </xf>
    <xf numFmtId="164" fontId="132" fillId="0" borderId="39" xfId="0" applyFont="1" applyFill="1" applyBorder="1" applyAlignment="1" applyProtection="1">
      <alignment horizontal="left"/>
    </xf>
    <xf numFmtId="37" fontId="132" fillId="0" borderId="0" xfId="0" applyNumberFormat="1" applyFont="1" applyFill="1" applyProtection="1"/>
    <xf numFmtId="164" fontId="132" fillId="0" borderId="39" xfId="0" applyFont="1" applyFill="1" applyBorder="1"/>
    <xf numFmtId="164" fontId="132" fillId="0" borderId="39" xfId="0" applyFont="1" applyFill="1" applyBorder="1" applyAlignment="1" applyProtection="1">
      <alignment horizontal="right"/>
    </xf>
    <xf numFmtId="168" fontId="132" fillId="0" borderId="39" xfId="572" applyNumberFormat="1" applyFont="1" applyFill="1" applyBorder="1" applyAlignment="1" applyProtection="1">
      <alignment horizontal="left"/>
    </xf>
    <xf numFmtId="38" fontId="132" fillId="48" borderId="0" xfId="572" applyNumberFormat="1" applyFont="1" applyFill="1"/>
    <xf numFmtId="38" fontId="132" fillId="0" borderId="0" xfId="572" applyNumberFormat="1" applyFont="1" applyFill="1"/>
    <xf numFmtId="37" fontId="132" fillId="28" borderId="0" xfId="0" applyNumberFormat="1" applyFont="1" applyFill="1" applyProtection="1"/>
    <xf numFmtId="7" fontId="132" fillId="0" borderId="0" xfId="0" applyNumberFormat="1" applyFont="1" applyFill="1" applyProtection="1"/>
    <xf numFmtId="172" fontId="132" fillId="0" borderId="0" xfId="0" applyNumberFormat="1" applyFont="1" applyFill="1" applyProtection="1"/>
    <xf numFmtId="164" fontId="133" fillId="0" borderId="0" xfId="0" applyFont="1" applyFill="1"/>
    <xf numFmtId="164" fontId="37" fillId="57" borderId="0" xfId="0" applyFont="1" applyFill="1" applyAlignment="1" applyProtection="1">
      <alignment horizontal="left"/>
    </xf>
    <xf numFmtId="164" fontId="19" fillId="60" borderId="0" xfId="0" applyFont="1" applyFill="1"/>
    <xf numFmtId="164" fontId="15" fillId="60" borderId="0" xfId="0" applyFont="1" applyFill="1"/>
    <xf numFmtId="164" fontId="5" fillId="60" borderId="0" xfId="0" applyFont="1" applyFill="1"/>
    <xf numFmtId="168" fontId="5" fillId="60" borderId="0" xfId="572" applyNumberFormat="1" applyFont="1" applyFill="1"/>
    <xf numFmtId="164" fontId="8" fillId="60" borderId="0" xfId="0" applyFont="1" applyFill="1"/>
    <xf numFmtId="0" fontId="15" fillId="0" borderId="0" xfId="1195" applyBorder="1" applyAlignment="1">
      <alignment horizontal="left"/>
    </xf>
    <xf numFmtId="183" fontId="15" fillId="0" borderId="0" xfId="1195" applyNumberFormat="1" applyBorder="1" applyAlignment="1">
      <alignment horizontal="center"/>
    </xf>
    <xf numFmtId="164" fontId="134" fillId="0" borderId="0" xfId="0" applyFont="1" applyFill="1"/>
    <xf numFmtId="0" fontId="97" fillId="0" borderId="0" xfId="1197" applyFont="1" applyFill="1"/>
    <xf numFmtId="2" fontId="15" fillId="0" borderId="0" xfId="1197" applyNumberFormat="1"/>
    <xf numFmtId="6" fontId="15" fillId="54" borderId="0" xfId="687" applyNumberFormat="1" applyFont="1" applyFill="1" applyBorder="1"/>
    <xf numFmtId="6" fontId="15" fillId="54" borderId="32" xfId="687" applyNumberFormat="1" applyFont="1" applyFill="1" applyBorder="1"/>
    <xf numFmtId="38" fontId="24" fillId="0" borderId="0" xfId="572" applyNumberFormat="1" applyFont="1" applyFill="1" applyAlignment="1" applyProtection="1">
      <alignment horizontal="center"/>
    </xf>
    <xf numFmtId="38" fontId="24" fillId="0" borderId="0" xfId="0" applyNumberFormat="1" applyFont="1" applyFill="1" applyAlignment="1" applyProtection="1">
      <alignment horizontal="center"/>
    </xf>
    <xf numFmtId="164" fontId="15" fillId="0" borderId="0" xfId="1509" applyFont="1"/>
    <xf numFmtId="164" fontId="70" fillId="0" borderId="0" xfId="1509" applyFont="1"/>
    <xf numFmtId="164" fontId="15" fillId="0" borderId="44" xfId="1509" applyFont="1" applyBorder="1"/>
    <xf numFmtId="164" fontId="15" fillId="61" borderId="35" xfId="1509" applyFont="1" applyFill="1" applyBorder="1"/>
    <xf numFmtId="200" fontId="18" fillId="61" borderId="5" xfId="1509" applyNumberFormat="1" applyFont="1" applyFill="1" applyBorder="1" applyAlignment="1">
      <alignment horizontal="center"/>
    </xf>
    <xf numFmtId="164" fontId="18" fillId="61" borderId="5" xfId="1509" applyFont="1" applyFill="1" applyBorder="1" applyAlignment="1">
      <alignment horizontal="center"/>
    </xf>
    <xf numFmtId="164" fontId="18" fillId="61" borderId="45" xfId="1509" applyFont="1" applyFill="1" applyBorder="1" applyAlignment="1">
      <alignment horizontal="center"/>
    </xf>
    <xf numFmtId="164" fontId="135" fillId="0" borderId="0" xfId="1509" applyFont="1"/>
    <xf numFmtId="164" fontId="15" fillId="0" borderId="46" xfId="1509" applyFont="1" applyBorder="1"/>
    <xf numFmtId="38" fontId="15" fillId="0" borderId="0" xfId="1510" applyNumberFormat="1" applyFont="1"/>
    <xf numFmtId="38" fontId="15" fillId="0" borderId="46" xfId="1510" applyNumberFormat="1" applyFont="1" applyBorder="1"/>
    <xf numFmtId="164" fontId="18" fillId="0" borderId="0" xfId="1509" applyFont="1"/>
    <xf numFmtId="38" fontId="18" fillId="0" borderId="6" xfId="1510" applyNumberFormat="1" applyFont="1" applyBorder="1"/>
    <xf numFmtId="38" fontId="18" fillId="0" borderId="47" xfId="1510" applyNumberFormat="1" applyFont="1" applyBorder="1"/>
    <xf numFmtId="38" fontId="18" fillId="0" borderId="43" xfId="1510" applyNumberFormat="1" applyFont="1" applyBorder="1"/>
    <xf numFmtId="38" fontId="18" fillId="0" borderId="48" xfId="1510" applyNumberFormat="1" applyFont="1" applyBorder="1"/>
    <xf numFmtId="164" fontId="15" fillId="0" borderId="49" xfId="1509" applyFont="1" applyBorder="1"/>
    <xf numFmtId="164" fontId="94" fillId="0" borderId="0" xfId="0" applyFont="1" applyFill="1"/>
    <xf numFmtId="8" fontId="10" fillId="0" borderId="0" xfId="687" applyFont="1" applyFill="1" applyProtection="1"/>
    <xf numFmtId="164" fontId="21" fillId="0" borderId="27" xfId="0" applyFont="1" applyFill="1" applyBorder="1"/>
    <xf numFmtId="38" fontId="18" fillId="0" borderId="0" xfId="1510" applyNumberFormat="1" applyFont="1"/>
    <xf numFmtId="164" fontId="22" fillId="0" borderId="0" xfId="1509" applyFont="1" applyAlignment="1">
      <alignment horizontal="center"/>
    </xf>
    <xf numFmtId="164" fontId="70" fillId="0" borderId="0" xfId="1509" applyFont="1" applyAlignment="1">
      <alignment horizontal="center"/>
    </xf>
    <xf numFmtId="164" fontId="104" fillId="0" borderId="0" xfId="0" applyFont="1" applyFill="1" applyAlignment="1">
      <alignment horizontal="center"/>
    </xf>
  </cellXfs>
  <cellStyles count="1514">
    <cellStyle name=" 1" xfId="1"/>
    <cellStyle name="20% - Accent1" xfId="2" builtinId="30" customBuiltin="1"/>
    <cellStyle name="20% - Accent1 10" xfId="3"/>
    <cellStyle name="20% - Accent1 11" xfId="4"/>
    <cellStyle name="20% - Accent1 12" xfId="5"/>
    <cellStyle name="20% - Accent1 13" xfId="6"/>
    <cellStyle name="20% - Accent1 14" xfId="7"/>
    <cellStyle name="20% - Accent1 15" xfId="8"/>
    <cellStyle name="20% - Accent1 16" xfId="9"/>
    <cellStyle name="20% - Accent1 17" xfId="10"/>
    <cellStyle name="20% - Accent1 18" xfId="11"/>
    <cellStyle name="20% - Accent1 19" xfId="12"/>
    <cellStyle name="20% - Accent1 2" xfId="13"/>
    <cellStyle name="20% - Accent1 20" xfId="14"/>
    <cellStyle name="20% - Accent1 21" xfId="15"/>
    <cellStyle name="20% - Accent1 3" xfId="16"/>
    <cellStyle name="20% - Accent1 4" xfId="17"/>
    <cellStyle name="20% - Accent1 5" xfId="18"/>
    <cellStyle name="20% - Accent1 6" xfId="19"/>
    <cellStyle name="20% - Accent1 7" xfId="20"/>
    <cellStyle name="20% - Accent1 8" xfId="21"/>
    <cellStyle name="20% - Accent1 9" xfId="22"/>
    <cellStyle name="20% - Accent2" xfId="23" builtinId="34" customBuiltin="1"/>
    <cellStyle name="20% - Accent2 10" xfId="24"/>
    <cellStyle name="20% - Accent2 11" xfId="25"/>
    <cellStyle name="20% - Accent2 12" xfId="26"/>
    <cellStyle name="20% - Accent2 13" xfId="27"/>
    <cellStyle name="20% - Accent2 14" xfId="28"/>
    <cellStyle name="20% - Accent2 15" xfId="29"/>
    <cellStyle name="20% - Accent2 16" xfId="30"/>
    <cellStyle name="20% - Accent2 17" xfId="31"/>
    <cellStyle name="20% - Accent2 18" xfId="32"/>
    <cellStyle name="20% - Accent2 19" xfId="33"/>
    <cellStyle name="20% - Accent2 2" xfId="34"/>
    <cellStyle name="20% - Accent2 20" xfId="35"/>
    <cellStyle name="20% - Accent2 21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 builtinId="38" customBuiltin="1"/>
    <cellStyle name="20% - Accent3 10" xfId="45"/>
    <cellStyle name="20% - Accent3 11" xfId="46"/>
    <cellStyle name="20% - Accent3 12" xfId="47"/>
    <cellStyle name="20% - Accent3 13" xfId="48"/>
    <cellStyle name="20% - Accent3 14" xfId="49"/>
    <cellStyle name="20% - Accent3 15" xfId="50"/>
    <cellStyle name="20% - Accent3 16" xfId="51"/>
    <cellStyle name="20% - Accent3 17" xfId="52"/>
    <cellStyle name="20% - Accent3 18" xfId="53"/>
    <cellStyle name="20% - Accent3 19" xfId="54"/>
    <cellStyle name="20% - Accent3 2" xfId="55"/>
    <cellStyle name="20% - Accent3 20" xfId="56"/>
    <cellStyle name="20% - Accent3 21" xfId="57"/>
    <cellStyle name="20% - Accent3 3" xfId="58"/>
    <cellStyle name="20% - Accent3 4" xfId="59"/>
    <cellStyle name="20% - Accent3 5" xfId="60"/>
    <cellStyle name="20% - Accent3 6" xfId="61"/>
    <cellStyle name="20% - Accent3 7" xfId="62"/>
    <cellStyle name="20% - Accent3 8" xfId="63"/>
    <cellStyle name="20% - Accent3 9" xfId="64"/>
    <cellStyle name="20% - Accent4" xfId="65" builtinId="42" customBuiltin="1"/>
    <cellStyle name="20% - Accent4 10" xfId="66"/>
    <cellStyle name="20% - Accent4 11" xfId="67"/>
    <cellStyle name="20% - Accent4 12" xfId="68"/>
    <cellStyle name="20% - Accent4 13" xfId="69"/>
    <cellStyle name="20% - Accent4 14" xfId="70"/>
    <cellStyle name="20% - Accent4 15" xfId="71"/>
    <cellStyle name="20% - Accent4 16" xfId="72"/>
    <cellStyle name="20% - Accent4 17" xfId="73"/>
    <cellStyle name="20% - Accent4 18" xfId="74"/>
    <cellStyle name="20% - Accent4 19" xfId="75"/>
    <cellStyle name="20% - Accent4 2" xfId="76"/>
    <cellStyle name="20% - Accent4 20" xfId="77"/>
    <cellStyle name="20% - Accent4 21" xfId="78"/>
    <cellStyle name="20% - Accent4 3" xfId="79"/>
    <cellStyle name="20% - Accent4 4" xfId="80"/>
    <cellStyle name="20% - Accent4 5" xfId="81"/>
    <cellStyle name="20% - Accent4 6" xfId="82"/>
    <cellStyle name="20% - Accent4 7" xfId="83"/>
    <cellStyle name="20% - Accent4 8" xfId="84"/>
    <cellStyle name="20% - Accent4 9" xfId="85"/>
    <cellStyle name="20% - Accent5" xfId="86" builtinId="46" customBuiltin="1"/>
    <cellStyle name="20% - Accent5 10" xfId="87"/>
    <cellStyle name="20% - Accent5 11" xfId="88"/>
    <cellStyle name="20% - Accent5 12" xfId="89"/>
    <cellStyle name="20% - Accent5 13" xfId="90"/>
    <cellStyle name="20% - Accent5 14" xfId="91"/>
    <cellStyle name="20% - Accent5 15" xfId="92"/>
    <cellStyle name="20% - Accent5 16" xfId="93"/>
    <cellStyle name="20% - Accent5 17" xfId="94"/>
    <cellStyle name="20% - Accent5 18" xfId="95"/>
    <cellStyle name="20% - Accent5 19" xfId="96"/>
    <cellStyle name="20% - Accent5 2" xfId="97"/>
    <cellStyle name="20% - Accent5 20" xfId="98"/>
    <cellStyle name="20% - Accent5 21" xfId="99"/>
    <cellStyle name="20% - Accent5 3" xfId="100"/>
    <cellStyle name="20% - Accent5 4" xfId="101"/>
    <cellStyle name="20% - Accent5 5" xfId="102"/>
    <cellStyle name="20% - Accent5 6" xfId="103"/>
    <cellStyle name="20% - Accent5 7" xfId="104"/>
    <cellStyle name="20% - Accent5 8" xfId="105"/>
    <cellStyle name="20% - Accent5 9" xfId="106"/>
    <cellStyle name="20% - Accent6" xfId="107" builtinId="50" customBuiltin="1"/>
    <cellStyle name="20% - Accent6 10" xfId="108"/>
    <cellStyle name="20% - Accent6 11" xfId="109"/>
    <cellStyle name="20% - Accent6 12" xfId="110"/>
    <cellStyle name="20% - Accent6 13" xfId="111"/>
    <cellStyle name="20% - Accent6 14" xfId="112"/>
    <cellStyle name="20% - Accent6 15" xfId="113"/>
    <cellStyle name="20% - Accent6 16" xfId="114"/>
    <cellStyle name="20% - Accent6 17" xfId="115"/>
    <cellStyle name="20% - Accent6 18" xfId="116"/>
    <cellStyle name="20% - Accent6 19" xfId="117"/>
    <cellStyle name="20% - Accent6 2" xfId="118"/>
    <cellStyle name="20% - Accent6 20" xfId="119"/>
    <cellStyle name="20% - Accent6 21" xfId="120"/>
    <cellStyle name="20% - Accent6 3" xfId="121"/>
    <cellStyle name="20% - Accent6 4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40% - Accent1" xfId="128" builtinId="31" customBuiltin="1"/>
    <cellStyle name="40% - Accent1 10" xfId="129"/>
    <cellStyle name="40% - Accent1 11" xfId="130"/>
    <cellStyle name="40% - Accent1 12" xfId="131"/>
    <cellStyle name="40% - Accent1 13" xfId="132"/>
    <cellStyle name="40% - Accent1 14" xfId="133"/>
    <cellStyle name="40% - Accent1 15" xfId="134"/>
    <cellStyle name="40% - Accent1 16" xfId="135"/>
    <cellStyle name="40% - Accent1 17" xfId="136"/>
    <cellStyle name="40% - Accent1 18" xfId="137"/>
    <cellStyle name="40% - Accent1 19" xfId="138"/>
    <cellStyle name="40% - Accent1 2" xfId="139"/>
    <cellStyle name="40% - Accent1 20" xfId="140"/>
    <cellStyle name="40% - Accent1 21" xfId="141"/>
    <cellStyle name="40% - Accent1 3" xfId="142"/>
    <cellStyle name="40% - Accent1 4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" xfId="149" builtinId="35" customBuiltin="1"/>
    <cellStyle name="40% - Accent2 10" xfId="150"/>
    <cellStyle name="40% - Accent2 11" xfId="151"/>
    <cellStyle name="40% - Accent2 12" xfId="152"/>
    <cellStyle name="40% - Accent2 13" xfId="153"/>
    <cellStyle name="40% - Accent2 14" xfId="154"/>
    <cellStyle name="40% - Accent2 15" xfId="155"/>
    <cellStyle name="40% - Accent2 16" xfId="156"/>
    <cellStyle name="40% - Accent2 17" xfId="157"/>
    <cellStyle name="40% - Accent2 18" xfId="158"/>
    <cellStyle name="40% - Accent2 19" xfId="159"/>
    <cellStyle name="40% - Accent2 2" xfId="160"/>
    <cellStyle name="40% - Accent2 20" xfId="161"/>
    <cellStyle name="40% - Accent2 21" xfId="162"/>
    <cellStyle name="40% - Accent2 3" xfId="163"/>
    <cellStyle name="40% - Accent2 4" xfId="164"/>
    <cellStyle name="40% - Accent2 5" xfId="165"/>
    <cellStyle name="40% - Accent2 6" xfId="166"/>
    <cellStyle name="40% - Accent2 7" xfId="167"/>
    <cellStyle name="40% - Accent2 8" xfId="168"/>
    <cellStyle name="40% - Accent2 9" xfId="169"/>
    <cellStyle name="40% - Accent3" xfId="170" builtinId="39" customBuiltin="1"/>
    <cellStyle name="40% - Accent3 10" xfId="171"/>
    <cellStyle name="40% - Accent3 11" xfId="172"/>
    <cellStyle name="40% - Accent3 12" xfId="173"/>
    <cellStyle name="40% - Accent3 13" xfId="174"/>
    <cellStyle name="40% - Accent3 14" xfId="175"/>
    <cellStyle name="40% - Accent3 15" xfId="176"/>
    <cellStyle name="40% - Accent3 16" xfId="177"/>
    <cellStyle name="40% - Accent3 17" xfId="178"/>
    <cellStyle name="40% - Accent3 18" xfId="179"/>
    <cellStyle name="40% - Accent3 19" xfId="180"/>
    <cellStyle name="40% - Accent3 2" xfId="181"/>
    <cellStyle name="40% - Accent3 20" xfId="182"/>
    <cellStyle name="40% - Accent3 21" xfId="183"/>
    <cellStyle name="40% - Accent3 3" xfId="184"/>
    <cellStyle name="40% - Accent3 4" xfId="185"/>
    <cellStyle name="40% - Accent3 5" xfId="186"/>
    <cellStyle name="40% - Accent3 6" xfId="187"/>
    <cellStyle name="40% - Accent3 7" xfId="188"/>
    <cellStyle name="40% - Accent3 8" xfId="189"/>
    <cellStyle name="40% - Accent3 9" xfId="190"/>
    <cellStyle name="40% - Accent4" xfId="191" builtinId="43" customBuiltin="1"/>
    <cellStyle name="40% - Accent4 10" xfId="192"/>
    <cellStyle name="40% - Accent4 11" xfId="193"/>
    <cellStyle name="40% - Accent4 12" xfId="194"/>
    <cellStyle name="40% - Accent4 13" xfId="195"/>
    <cellStyle name="40% - Accent4 14" xfId="196"/>
    <cellStyle name="40% - Accent4 15" xfId="197"/>
    <cellStyle name="40% - Accent4 16" xfId="198"/>
    <cellStyle name="40% - Accent4 17" xfId="199"/>
    <cellStyle name="40% - Accent4 18" xfId="200"/>
    <cellStyle name="40% - Accent4 19" xfId="201"/>
    <cellStyle name="40% - Accent4 2" xfId="202"/>
    <cellStyle name="40% - Accent4 20" xfId="203"/>
    <cellStyle name="40% - Accent4 21" xfId="204"/>
    <cellStyle name="40% - Accent4 3" xfId="205"/>
    <cellStyle name="40% - Accent4 4" xfId="206"/>
    <cellStyle name="40% - Accent4 5" xfId="207"/>
    <cellStyle name="40% - Accent4 6" xfId="208"/>
    <cellStyle name="40% - Accent4 7" xfId="209"/>
    <cellStyle name="40% - Accent4 8" xfId="210"/>
    <cellStyle name="40% - Accent4 9" xfId="211"/>
    <cellStyle name="40% - Accent5" xfId="212" builtinId="47" customBuiltin="1"/>
    <cellStyle name="40% - Accent5 10" xfId="213"/>
    <cellStyle name="40% - Accent5 11" xfId="214"/>
    <cellStyle name="40% - Accent5 12" xfId="215"/>
    <cellStyle name="40% - Accent5 13" xfId="216"/>
    <cellStyle name="40% - Accent5 14" xfId="217"/>
    <cellStyle name="40% - Accent5 15" xfId="218"/>
    <cellStyle name="40% - Accent5 16" xfId="219"/>
    <cellStyle name="40% - Accent5 17" xfId="220"/>
    <cellStyle name="40% - Accent5 18" xfId="221"/>
    <cellStyle name="40% - Accent5 19" xfId="222"/>
    <cellStyle name="40% - Accent5 2" xfId="223"/>
    <cellStyle name="40% - Accent5 20" xfId="224"/>
    <cellStyle name="40% - Accent5 21" xfId="225"/>
    <cellStyle name="40% - Accent5 3" xfId="226"/>
    <cellStyle name="40% - Accent5 4" xfId="227"/>
    <cellStyle name="40% - Accent5 5" xfId="228"/>
    <cellStyle name="40% - Accent5 6" xfId="229"/>
    <cellStyle name="40% - Accent5 7" xfId="230"/>
    <cellStyle name="40% - Accent5 8" xfId="231"/>
    <cellStyle name="40% - Accent5 9" xfId="232"/>
    <cellStyle name="40% - Accent6" xfId="233" builtinId="51" customBuiltin="1"/>
    <cellStyle name="40% - Accent6 10" xfId="234"/>
    <cellStyle name="40% - Accent6 11" xfId="235"/>
    <cellStyle name="40% - Accent6 12" xfId="236"/>
    <cellStyle name="40% - Accent6 13" xfId="237"/>
    <cellStyle name="40% - Accent6 14" xfId="238"/>
    <cellStyle name="40% - Accent6 15" xfId="239"/>
    <cellStyle name="40% - Accent6 16" xfId="240"/>
    <cellStyle name="40% - Accent6 17" xfId="241"/>
    <cellStyle name="40% - Accent6 18" xfId="242"/>
    <cellStyle name="40% - Accent6 19" xfId="243"/>
    <cellStyle name="40% - Accent6 2" xfId="244"/>
    <cellStyle name="40% - Accent6 20" xfId="245"/>
    <cellStyle name="40% - Accent6 21" xfId="246"/>
    <cellStyle name="40% - Accent6 3" xfId="247"/>
    <cellStyle name="40% - Accent6 4" xfId="248"/>
    <cellStyle name="40% - Accent6 5" xfId="249"/>
    <cellStyle name="40% - Accent6 6" xfId="250"/>
    <cellStyle name="40% - Accent6 7" xfId="251"/>
    <cellStyle name="40% - Accent6 8" xfId="252"/>
    <cellStyle name="40% - Accent6 9" xfId="253"/>
    <cellStyle name="60% - Accent1" xfId="254" builtinId="32" customBuiltin="1"/>
    <cellStyle name="60% - Accent1 10" xfId="255"/>
    <cellStyle name="60% - Accent1 11" xfId="256"/>
    <cellStyle name="60% - Accent1 12" xfId="257"/>
    <cellStyle name="60% - Accent1 13" xfId="258"/>
    <cellStyle name="60% - Accent1 14" xfId="259"/>
    <cellStyle name="60% - Accent1 15" xfId="260"/>
    <cellStyle name="60% - Accent1 16" xfId="261"/>
    <cellStyle name="60% - Accent1 17" xfId="262"/>
    <cellStyle name="60% - Accent1 18" xfId="263"/>
    <cellStyle name="60% - Accent1 19" xfId="264"/>
    <cellStyle name="60% - Accent1 2" xfId="265"/>
    <cellStyle name="60% - Accent1 20" xfId="266"/>
    <cellStyle name="60% - Accent1 21" xfId="267"/>
    <cellStyle name="60% - Accent1 3" xfId="268"/>
    <cellStyle name="60% - Accent1 4" xfId="269"/>
    <cellStyle name="60% - Accent1 5" xfId="270"/>
    <cellStyle name="60% - Accent1 6" xfId="271"/>
    <cellStyle name="60% - Accent1 7" xfId="272"/>
    <cellStyle name="60% - Accent1 8" xfId="273"/>
    <cellStyle name="60% - Accent1 9" xfId="274"/>
    <cellStyle name="60% - Accent2" xfId="275" builtinId="36" customBuiltin="1"/>
    <cellStyle name="60% - Accent2 10" xfId="276"/>
    <cellStyle name="60% - Accent2 11" xfId="277"/>
    <cellStyle name="60% - Accent2 12" xfId="278"/>
    <cellStyle name="60% - Accent2 13" xfId="279"/>
    <cellStyle name="60% - Accent2 14" xfId="280"/>
    <cellStyle name="60% - Accent2 15" xfId="281"/>
    <cellStyle name="60% - Accent2 16" xfId="282"/>
    <cellStyle name="60% - Accent2 17" xfId="283"/>
    <cellStyle name="60% - Accent2 18" xfId="284"/>
    <cellStyle name="60% - Accent2 19" xfId="285"/>
    <cellStyle name="60% - Accent2 2" xfId="286"/>
    <cellStyle name="60% - Accent2 20" xfId="287"/>
    <cellStyle name="60% - Accent2 21" xfId="288"/>
    <cellStyle name="60% - Accent2 3" xfId="289"/>
    <cellStyle name="60% - Accent2 4" xfId="290"/>
    <cellStyle name="60% - Accent2 5" xfId="291"/>
    <cellStyle name="60% - Accent2 6" xfId="292"/>
    <cellStyle name="60% - Accent2 7" xfId="293"/>
    <cellStyle name="60% - Accent2 8" xfId="294"/>
    <cellStyle name="60% - Accent2 9" xfId="295"/>
    <cellStyle name="60% - Accent3" xfId="296" builtinId="40" customBuiltin="1"/>
    <cellStyle name="60% - Accent3 10" xfId="297"/>
    <cellStyle name="60% - Accent3 11" xfId="298"/>
    <cellStyle name="60% - Accent3 12" xfId="299"/>
    <cellStyle name="60% - Accent3 13" xfId="300"/>
    <cellStyle name="60% - Accent3 14" xfId="301"/>
    <cellStyle name="60% - Accent3 15" xfId="302"/>
    <cellStyle name="60% - Accent3 16" xfId="303"/>
    <cellStyle name="60% - Accent3 17" xfId="304"/>
    <cellStyle name="60% - Accent3 18" xfId="305"/>
    <cellStyle name="60% - Accent3 19" xfId="306"/>
    <cellStyle name="60% - Accent3 2" xfId="307"/>
    <cellStyle name="60% - Accent3 20" xfId="308"/>
    <cellStyle name="60% - Accent3 21" xfId="309"/>
    <cellStyle name="60% - Accent3 3" xfId="310"/>
    <cellStyle name="60% - Accent3 4" xfId="311"/>
    <cellStyle name="60% - Accent3 5" xfId="312"/>
    <cellStyle name="60% - Accent3 6" xfId="313"/>
    <cellStyle name="60% - Accent3 7" xfId="314"/>
    <cellStyle name="60% - Accent3 8" xfId="315"/>
    <cellStyle name="60% - Accent3 9" xfId="316"/>
    <cellStyle name="60% - Accent4" xfId="317" builtinId="44" customBuiltin="1"/>
    <cellStyle name="60% - Accent4 10" xfId="318"/>
    <cellStyle name="60% - Accent4 11" xfId="319"/>
    <cellStyle name="60% - Accent4 12" xfId="320"/>
    <cellStyle name="60% - Accent4 13" xfId="321"/>
    <cellStyle name="60% - Accent4 14" xfId="322"/>
    <cellStyle name="60% - Accent4 15" xfId="323"/>
    <cellStyle name="60% - Accent4 16" xfId="324"/>
    <cellStyle name="60% - Accent4 17" xfId="325"/>
    <cellStyle name="60% - Accent4 18" xfId="326"/>
    <cellStyle name="60% - Accent4 19" xfId="327"/>
    <cellStyle name="60% - Accent4 2" xfId="328"/>
    <cellStyle name="60% - Accent4 20" xfId="329"/>
    <cellStyle name="60% - Accent4 21" xfId="330"/>
    <cellStyle name="60% - Accent4 3" xfId="331"/>
    <cellStyle name="60% - Accent4 4" xfId="332"/>
    <cellStyle name="60% - Accent4 5" xfId="333"/>
    <cellStyle name="60% - Accent4 6" xfId="334"/>
    <cellStyle name="60% - Accent4 7" xfId="335"/>
    <cellStyle name="60% - Accent4 8" xfId="336"/>
    <cellStyle name="60% - Accent4 9" xfId="337"/>
    <cellStyle name="60% - Accent5" xfId="338" builtinId="48" customBuiltin="1"/>
    <cellStyle name="60% - Accent5 10" xfId="339"/>
    <cellStyle name="60% - Accent5 11" xfId="340"/>
    <cellStyle name="60% - Accent5 12" xfId="341"/>
    <cellStyle name="60% - Accent5 13" xfId="342"/>
    <cellStyle name="60% - Accent5 14" xfId="343"/>
    <cellStyle name="60% - Accent5 15" xfId="344"/>
    <cellStyle name="60% - Accent5 16" xfId="345"/>
    <cellStyle name="60% - Accent5 17" xfId="346"/>
    <cellStyle name="60% - Accent5 18" xfId="347"/>
    <cellStyle name="60% - Accent5 19" xfId="348"/>
    <cellStyle name="60% - Accent5 2" xfId="349"/>
    <cellStyle name="60% - Accent5 20" xfId="350"/>
    <cellStyle name="60% - Accent5 21" xfId="351"/>
    <cellStyle name="60% - Accent5 3" xfId="352"/>
    <cellStyle name="60% - Accent5 4" xfId="353"/>
    <cellStyle name="60% - Accent5 5" xfId="354"/>
    <cellStyle name="60% - Accent5 6" xfId="355"/>
    <cellStyle name="60% - Accent5 7" xfId="356"/>
    <cellStyle name="60% - Accent5 8" xfId="357"/>
    <cellStyle name="60% - Accent5 9" xfId="358"/>
    <cellStyle name="60% - Accent6" xfId="359" builtinId="52" customBuiltin="1"/>
    <cellStyle name="60% - Accent6 10" xfId="360"/>
    <cellStyle name="60% - Accent6 11" xfId="361"/>
    <cellStyle name="60% - Accent6 12" xfId="362"/>
    <cellStyle name="60% - Accent6 13" xfId="363"/>
    <cellStyle name="60% - Accent6 14" xfId="364"/>
    <cellStyle name="60% - Accent6 15" xfId="365"/>
    <cellStyle name="60% - Accent6 16" xfId="366"/>
    <cellStyle name="60% - Accent6 17" xfId="367"/>
    <cellStyle name="60% - Accent6 18" xfId="368"/>
    <cellStyle name="60% - Accent6 19" xfId="369"/>
    <cellStyle name="60% - Accent6 2" xfId="370"/>
    <cellStyle name="60% - Accent6 20" xfId="371"/>
    <cellStyle name="60% - Accent6 21" xfId="372"/>
    <cellStyle name="60% - Accent6 3" xfId="373"/>
    <cellStyle name="60% - Accent6 4" xfId="374"/>
    <cellStyle name="60% - Accent6 5" xfId="375"/>
    <cellStyle name="60% - Accent6 6" xfId="376"/>
    <cellStyle name="60% - Accent6 7" xfId="377"/>
    <cellStyle name="60% - Accent6 8" xfId="378"/>
    <cellStyle name="60% - Accent6 9" xfId="379"/>
    <cellStyle name="Accent1" xfId="380" builtinId="29" customBuiltin="1"/>
    <cellStyle name="Accent1 10" xfId="381"/>
    <cellStyle name="Accent1 11" xfId="382"/>
    <cellStyle name="Accent1 12" xfId="383"/>
    <cellStyle name="Accent1 13" xfId="384"/>
    <cellStyle name="Accent1 14" xfId="385"/>
    <cellStyle name="Accent1 15" xfId="386"/>
    <cellStyle name="Accent1 16" xfId="387"/>
    <cellStyle name="Accent1 17" xfId="388"/>
    <cellStyle name="Accent1 18" xfId="389"/>
    <cellStyle name="Accent1 19" xfId="390"/>
    <cellStyle name="Accent1 2" xfId="391"/>
    <cellStyle name="Accent1 20" xfId="392"/>
    <cellStyle name="Accent1 21" xfId="393"/>
    <cellStyle name="Accent1 3" xfId="394"/>
    <cellStyle name="Accent1 4" xfId="395"/>
    <cellStyle name="Accent1 5" xfId="396"/>
    <cellStyle name="Accent1 6" xfId="397"/>
    <cellStyle name="Accent1 7" xfId="398"/>
    <cellStyle name="Accent1 8" xfId="399"/>
    <cellStyle name="Accent1 9" xfId="400"/>
    <cellStyle name="Accent2" xfId="401" builtinId="33" customBuiltin="1"/>
    <cellStyle name="Accent2 10" xfId="402"/>
    <cellStyle name="Accent2 11" xfId="403"/>
    <cellStyle name="Accent2 12" xfId="404"/>
    <cellStyle name="Accent2 13" xfId="405"/>
    <cellStyle name="Accent2 14" xfId="406"/>
    <cellStyle name="Accent2 15" xfId="407"/>
    <cellStyle name="Accent2 16" xfId="408"/>
    <cellStyle name="Accent2 17" xfId="409"/>
    <cellStyle name="Accent2 18" xfId="410"/>
    <cellStyle name="Accent2 19" xfId="411"/>
    <cellStyle name="Accent2 2" xfId="412"/>
    <cellStyle name="Accent2 20" xfId="413"/>
    <cellStyle name="Accent2 21" xfId="414"/>
    <cellStyle name="Accent2 3" xfId="415"/>
    <cellStyle name="Accent2 4" xfId="416"/>
    <cellStyle name="Accent2 5" xfId="417"/>
    <cellStyle name="Accent2 6" xfId="418"/>
    <cellStyle name="Accent2 7" xfId="419"/>
    <cellStyle name="Accent2 8" xfId="420"/>
    <cellStyle name="Accent2 9" xfId="421"/>
    <cellStyle name="Accent3" xfId="422" builtinId="37" customBuiltin="1"/>
    <cellStyle name="Accent3 10" xfId="423"/>
    <cellStyle name="Accent3 11" xfId="424"/>
    <cellStyle name="Accent3 12" xfId="425"/>
    <cellStyle name="Accent3 13" xfId="426"/>
    <cellStyle name="Accent3 14" xfId="427"/>
    <cellStyle name="Accent3 15" xfId="428"/>
    <cellStyle name="Accent3 16" xfId="429"/>
    <cellStyle name="Accent3 17" xfId="430"/>
    <cellStyle name="Accent3 18" xfId="431"/>
    <cellStyle name="Accent3 19" xfId="432"/>
    <cellStyle name="Accent3 2" xfId="433"/>
    <cellStyle name="Accent3 20" xfId="434"/>
    <cellStyle name="Accent3 21" xfId="435"/>
    <cellStyle name="Accent3 3" xfId="436"/>
    <cellStyle name="Accent3 4" xfId="437"/>
    <cellStyle name="Accent3 5" xfId="438"/>
    <cellStyle name="Accent3 6" xfId="439"/>
    <cellStyle name="Accent3 7" xfId="440"/>
    <cellStyle name="Accent3 8" xfId="441"/>
    <cellStyle name="Accent3 9" xfId="442"/>
    <cellStyle name="Accent4" xfId="443" builtinId="41" customBuiltin="1"/>
    <cellStyle name="Accent4 10" xfId="444"/>
    <cellStyle name="Accent4 11" xfId="445"/>
    <cellStyle name="Accent4 12" xfId="446"/>
    <cellStyle name="Accent4 13" xfId="447"/>
    <cellStyle name="Accent4 14" xfId="448"/>
    <cellStyle name="Accent4 15" xfId="449"/>
    <cellStyle name="Accent4 16" xfId="450"/>
    <cellStyle name="Accent4 17" xfId="451"/>
    <cellStyle name="Accent4 18" xfId="452"/>
    <cellStyle name="Accent4 19" xfId="453"/>
    <cellStyle name="Accent4 2" xfId="454"/>
    <cellStyle name="Accent4 20" xfId="455"/>
    <cellStyle name="Accent4 21" xfId="456"/>
    <cellStyle name="Accent4 3" xfId="457"/>
    <cellStyle name="Accent4 4" xfId="458"/>
    <cellStyle name="Accent4 5" xfId="459"/>
    <cellStyle name="Accent4 6" xfId="460"/>
    <cellStyle name="Accent4 7" xfId="461"/>
    <cellStyle name="Accent4 8" xfId="462"/>
    <cellStyle name="Accent4 9" xfId="463"/>
    <cellStyle name="Accent5" xfId="464" builtinId="45" customBuiltin="1"/>
    <cellStyle name="Accent5 10" xfId="465"/>
    <cellStyle name="Accent5 11" xfId="466"/>
    <cellStyle name="Accent5 12" xfId="467"/>
    <cellStyle name="Accent5 13" xfId="468"/>
    <cellStyle name="Accent5 14" xfId="469"/>
    <cellStyle name="Accent5 15" xfId="470"/>
    <cellStyle name="Accent5 16" xfId="471"/>
    <cellStyle name="Accent5 17" xfId="472"/>
    <cellStyle name="Accent5 18" xfId="473"/>
    <cellStyle name="Accent5 19" xfId="474"/>
    <cellStyle name="Accent5 2" xfId="475"/>
    <cellStyle name="Accent5 20" xfId="476"/>
    <cellStyle name="Accent5 21" xfId="477"/>
    <cellStyle name="Accent5 3" xfId="478"/>
    <cellStyle name="Accent5 4" xfId="479"/>
    <cellStyle name="Accent5 5" xfId="480"/>
    <cellStyle name="Accent5 6" xfId="481"/>
    <cellStyle name="Accent5 7" xfId="482"/>
    <cellStyle name="Accent5 8" xfId="483"/>
    <cellStyle name="Accent5 9" xfId="484"/>
    <cellStyle name="Accent6" xfId="485" builtinId="49" customBuiltin="1"/>
    <cellStyle name="Accent6 10" xfId="486"/>
    <cellStyle name="Accent6 11" xfId="487"/>
    <cellStyle name="Accent6 12" xfId="488"/>
    <cellStyle name="Accent6 13" xfId="489"/>
    <cellStyle name="Accent6 14" xfId="490"/>
    <cellStyle name="Accent6 15" xfId="491"/>
    <cellStyle name="Accent6 16" xfId="492"/>
    <cellStyle name="Accent6 17" xfId="493"/>
    <cellStyle name="Accent6 18" xfId="494"/>
    <cellStyle name="Accent6 19" xfId="495"/>
    <cellStyle name="Accent6 2" xfId="496"/>
    <cellStyle name="Accent6 20" xfId="497"/>
    <cellStyle name="Accent6 21" xfId="498"/>
    <cellStyle name="Accent6 3" xfId="499"/>
    <cellStyle name="Accent6 4" xfId="500"/>
    <cellStyle name="Accent6 5" xfId="501"/>
    <cellStyle name="Accent6 6" xfId="502"/>
    <cellStyle name="Accent6 7" xfId="503"/>
    <cellStyle name="Accent6 8" xfId="504"/>
    <cellStyle name="Accent6 9" xfId="505"/>
    <cellStyle name="Actual Date" xfId="506"/>
    <cellStyle name="Bad" xfId="507" builtinId="27" customBuiltin="1"/>
    <cellStyle name="Bad 10" xfId="508"/>
    <cellStyle name="Bad 11" xfId="509"/>
    <cellStyle name="Bad 12" xfId="510"/>
    <cellStyle name="Bad 13" xfId="511"/>
    <cellStyle name="Bad 14" xfId="512"/>
    <cellStyle name="Bad 15" xfId="513"/>
    <cellStyle name="Bad 16" xfId="514"/>
    <cellStyle name="Bad 17" xfId="515"/>
    <cellStyle name="Bad 18" xfId="516"/>
    <cellStyle name="Bad 19" xfId="517"/>
    <cellStyle name="Bad 2" xfId="518"/>
    <cellStyle name="Bad 20" xfId="519"/>
    <cellStyle name="Bad 21" xfId="520"/>
    <cellStyle name="Bad 3" xfId="521"/>
    <cellStyle name="Bad 4" xfId="522"/>
    <cellStyle name="Bad 5" xfId="523"/>
    <cellStyle name="Bad 6" xfId="524"/>
    <cellStyle name="Bad 7" xfId="525"/>
    <cellStyle name="Bad 8" xfId="526"/>
    <cellStyle name="Bad 9" xfId="527"/>
    <cellStyle name="Calc Currency (0)" xfId="528"/>
    <cellStyle name="Calculation" xfId="529" builtinId="22" customBuiltin="1"/>
    <cellStyle name="Calculation 10" xfId="530"/>
    <cellStyle name="Calculation 11" xfId="531"/>
    <cellStyle name="Calculation 12" xfId="532"/>
    <cellStyle name="Calculation 13" xfId="533"/>
    <cellStyle name="Calculation 14" xfId="534"/>
    <cellStyle name="Calculation 15" xfId="535"/>
    <cellStyle name="Calculation 16" xfId="536"/>
    <cellStyle name="Calculation 17" xfId="537"/>
    <cellStyle name="Calculation 18" xfId="538"/>
    <cellStyle name="Calculation 19" xfId="539"/>
    <cellStyle name="Calculation 2" xfId="540"/>
    <cellStyle name="Calculation 20" xfId="541"/>
    <cellStyle name="Calculation 21" xfId="542"/>
    <cellStyle name="Calculation 3" xfId="543"/>
    <cellStyle name="Calculation 4" xfId="544"/>
    <cellStyle name="Calculation 5" xfId="545"/>
    <cellStyle name="Calculation 6" xfId="546"/>
    <cellStyle name="Calculation 7" xfId="547"/>
    <cellStyle name="Calculation 8" xfId="548"/>
    <cellStyle name="Calculation 9" xfId="549"/>
    <cellStyle name="Check Cell" xfId="550" builtinId="23" customBuiltin="1"/>
    <cellStyle name="Check Cell 10" xfId="551"/>
    <cellStyle name="Check Cell 11" xfId="552"/>
    <cellStyle name="Check Cell 12" xfId="553"/>
    <cellStyle name="Check Cell 13" xfId="554"/>
    <cellStyle name="Check Cell 14" xfId="555"/>
    <cellStyle name="Check Cell 15" xfId="556"/>
    <cellStyle name="Check Cell 16" xfId="557"/>
    <cellStyle name="Check Cell 17" xfId="558"/>
    <cellStyle name="Check Cell 18" xfId="559"/>
    <cellStyle name="Check Cell 19" xfId="560"/>
    <cellStyle name="Check Cell 2" xfId="561"/>
    <cellStyle name="Check Cell 20" xfId="562"/>
    <cellStyle name="Check Cell 21" xfId="563"/>
    <cellStyle name="Check Cell 3" xfId="564"/>
    <cellStyle name="Check Cell 4" xfId="565"/>
    <cellStyle name="Check Cell 5" xfId="566"/>
    <cellStyle name="Check Cell 6" xfId="567"/>
    <cellStyle name="Check Cell 7" xfId="568"/>
    <cellStyle name="Check Cell 8" xfId="569"/>
    <cellStyle name="Check Cell 9" xfId="570"/>
    <cellStyle name="Column.Head" xfId="571"/>
    <cellStyle name="Comma" xfId="572" builtinId="3"/>
    <cellStyle name="Comma 10" xfId="573"/>
    <cellStyle name="Comma 11" xfId="574"/>
    <cellStyle name="Comma 12" xfId="575"/>
    <cellStyle name="Comma 13" xfId="576"/>
    <cellStyle name="Comma 14" xfId="577"/>
    <cellStyle name="Comma 15" xfId="578"/>
    <cellStyle name="Comma 16" xfId="579"/>
    <cellStyle name="Comma 17" xfId="580"/>
    <cellStyle name="Comma 18" xfId="581"/>
    <cellStyle name="Comma 19" xfId="582"/>
    <cellStyle name="Comma 2" xfId="583"/>
    <cellStyle name="Comma 2 10" xfId="584"/>
    <cellStyle name="Comma 2 11" xfId="585"/>
    <cellStyle name="Comma 2 12" xfId="586"/>
    <cellStyle name="Comma 2 13" xfId="587"/>
    <cellStyle name="Comma 2 14" xfId="1510"/>
    <cellStyle name="Comma 2 2" xfId="588"/>
    <cellStyle name="Comma 2 3" xfId="589"/>
    <cellStyle name="Comma 2 4" xfId="590"/>
    <cellStyle name="Comma 2 5" xfId="591"/>
    <cellStyle name="Comma 2 6" xfId="592"/>
    <cellStyle name="Comma 2 7" xfId="593"/>
    <cellStyle name="Comma 2 8" xfId="594"/>
    <cellStyle name="Comma 2 9" xfId="595"/>
    <cellStyle name="Comma 20" xfId="596"/>
    <cellStyle name="Comma 21" xfId="597"/>
    <cellStyle name="Comma 22" xfId="598"/>
    <cellStyle name="Comma 23" xfId="599"/>
    <cellStyle name="Comma 24" xfId="600"/>
    <cellStyle name="Comma 25" xfId="601"/>
    <cellStyle name="Comma 26" xfId="602"/>
    <cellStyle name="Comma 27" xfId="603"/>
    <cellStyle name="Comma 28" xfId="604"/>
    <cellStyle name="Comma 29" xfId="605"/>
    <cellStyle name="Comma 3" xfId="606"/>
    <cellStyle name="Comma 30" xfId="607"/>
    <cellStyle name="Comma 31" xfId="608"/>
    <cellStyle name="Comma 32" xfId="609"/>
    <cellStyle name="Comma 33" xfId="610"/>
    <cellStyle name="Comma 34" xfId="611"/>
    <cellStyle name="Comma 35" xfId="612"/>
    <cellStyle name="Comma 36" xfId="613"/>
    <cellStyle name="Comma 37" xfId="614"/>
    <cellStyle name="Comma 38" xfId="615"/>
    <cellStyle name="Comma 39" xfId="616"/>
    <cellStyle name="Comma 4" xfId="617"/>
    <cellStyle name="Comma 40" xfId="618"/>
    <cellStyle name="Comma 41" xfId="619"/>
    <cellStyle name="Comma 42" xfId="620"/>
    <cellStyle name="Comma 43" xfId="621"/>
    <cellStyle name="Comma 44" xfId="622"/>
    <cellStyle name="Comma 45" xfId="623"/>
    <cellStyle name="Comma 46" xfId="624"/>
    <cellStyle name="Comma 47" xfId="625"/>
    <cellStyle name="Comma 48" xfId="626"/>
    <cellStyle name="Comma 49" xfId="627"/>
    <cellStyle name="Comma 5" xfId="628"/>
    <cellStyle name="Comma 50" xfId="629"/>
    <cellStyle name="Comma 51" xfId="630"/>
    <cellStyle name="Comma 52" xfId="631"/>
    <cellStyle name="Comma 53" xfId="632"/>
    <cellStyle name="Comma 54" xfId="633"/>
    <cellStyle name="Comma 55" xfId="634"/>
    <cellStyle name="Comma 56" xfId="635"/>
    <cellStyle name="Comma 57" xfId="636"/>
    <cellStyle name="Comma 58" xfId="637"/>
    <cellStyle name="Comma 59" xfId="638"/>
    <cellStyle name="Comma 6" xfId="639"/>
    <cellStyle name="Comma 60" xfId="640"/>
    <cellStyle name="Comma 61" xfId="641"/>
    <cellStyle name="Comma 62" xfId="642"/>
    <cellStyle name="Comma 63" xfId="643"/>
    <cellStyle name="Comma 64" xfId="644"/>
    <cellStyle name="Comma 65" xfId="645"/>
    <cellStyle name="Comma 66" xfId="646"/>
    <cellStyle name="Comma 67" xfId="647"/>
    <cellStyle name="Comma 68" xfId="648"/>
    <cellStyle name="Comma 69" xfId="649"/>
    <cellStyle name="Comma 7" xfId="650"/>
    <cellStyle name="Comma 70" xfId="651"/>
    <cellStyle name="Comma 71" xfId="652"/>
    <cellStyle name="Comma 72" xfId="653"/>
    <cellStyle name="Comma 73" xfId="654"/>
    <cellStyle name="Comma 74" xfId="655"/>
    <cellStyle name="Comma 75" xfId="656"/>
    <cellStyle name="Comma 76" xfId="657"/>
    <cellStyle name="Comma 77" xfId="658"/>
    <cellStyle name="Comma 78" xfId="659"/>
    <cellStyle name="Comma 79" xfId="660"/>
    <cellStyle name="Comma 8" xfId="661"/>
    <cellStyle name="Comma 80" xfId="662"/>
    <cellStyle name="Comma 81" xfId="663"/>
    <cellStyle name="Comma 82" xfId="664"/>
    <cellStyle name="Comma 83" xfId="665"/>
    <cellStyle name="Comma 84" xfId="666"/>
    <cellStyle name="Comma 85" xfId="667"/>
    <cellStyle name="Comma 86" xfId="668"/>
    <cellStyle name="Comma 87" xfId="669"/>
    <cellStyle name="Comma 88" xfId="670"/>
    <cellStyle name="Comma 89" xfId="671"/>
    <cellStyle name="Comma 9" xfId="672"/>
    <cellStyle name="Comma 90" xfId="673"/>
    <cellStyle name="Comma 91" xfId="674"/>
    <cellStyle name="Comma 92" xfId="675"/>
    <cellStyle name="Comma 93" xfId="676"/>
    <cellStyle name="Comma 94" xfId="677"/>
    <cellStyle name="Comma 95" xfId="678"/>
    <cellStyle name="Comma 96" xfId="679"/>
    <cellStyle name="Comma 97" xfId="680"/>
    <cellStyle name="Comma 98" xfId="681"/>
    <cellStyle name="Comma 99" xfId="1511"/>
    <cellStyle name="comma, 0" xfId="682"/>
    <cellStyle name="Comma_Final_Forecast_Network_Transmission" xfId="683"/>
    <cellStyle name="Comma_UPDATED_FMPA_Network_Transmission" xfId="684"/>
    <cellStyle name="Config Data" xfId="685"/>
    <cellStyle name="Copied" xfId="686"/>
    <cellStyle name="Currency" xfId="687" builtinId="4"/>
    <cellStyle name="Currency 2" xfId="688"/>
    <cellStyle name="Currency 3" xfId="689"/>
    <cellStyle name="Currency 4" xfId="690"/>
    <cellStyle name="Currency 5" xfId="1512"/>
    <cellStyle name="Currency.oo" xfId="691"/>
    <cellStyle name="Currency_LRS0004" xfId="692"/>
    <cellStyle name="Currency_STFXNF" xfId="693"/>
    <cellStyle name="Date" xfId="694"/>
    <cellStyle name="Dot" xfId="695"/>
    <cellStyle name="Entered" xfId="696"/>
    <cellStyle name="Explanatory Text" xfId="697" builtinId="53" customBuiltin="1"/>
    <cellStyle name="Explanatory Text 10" xfId="698"/>
    <cellStyle name="Explanatory Text 11" xfId="699"/>
    <cellStyle name="Explanatory Text 12" xfId="700"/>
    <cellStyle name="Explanatory Text 13" xfId="701"/>
    <cellStyle name="Explanatory Text 14" xfId="702"/>
    <cellStyle name="Explanatory Text 15" xfId="703"/>
    <cellStyle name="Explanatory Text 16" xfId="704"/>
    <cellStyle name="Explanatory Text 17" xfId="705"/>
    <cellStyle name="Explanatory Text 18" xfId="706"/>
    <cellStyle name="Explanatory Text 19" xfId="707"/>
    <cellStyle name="Explanatory Text 2" xfId="708"/>
    <cellStyle name="Explanatory Text 20" xfId="709"/>
    <cellStyle name="Explanatory Text 21" xfId="710"/>
    <cellStyle name="Explanatory Text 3" xfId="711"/>
    <cellStyle name="Explanatory Text 4" xfId="712"/>
    <cellStyle name="Explanatory Text 5" xfId="713"/>
    <cellStyle name="Explanatory Text 6" xfId="714"/>
    <cellStyle name="Explanatory Text 7" xfId="715"/>
    <cellStyle name="Explanatory Text 8" xfId="716"/>
    <cellStyle name="Explanatory Text 9" xfId="717"/>
    <cellStyle name="Fixed" xfId="718"/>
    <cellStyle name="Good" xfId="719" builtinId="26" customBuiltin="1"/>
    <cellStyle name="Good 10" xfId="720"/>
    <cellStyle name="Good 11" xfId="721"/>
    <cellStyle name="Good 12" xfId="722"/>
    <cellStyle name="Good 13" xfId="723"/>
    <cellStyle name="Good 14" xfId="724"/>
    <cellStyle name="Good 15" xfId="725"/>
    <cellStyle name="Good 16" xfId="726"/>
    <cellStyle name="Good 17" xfId="727"/>
    <cellStyle name="Good 18" xfId="728"/>
    <cellStyle name="Good 19" xfId="729"/>
    <cellStyle name="Good 2" xfId="730"/>
    <cellStyle name="Good 20" xfId="731"/>
    <cellStyle name="Good 21" xfId="732"/>
    <cellStyle name="Good 3" xfId="733"/>
    <cellStyle name="Good 4" xfId="734"/>
    <cellStyle name="Good 5" xfId="735"/>
    <cellStyle name="Good 6" xfId="736"/>
    <cellStyle name="Good 7" xfId="737"/>
    <cellStyle name="Good 8" xfId="738"/>
    <cellStyle name="Good 9" xfId="739"/>
    <cellStyle name="Grey" xfId="740"/>
    <cellStyle name="HEADER" xfId="741"/>
    <cellStyle name="Header1" xfId="742"/>
    <cellStyle name="Header2" xfId="743"/>
    <cellStyle name="Heading 1" xfId="744" builtinId="16" customBuiltin="1"/>
    <cellStyle name="Heading 1 10" xfId="745"/>
    <cellStyle name="Heading 1 11" xfId="746"/>
    <cellStyle name="Heading 1 12" xfId="747"/>
    <cellStyle name="Heading 1 13" xfId="748"/>
    <cellStyle name="Heading 1 14" xfId="749"/>
    <cellStyle name="Heading 1 15" xfId="750"/>
    <cellStyle name="Heading 1 16" xfId="751"/>
    <cellStyle name="Heading 1 17" xfId="752"/>
    <cellStyle name="Heading 1 18" xfId="753"/>
    <cellStyle name="Heading 1 19" xfId="754"/>
    <cellStyle name="Heading 1 2" xfId="755"/>
    <cellStyle name="Heading 1 20" xfId="756"/>
    <cellStyle name="Heading 1 21" xfId="757"/>
    <cellStyle name="Heading 1 3" xfId="758"/>
    <cellStyle name="Heading 1 4" xfId="759"/>
    <cellStyle name="Heading 1 5" xfId="760"/>
    <cellStyle name="Heading 1 6" xfId="761"/>
    <cellStyle name="Heading 1 7" xfId="762"/>
    <cellStyle name="Heading 1 8" xfId="763"/>
    <cellStyle name="Heading 1 9" xfId="764"/>
    <cellStyle name="Heading 2" xfId="765" builtinId="17" customBuiltin="1"/>
    <cellStyle name="Heading 2 10" xfId="766"/>
    <cellStyle name="Heading 2 11" xfId="767"/>
    <cellStyle name="Heading 2 12" xfId="768"/>
    <cellStyle name="Heading 2 13" xfId="769"/>
    <cellStyle name="Heading 2 14" xfId="770"/>
    <cellStyle name="Heading 2 15" xfId="771"/>
    <cellStyle name="Heading 2 16" xfId="772"/>
    <cellStyle name="Heading 2 17" xfId="773"/>
    <cellStyle name="Heading 2 18" xfId="774"/>
    <cellStyle name="Heading 2 19" xfId="775"/>
    <cellStyle name="Heading 2 2" xfId="776"/>
    <cellStyle name="Heading 2 20" xfId="777"/>
    <cellStyle name="Heading 2 21" xfId="778"/>
    <cellStyle name="Heading 2 3" xfId="779"/>
    <cellStyle name="Heading 2 4" xfId="780"/>
    <cellStyle name="Heading 2 5" xfId="781"/>
    <cellStyle name="Heading 2 6" xfId="782"/>
    <cellStyle name="Heading 2 7" xfId="783"/>
    <cellStyle name="Heading 2 8" xfId="784"/>
    <cellStyle name="Heading 2 9" xfId="785"/>
    <cellStyle name="Heading 3" xfId="786" builtinId="18" customBuiltin="1"/>
    <cellStyle name="Heading 3 10" xfId="787"/>
    <cellStyle name="Heading 3 11" xfId="788"/>
    <cellStyle name="Heading 3 12" xfId="789"/>
    <cellStyle name="Heading 3 13" xfId="790"/>
    <cellStyle name="Heading 3 14" xfId="791"/>
    <cellStyle name="Heading 3 15" xfId="792"/>
    <cellStyle name="Heading 3 16" xfId="793"/>
    <cellStyle name="Heading 3 17" xfId="794"/>
    <cellStyle name="Heading 3 18" xfId="795"/>
    <cellStyle name="Heading 3 19" xfId="796"/>
    <cellStyle name="Heading 3 2" xfId="797"/>
    <cellStyle name="Heading 3 20" xfId="798"/>
    <cellStyle name="Heading 3 21" xfId="799"/>
    <cellStyle name="Heading 3 3" xfId="800"/>
    <cellStyle name="Heading 3 4" xfId="801"/>
    <cellStyle name="Heading 3 5" xfId="802"/>
    <cellStyle name="Heading 3 6" xfId="803"/>
    <cellStyle name="Heading 3 7" xfId="804"/>
    <cellStyle name="Heading 3 8" xfId="805"/>
    <cellStyle name="Heading 3 9" xfId="806"/>
    <cellStyle name="Heading 4" xfId="807" builtinId="19" customBuiltin="1"/>
    <cellStyle name="Heading 4 10" xfId="808"/>
    <cellStyle name="Heading 4 11" xfId="809"/>
    <cellStyle name="Heading 4 12" xfId="810"/>
    <cellStyle name="Heading 4 13" xfId="811"/>
    <cellStyle name="Heading 4 14" xfId="812"/>
    <cellStyle name="Heading 4 15" xfId="813"/>
    <cellStyle name="Heading 4 16" xfId="814"/>
    <cellStyle name="Heading 4 17" xfId="815"/>
    <cellStyle name="Heading 4 18" xfId="816"/>
    <cellStyle name="Heading 4 19" xfId="817"/>
    <cellStyle name="Heading 4 2" xfId="818"/>
    <cellStyle name="Heading 4 20" xfId="819"/>
    <cellStyle name="Heading 4 21" xfId="820"/>
    <cellStyle name="Heading 4 3" xfId="821"/>
    <cellStyle name="Heading 4 4" xfId="822"/>
    <cellStyle name="Heading 4 5" xfId="823"/>
    <cellStyle name="Heading 4 6" xfId="824"/>
    <cellStyle name="Heading 4 7" xfId="825"/>
    <cellStyle name="Heading 4 8" xfId="826"/>
    <cellStyle name="Heading 4 9" xfId="827"/>
    <cellStyle name="Heading1" xfId="828"/>
    <cellStyle name="Heading2" xfId="829"/>
    <cellStyle name="HIGHLIGHT" xfId="830"/>
    <cellStyle name="Hyperlink" xfId="1506" builtinId="8"/>
    <cellStyle name="Input" xfId="831" builtinId="20" customBuiltin="1"/>
    <cellStyle name="Input [yellow]" xfId="832"/>
    <cellStyle name="Input 10" xfId="833"/>
    <cellStyle name="Input 11" xfId="834"/>
    <cellStyle name="Input 12" xfId="835"/>
    <cellStyle name="Input 13" xfId="836"/>
    <cellStyle name="Input 14" xfId="837"/>
    <cellStyle name="Input 15" xfId="838"/>
    <cellStyle name="Input 16" xfId="839"/>
    <cellStyle name="Input 17" xfId="840"/>
    <cellStyle name="Input 18" xfId="841"/>
    <cellStyle name="Input 19" xfId="842"/>
    <cellStyle name="Input 2" xfId="843"/>
    <cellStyle name="Input 20" xfId="844"/>
    <cellStyle name="Input 21" xfId="845"/>
    <cellStyle name="Input 3" xfId="846"/>
    <cellStyle name="Input 4" xfId="847"/>
    <cellStyle name="Input 5" xfId="848"/>
    <cellStyle name="Input 6" xfId="849"/>
    <cellStyle name="Input 7" xfId="850"/>
    <cellStyle name="Input 8" xfId="851"/>
    <cellStyle name="Input 9" xfId="852"/>
    <cellStyle name="Linked Cell" xfId="853" builtinId="24" customBuiltin="1"/>
    <cellStyle name="Linked Cell 10" xfId="854"/>
    <cellStyle name="Linked Cell 11" xfId="855"/>
    <cellStyle name="Linked Cell 12" xfId="856"/>
    <cellStyle name="Linked Cell 13" xfId="857"/>
    <cellStyle name="Linked Cell 14" xfId="858"/>
    <cellStyle name="Linked Cell 15" xfId="859"/>
    <cellStyle name="Linked Cell 16" xfId="860"/>
    <cellStyle name="Linked Cell 17" xfId="861"/>
    <cellStyle name="Linked Cell 18" xfId="862"/>
    <cellStyle name="Linked Cell 19" xfId="863"/>
    <cellStyle name="Linked Cell 2" xfId="864"/>
    <cellStyle name="Linked Cell 20" xfId="865"/>
    <cellStyle name="Linked Cell 21" xfId="866"/>
    <cellStyle name="Linked Cell 3" xfId="867"/>
    <cellStyle name="Linked Cell 4" xfId="868"/>
    <cellStyle name="Linked Cell 5" xfId="869"/>
    <cellStyle name="Linked Cell 6" xfId="870"/>
    <cellStyle name="Linked Cell 7" xfId="871"/>
    <cellStyle name="Linked Cell 8" xfId="872"/>
    <cellStyle name="Linked Cell 9" xfId="873"/>
    <cellStyle name="n" xfId="874"/>
    <cellStyle name="n_2009 FF1 FPL Transmission Formula Draft(with source documents)04202010" xfId="875"/>
    <cellStyle name="n_2009 FPL Transmission Formula (03182010)" xfId="876"/>
    <cellStyle name="n_2010_TR_Denominator_Data_March_11_2010 (2)" xfId="877"/>
    <cellStyle name="n_Accum Depr  Depr Exp (Updated)" xfId="878"/>
    <cellStyle name="n_FERC Inputs - 2009 - Don Moss" xfId="879"/>
    <cellStyle name="n_FERC Inputs - 2009 - Don Moss (3)" xfId="880"/>
    <cellStyle name="n_Forecasting Input Requirements w Templates" xfId="881"/>
    <cellStyle name="n_FPL Transmission Formula (2009ff1data)" xfId="882"/>
    <cellStyle name="n_FPL Transmission Formula 01122009(pm)" xfId="883"/>
    <cellStyle name="n_FPL Transmission Formula 01142009" xfId="884"/>
    <cellStyle name="n_FPL Transmission Formula 03182010" xfId="885"/>
    <cellStyle name="n_Reg Accounting Inputs w Templates (2009info)" xfId="886"/>
    <cellStyle name="Neutral" xfId="887" builtinId="28" customBuiltin="1"/>
    <cellStyle name="Neutral 10" xfId="888"/>
    <cellStyle name="Neutral 11" xfId="889"/>
    <cellStyle name="Neutral 12" xfId="890"/>
    <cellStyle name="Neutral 13" xfId="891"/>
    <cellStyle name="Neutral 14" xfId="892"/>
    <cellStyle name="Neutral 15" xfId="893"/>
    <cellStyle name="Neutral 16" xfId="894"/>
    <cellStyle name="Neutral 17" xfId="895"/>
    <cellStyle name="Neutral 18" xfId="896"/>
    <cellStyle name="Neutral 19" xfId="897"/>
    <cellStyle name="Neutral 2" xfId="898"/>
    <cellStyle name="Neutral 20" xfId="899"/>
    <cellStyle name="Neutral 21" xfId="900"/>
    <cellStyle name="Neutral 3" xfId="901"/>
    <cellStyle name="Neutral 4" xfId="902"/>
    <cellStyle name="Neutral 5" xfId="903"/>
    <cellStyle name="Neutral 6" xfId="904"/>
    <cellStyle name="Neutral 7" xfId="905"/>
    <cellStyle name="Neutral 8" xfId="906"/>
    <cellStyle name="Neutral 9" xfId="907"/>
    <cellStyle name="no dec" xfId="908"/>
    <cellStyle name="Normal" xfId="0" builtinId="0"/>
    <cellStyle name="Normal - Style1" xfId="909"/>
    <cellStyle name="Normal 10" xfId="910"/>
    <cellStyle name="Normal 100" xfId="911"/>
    <cellStyle name="Normal 101" xfId="912"/>
    <cellStyle name="Normal 102" xfId="913"/>
    <cellStyle name="Normal 103" xfId="914"/>
    <cellStyle name="Normal 104" xfId="915"/>
    <cellStyle name="Normal 105" xfId="916"/>
    <cellStyle name="Normal 106" xfId="917"/>
    <cellStyle name="Normal 107" xfId="918"/>
    <cellStyle name="Normal 108" xfId="919"/>
    <cellStyle name="Normal 109" xfId="920"/>
    <cellStyle name="Normal 11" xfId="921"/>
    <cellStyle name="Normal 110" xfId="922"/>
    <cellStyle name="Normal 111" xfId="923"/>
    <cellStyle name="Normal 112" xfId="924"/>
    <cellStyle name="Normal 113" xfId="925"/>
    <cellStyle name="Normal 114" xfId="926"/>
    <cellStyle name="Normal 115" xfId="927"/>
    <cellStyle name="Normal 116" xfId="928"/>
    <cellStyle name="Normal 117" xfId="929"/>
    <cellStyle name="Normal 118" xfId="930"/>
    <cellStyle name="Normal 119" xfId="931"/>
    <cellStyle name="Normal 12" xfId="932"/>
    <cellStyle name="Normal 120" xfId="933"/>
    <cellStyle name="Normal 121" xfId="934"/>
    <cellStyle name="Normal 122" xfId="935"/>
    <cellStyle name="Normal 123" xfId="936"/>
    <cellStyle name="Normal 124" xfId="937"/>
    <cellStyle name="Normal 125" xfId="938"/>
    <cellStyle name="Normal 126" xfId="939"/>
    <cellStyle name="Normal 127" xfId="940"/>
    <cellStyle name="Normal 128" xfId="941"/>
    <cellStyle name="Normal 129" xfId="942"/>
    <cellStyle name="Normal 13" xfId="943"/>
    <cellStyle name="Normal 130" xfId="944"/>
    <cellStyle name="Normal 131" xfId="1505"/>
    <cellStyle name="Normal 132" xfId="1509"/>
    <cellStyle name="Normal 132 2" xfId="1513"/>
    <cellStyle name="Normal 14" xfId="945"/>
    <cellStyle name="Normal 15" xfId="946"/>
    <cellStyle name="Normal 16" xfId="947"/>
    <cellStyle name="Normal 17" xfId="948"/>
    <cellStyle name="Normal 18" xfId="949"/>
    <cellStyle name="Normal 19" xfId="950"/>
    <cellStyle name="Normal 2" xfId="951"/>
    <cellStyle name="Normal 2 10" xfId="952"/>
    <cellStyle name="Normal 2 100" xfId="953"/>
    <cellStyle name="Normal 2 101" xfId="954"/>
    <cellStyle name="Normal 2 102" xfId="955"/>
    <cellStyle name="Normal 2 103" xfId="956"/>
    <cellStyle name="Normal 2 104" xfId="957"/>
    <cellStyle name="Normal 2 105" xfId="958"/>
    <cellStyle name="Normal 2 106" xfId="959"/>
    <cellStyle name="Normal 2 107" xfId="960"/>
    <cellStyle name="Normal 2 108" xfId="961"/>
    <cellStyle name="Normal 2 109" xfId="962"/>
    <cellStyle name="Normal 2 11" xfId="963"/>
    <cellStyle name="Normal 2 110" xfId="964"/>
    <cellStyle name="Normal 2 111" xfId="965"/>
    <cellStyle name="Normal 2 112" xfId="966"/>
    <cellStyle name="Normal 2 113" xfId="967"/>
    <cellStyle name="Normal 2 114" xfId="968"/>
    <cellStyle name="Normal 2 115" xfId="969"/>
    <cellStyle name="Normal 2 116" xfId="970"/>
    <cellStyle name="Normal 2 117" xfId="971"/>
    <cellStyle name="Normal 2 118" xfId="972"/>
    <cellStyle name="Normal 2 119" xfId="973"/>
    <cellStyle name="Normal 2 12" xfId="974"/>
    <cellStyle name="Normal 2 120" xfId="975"/>
    <cellStyle name="Normal 2 121" xfId="976"/>
    <cellStyle name="Normal 2 122" xfId="977"/>
    <cellStyle name="Normal 2 123" xfId="978"/>
    <cellStyle name="Normal 2 124" xfId="979"/>
    <cellStyle name="Normal 2 125" xfId="980"/>
    <cellStyle name="Normal 2 126" xfId="981"/>
    <cellStyle name="Normal 2 127" xfId="982"/>
    <cellStyle name="Normal 2 128" xfId="983"/>
    <cellStyle name="Normal 2 129" xfId="984"/>
    <cellStyle name="Normal 2 13" xfId="985"/>
    <cellStyle name="Normal 2 130" xfId="986"/>
    <cellStyle name="Normal 2 131" xfId="1508"/>
    <cellStyle name="Normal 2 14" xfId="987"/>
    <cellStyle name="Normal 2 15" xfId="988"/>
    <cellStyle name="Normal 2 16" xfId="989"/>
    <cellStyle name="Normal 2 17" xfId="990"/>
    <cellStyle name="Normal 2 18" xfId="991"/>
    <cellStyle name="Normal 2 19" xfId="992"/>
    <cellStyle name="Normal 2 2" xfId="993"/>
    <cellStyle name="Normal 2 2 10" xfId="994"/>
    <cellStyle name="Normal 2 2 11" xfId="995"/>
    <cellStyle name="Normal 2 2 12" xfId="996"/>
    <cellStyle name="Normal 2 2 13" xfId="997"/>
    <cellStyle name="Normal 2 2 2" xfId="998"/>
    <cellStyle name="Normal 2 2 2 10" xfId="999"/>
    <cellStyle name="Normal 2 2 2 11" xfId="1000"/>
    <cellStyle name="Normal 2 2 2 12" xfId="1001"/>
    <cellStyle name="Normal 2 2 2 13" xfId="1002"/>
    <cellStyle name="Normal 2 2 2 2" xfId="1003"/>
    <cellStyle name="Normal 2 2 2 3" xfId="1004"/>
    <cellStyle name="Normal 2 2 2 4" xfId="1005"/>
    <cellStyle name="Normal 2 2 2 5" xfId="1006"/>
    <cellStyle name="Normal 2 2 2 6" xfId="1007"/>
    <cellStyle name="Normal 2 2 2 7" xfId="1008"/>
    <cellStyle name="Normal 2 2 2 8" xfId="1009"/>
    <cellStyle name="Normal 2 2 2 9" xfId="1010"/>
    <cellStyle name="Normal 2 2 2_AFUDC WO depr calc (3)" xfId="1011"/>
    <cellStyle name="Normal 2 2 3" xfId="1012"/>
    <cellStyle name="Normal 2 2 4" xfId="1013"/>
    <cellStyle name="Normal 2 2 5" xfId="1014"/>
    <cellStyle name="Normal 2 2 6" xfId="1015"/>
    <cellStyle name="Normal 2 2 7" xfId="1016"/>
    <cellStyle name="Normal 2 2 8" xfId="1017"/>
    <cellStyle name="Normal 2 2 9" xfId="1018"/>
    <cellStyle name="Normal 2 20" xfId="1019"/>
    <cellStyle name="Normal 2 21" xfId="1020"/>
    <cellStyle name="Normal 2 22" xfId="1021"/>
    <cellStyle name="Normal 2 23" xfId="1022"/>
    <cellStyle name="Normal 2 24" xfId="1023"/>
    <cellStyle name="Normal 2 25" xfId="1024"/>
    <cellStyle name="Normal 2 26" xfId="1025"/>
    <cellStyle name="Normal 2 27" xfId="1026"/>
    <cellStyle name="Normal 2 28" xfId="1027"/>
    <cellStyle name="Normal 2 29" xfId="1028"/>
    <cellStyle name="Normal 2 3" xfId="1029"/>
    <cellStyle name="Normal 2 30" xfId="1030"/>
    <cellStyle name="Normal 2 31" xfId="1031"/>
    <cellStyle name="Normal 2 32" xfId="1032"/>
    <cellStyle name="Normal 2 33" xfId="1033"/>
    <cellStyle name="Normal 2 34" xfId="1034"/>
    <cellStyle name="Normal 2 35" xfId="1035"/>
    <cellStyle name="Normal 2 36" xfId="1036"/>
    <cellStyle name="Normal 2 37" xfId="1037"/>
    <cellStyle name="Normal 2 38" xfId="1038"/>
    <cellStyle name="Normal 2 39" xfId="1039"/>
    <cellStyle name="Normal 2 4" xfId="1040"/>
    <cellStyle name="Normal 2 40" xfId="1041"/>
    <cellStyle name="Normal 2 41" xfId="1042"/>
    <cellStyle name="Normal 2 42" xfId="1043"/>
    <cellStyle name="Normal 2 43" xfId="1044"/>
    <cellStyle name="Normal 2 44" xfId="1045"/>
    <cellStyle name="Normal 2 45" xfId="1046"/>
    <cellStyle name="Normal 2 46" xfId="1047"/>
    <cellStyle name="Normal 2 47" xfId="1048"/>
    <cellStyle name="Normal 2 48" xfId="1049"/>
    <cellStyle name="Normal 2 49" xfId="1050"/>
    <cellStyle name="Normal 2 5" xfId="1051"/>
    <cellStyle name="Normal 2 50" xfId="1052"/>
    <cellStyle name="Normal 2 51" xfId="1053"/>
    <cellStyle name="Normal 2 52" xfId="1054"/>
    <cellStyle name="Normal 2 53" xfId="1055"/>
    <cellStyle name="Normal 2 54" xfId="1056"/>
    <cellStyle name="Normal 2 55" xfId="1057"/>
    <cellStyle name="Normal 2 56" xfId="1058"/>
    <cellStyle name="Normal 2 57" xfId="1059"/>
    <cellStyle name="Normal 2 58" xfId="1060"/>
    <cellStyle name="Normal 2 59" xfId="1061"/>
    <cellStyle name="Normal 2 6" xfId="1062"/>
    <cellStyle name="Normal 2 60" xfId="1063"/>
    <cellStyle name="Normal 2 61" xfId="1064"/>
    <cellStyle name="Normal 2 62" xfId="1065"/>
    <cellStyle name="Normal 2 63" xfId="1066"/>
    <cellStyle name="Normal 2 64" xfId="1067"/>
    <cellStyle name="Normal 2 65" xfId="1068"/>
    <cellStyle name="Normal 2 66" xfId="1069"/>
    <cellStyle name="Normal 2 67" xfId="1070"/>
    <cellStyle name="Normal 2 68" xfId="1071"/>
    <cellStyle name="Normal 2 69" xfId="1072"/>
    <cellStyle name="Normal 2 7" xfId="1073"/>
    <cellStyle name="Normal 2 70" xfId="1074"/>
    <cellStyle name="Normal 2 71" xfId="1075"/>
    <cellStyle name="Normal 2 72" xfId="1076"/>
    <cellStyle name="Normal 2 73" xfId="1077"/>
    <cellStyle name="Normal 2 74" xfId="1078"/>
    <cellStyle name="Normal 2 75" xfId="1079"/>
    <cellStyle name="Normal 2 76" xfId="1080"/>
    <cellStyle name="Normal 2 77" xfId="1081"/>
    <cellStyle name="Normal 2 78" xfId="1082"/>
    <cellStyle name="Normal 2 79" xfId="1083"/>
    <cellStyle name="Normal 2 8" xfId="1084"/>
    <cellStyle name="Normal 2 80" xfId="1085"/>
    <cellStyle name="Normal 2 81" xfId="1086"/>
    <cellStyle name="Normal 2 82" xfId="1087"/>
    <cellStyle name="Normal 2 83" xfId="1088"/>
    <cellStyle name="Normal 2 84" xfId="1089"/>
    <cellStyle name="Normal 2 85" xfId="1090"/>
    <cellStyle name="Normal 2 86" xfId="1091"/>
    <cellStyle name="Normal 2 87" xfId="1092"/>
    <cellStyle name="Normal 2 88" xfId="1093"/>
    <cellStyle name="Normal 2 89" xfId="1094"/>
    <cellStyle name="Normal 2 9" xfId="1095"/>
    <cellStyle name="Normal 2 90" xfId="1096"/>
    <cellStyle name="Normal 2 91" xfId="1097"/>
    <cellStyle name="Normal 2 92" xfId="1098"/>
    <cellStyle name="Normal 2 93" xfId="1099"/>
    <cellStyle name="Normal 2 94" xfId="1100"/>
    <cellStyle name="Normal 2 95" xfId="1101"/>
    <cellStyle name="Normal 2 96" xfId="1102"/>
    <cellStyle name="Normal 2 97" xfId="1103"/>
    <cellStyle name="Normal 2 98" xfId="1104"/>
    <cellStyle name="Normal 2 99" xfId="1105"/>
    <cellStyle name="Normal 2_AFUDC WO depr calc without Dec 07 wo DG" xfId="1106"/>
    <cellStyle name="Normal 20" xfId="1107"/>
    <cellStyle name="Normal 21" xfId="1108"/>
    <cellStyle name="Normal 22" xfId="1109"/>
    <cellStyle name="Normal 23" xfId="1110"/>
    <cellStyle name="Normal 24" xfId="1111"/>
    <cellStyle name="Normal 25" xfId="1112"/>
    <cellStyle name="Normal 26" xfId="1113"/>
    <cellStyle name="Normal 27" xfId="1114"/>
    <cellStyle name="Normal 28" xfId="1115"/>
    <cellStyle name="Normal 29" xfId="1116"/>
    <cellStyle name="Normal 3" xfId="1117"/>
    <cellStyle name="Normal 30" xfId="1118"/>
    <cellStyle name="Normal 31" xfId="1119"/>
    <cellStyle name="Normal 32" xfId="1120"/>
    <cellStyle name="Normal 33" xfId="1121"/>
    <cellStyle name="Normal 34" xfId="1122"/>
    <cellStyle name="Normal 35" xfId="1123"/>
    <cellStyle name="Normal 36" xfId="1124"/>
    <cellStyle name="Normal 37" xfId="1125"/>
    <cellStyle name="Normal 38" xfId="1126"/>
    <cellStyle name="Normal 39" xfId="1127"/>
    <cellStyle name="Normal 4" xfId="1128"/>
    <cellStyle name="Normal 40" xfId="1129"/>
    <cellStyle name="Normal 41" xfId="1130"/>
    <cellStyle name="Normal 42" xfId="1131"/>
    <cellStyle name="Normal 43" xfId="1132"/>
    <cellStyle name="Normal 44" xfId="1133"/>
    <cellStyle name="Normal 45" xfId="1134"/>
    <cellStyle name="Normal 46" xfId="1135"/>
    <cellStyle name="Normal 47" xfId="1136"/>
    <cellStyle name="Normal 48" xfId="1137"/>
    <cellStyle name="Normal 49" xfId="1138"/>
    <cellStyle name="Normal 5" xfId="1139"/>
    <cellStyle name="Normal 50" xfId="1140"/>
    <cellStyle name="Normal 51" xfId="1141"/>
    <cellStyle name="Normal 52" xfId="1142"/>
    <cellStyle name="Normal 53" xfId="1143"/>
    <cellStyle name="Normal 54" xfId="1144"/>
    <cellStyle name="Normal 55" xfId="1145"/>
    <cellStyle name="Normal 56" xfId="1146"/>
    <cellStyle name="Normal 57" xfId="1147"/>
    <cellStyle name="Normal 58" xfId="1148"/>
    <cellStyle name="Normal 59" xfId="1149"/>
    <cellStyle name="Normal 6" xfId="1150"/>
    <cellStyle name="Normal 60" xfId="1151"/>
    <cellStyle name="Normal 61" xfId="1152"/>
    <cellStyle name="Normal 62" xfId="1153"/>
    <cellStyle name="Normal 63" xfId="1154"/>
    <cellStyle name="Normal 64" xfId="1155"/>
    <cellStyle name="Normal 65" xfId="1156"/>
    <cellStyle name="Normal 66" xfId="1157"/>
    <cellStyle name="Normal 67" xfId="1158"/>
    <cellStyle name="Normal 68" xfId="1159"/>
    <cellStyle name="Normal 69" xfId="1160"/>
    <cellStyle name="Normal 7" xfId="1161"/>
    <cellStyle name="Normal 70" xfId="1162"/>
    <cellStyle name="Normal 71" xfId="1163"/>
    <cellStyle name="Normal 72" xfId="1164"/>
    <cellStyle name="Normal 73" xfId="1165"/>
    <cellStyle name="Normal 74" xfId="1166"/>
    <cellStyle name="Normal 75" xfId="1167"/>
    <cellStyle name="Normal 76" xfId="1168"/>
    <cellStyle name="Normal 77" xfId="1169"/>
    <cellStyle name="Normal 78" xfId="1170"/>
    <cellStyle name="Normal 79" xfId="1171"/>
    <cellStyle name="Normal 8" xfId="1172"/>
    <cellStyle name="Normal 80" xfId="1173"/>
    <cellStyle name="Normal 81" xfId="1174"/>
    <cellStyle name="Normal 82" xfId="1175"/>
    <cellStyle name="Normal 83" xfId="1176"/>
    <cellStyle name="Normal 84" xfId="1177"/>
    <cellStyle name="Normal 85" xfId="1178"/>
    <cellStyle name="Normal 86" xfId="1179"/>
    <cellStyle name="Normal 87" xfId="1180"/>
    <cellStyle name="Normal 88" xfId="1181"/>
    <cellStyle name="Normal 89" xfId="1182"/>
    <cellStyle name="Normal 9" xfId="1183"/>
    <cellStyle name="Normal 90" xfId="1184"/>
    <cellStyle name="Normal 91" xfId="1185"/>
    <cellStyle name="Normal 92" xfId="1186"/>
    <cellStyle name="Normal 93" xfId="1187"/>
    <cellStyle name="Normal 94" xfId="1188"/>
    <cellStyle name="Normal 95" xfId="1189"/>
    <cellStyle name="Normal 96" xfId="1190"/>
    <cellStyle name="Normal 97" xfId="1191"/>
    <cellStyle name="Normal 98" xfId="1192"/>
    <cellStyle name="Normal 99" xfId="1193"/>
    <cellStyle name="Normal_Final_Forecast_Network_Transmission" xfId="1194"/>
    <cellStyle name="Normal_Forecast LT Trns Rev 2008-2013rev 9-08" xfId="1507"/>
    <cellStyle name="Normal_LCEC_TRANSMISSION_CHARGE_2010_2015" xfId="1195"/>
    <cellStyle name="Normal_STFXNF" xfId="1196"/>
    <cellStyle name="Normal_UPDATED_FMPA_Network_Transmission" xfId="1197"/>
    <cellStyle name="Note" xfId="1198" builtinId="10" customBuiltin="1"/>
    <cellStyle name="Note 10" xfId="1199"/>
    <cellStyle name="Note 11" xfId="1200"/>
    <cellStyle name="Note 12" xfId="1201"/>
    <cellStyle name="Note 13" xfId="1202"/>
    <cellStyle name="Note 14" xfId="1203"/>
    <cellStyle name="Note 15" xfId="1204"/>
    <cellStyle name="Note 16" xfId="1205"/>
    <cellStyle name="Note 17" xfId="1206"/>
    <cellStyle name="Note 18" xfId="1207"/>
    <cellStyle name="Note 19" xfId="1208"/>
    <cellStyle name="Note 2" xfId="1209"/>
    <cellStyle name="Note 20" xfId="1210"/>
    <cellStyle name="Note 21" xfId="1211"/>
    <cellStyle name="Note 3" xfId="1212"/>
    <cellStyle name="Note 4" xfId="1213"/>
    <cellStyle name="Note 5" xfId="1214"/>
    <cellStyle name="Note 6" xfId="1215"/>
    <cellStyle name="Note 7" xfId="1216"/>
    <cellStyle name="Note 8" xfId="1217"/>
    <cellStyle name="Note 9" xfId="1218"/>
    <cellStyle name="nozero" xfId="1219"/>
    <cellStyle name="NUMBER" xfId="1220"/>
    <cellStyle name="Output" xfId="1221" builtinId="21" customBuiltin="1"/>
    <cellStyle name="Output 10" xfId="1222"/>
    <cellStyle name="Output 11" xfId="1223"/>
    <cellStyle name="Output 12" xfId="1224"/>
    <cellStyle name="Output 13" xfId="1225"/>
    <cellStyle name="Output 14" xfId="1226"/>
    <cellStyle name="Output 15" xfId="1227"/>
    <cellStyle name="Output 16" xfId="1228"/>
    <cellStyle name="Output 17" xfId="1229"/>
    <cellStyle name="Output 18" xfId="1230"/>
    <cellStyle name="Output 19" xfId="1231"/>
    <cellStyle name="Output 2" xfId="1232"/>
    <cellStyle name="Output 20" xfId="1233"/>
    <cellStyle name="Output 21" xfId="1234"/>
    <cellStyle name="Output 3" xfId="1235"/>
    <cellStyle name="Output 4" xfId="1236"/>
    <cellStyle name="Output 5" xfId="1237"/>
    <cellStyle name="Output 6" xfId="1238"/>
    <cellStyle name="Output 7" xfId="1239"/>
    <cellStyle name="Output 8" xfId="1240"/>
    <cellStyle name="Output 9" xfId="1241"/>
    <cellStyle name="Percent" xfId="1242" builtinId="5"/>
    <cellStyle name="Percent [2]" xfId="1243"/>
    <cellStyle name="Percent 10" xfId="1244"/>
    <cellStyle name="Percent 100" xfId="1245"/>
    <cellStyle name="Percent 101" xfId="1246"/>
    <cellStyle name="Percent 102" xfId="1247"/>
    <cellStyle name="Percent 103" xfId="1248"/>
    <cellStyle name="Percent 104" xfId="1249"/>
    <cellStyle name="Percent 105" xfId="1250"/>
    <cellStyle name="Percent 106" xfId="1251"/>
    <cellStyle name="Percent 107" xfId="1252"/>
    <cellStyle name="Percent 108" xfId="1253"/>
    <cellStyle name="Percent 109" xfId="1254"/>
    <cellStyle name="Percent 11" xfId="1255"/>
    <cellStyle name="Percent 110" xfId="1256"/>
    <cellStyle name="Percent 111" xfId="1257"/>
    <cellStyle name="Percent 112" xfId="1258"/>
    <cellStyle name="Percent 113" xfId="1259"/>
    <cellStyle name="Percent 114" xfId="1260"/>
    <cellStyle name="Percent 115" xfId="1261"/>
    <cellStyle name="Percent 116" xfId="1262"/>
    <cellStyle name="Percent 117" xfId="1263"/>
    <cellStyle name="Percent 118" xfId="1264"/>
    <cellStyle name="Percent 119" xfId="1265"/>
    <cellStyle name="Percent 12" xfId="1266"/>
    <cellStyle name="Percent 120" xfId="1267"/>
    <cellStyle name="Percent 121" xfId="1268"/>
    <cellStyle name="Percent 122" xfId="1269"/>
    <cellStyle name="Percent 123" xfId="1270"/>
    <cellStyle name="Percent 124" xfId="1271"/>
    <cellStyle name="Percent 125" xfId="1272"/>
    <cellStyle name="Percent 126" xfId="1273"/>
    <cellStyle name="Percent 127" xfId="1274"/>
    <cellStyle name="Percent 128" xfId="1275"/>
    <cellStyle name="Percent 129" xfId="1276"/>
    <cellStyle name="Percent 13" xfId="1277"/>
    <cellStyle name="Percent 130" xfId="1278"/>
    <cellStyle name="Percent 14" xfId="1279"/>
    <cellStyle name="Percent 15" xfId="1280"/>
    <cellStyle name="Percent 16" xfId="1281"/>
    <cellStyle name="Percent 17" xfId="1282"/>
    <cellStyle name="Percent 18" xfId="1283"/>
    <cellStyle name="Percent 19" xfId="1284"/>
    <cellStyle name="Percent 2" xfId="1285"/>
    <cellStyle name="Percent 2 10" xfId="1286"/>
    <cellStyle name="Percent 2 11" xfId="1287"/>
    <cellStyle name="Percent 2 12" xfId="1288"/>
    <cellStyle name="Percent 2 13" xfId="1289"/>
    <cellStyle name="Percent 2 2" xfId="1290"/>
    <cellStyle name="Percent 2 3" xfId="1291"/>
    <cellStyle name="Percent 2 4" xfId="1292"/>
    <cellStyle name="Percent 2 5" xfId="1293"/>
    <cellStyle name="Percent 2 6" xfId="1294"/>
    <cellStyle name="Percent 2 7" xfId="1295"/>
    <cellStyle name="Percent 2 8" xfId="1296"/>
    <cellStyle name="Percent 2 9" xfId="1297"/>
    <cellStyle name="Percent 20" xfId="1298"/>
    <cellStyle name="Percent 21" xfId="1299"/>
    <cellStyle name="Percent 22" xfId="1300"/>
    <cellStyle name="Percent 23" xfId="1301"/>
    <cellStyle name="Percent 24" xfId="1302"/>
    <cellStyle name="Percent 25" xfId="1303"/>
    <cellStyle name="Percent 26" xfId="1304"/>
    <cellStyle name="Percent 27" xfId="1305"/>
    <cellStyle name="Percent 28" xfId="1306"/>
    <cellStyle name="Percent 29" xfId="1307"/>
    <cellStyle name="Percent 3" xfId="1308"/>
    <cellStyle name="Percent 30" xfId="1309"/>
    <cellStyle name="Percent 31" xfId="1310"/>
    <cellStyle name="Percent 32" xfId="1311"/>
    <cellStyle name="Percent 33" xfId="1312"/>
    <cellStyle name="Percent 34" xfId="1313"/>
    <cellStyle name="Percent 35" xfId="1314"/>
    <cellStyle name="Percent 36" xfId="1315"/>
    <cellStyle name="Percent 37" xfId="1316"/>
    <cellStyle name="Percent 38" xfId="1317"/>
    <cellStyle name="Percent 39" xfId="1318"/>
    <cellStyle name="Percent 4" xfId="1319"/>
    <cellStyle name="Percent 40" xfId="1320"/>
    <cellStyle name="Percent 41" xfId="1321"/>
    <cellStyle name="Percent 42" xfId="1322"/>
    <cellStyle name="Percent 43" xfId="1323"/>
    <cellStyle name="Percent 44" xfId="1324"/>
    <cellStyle name="Percent 45" xfId="1325"/>
    <cellStyle name="Percent 46" xfId="1326"/>
    <cellStyle name="Percent 47" xfId="1327"/>
    <cellStyle name="Percent 48" xfId="1328"/>
    <cellStyle name="Percent 49" xfId="1329"/>
    <cellStyle name="Percent 5" xfId="1330"/>
    <cellStyle name="Percent 50" xfId="1331"/>
    <cellStyle name="Percent 51" xfId="1332"/>
    <cellStyle name="Percent 52" xfId="1333"/>
    <cellStyle name="Percent 53" xfId="1334"/>
    <cellStyle name="Percent 54" xfId="1335"/>
    <cellStyle name="Percent 55" xfId="1336"/>
    <cellStyle name="Percent 56" xfId="1337"/>
    <cellStyle name="Percent 57" xfId="1338"/>
    <cellStyle name="Percent 58" xfId="1339"/>
    <cellStyle name="Percent 59" xfId="1340"/>
    <cellStyle name="Percent 6" xfId="1341"/>
    <cellStyle name="Percent 60" xfId="1342"/>
    <cellStyle name="Percent 61" xfId="1343"/>
    <cellStyle name="Percent 62" xfId="1344"/>
    <cellStyle name="Percent 63" xfId="1345"/>
    <cellStyle name="Percent 64" xfId="1346"/>
    <cellStyle name="Percent 65" xfId="1347"/>
    <cellStyle name="Percent 66" xfId="1348"/>
    <cellStyle name="Percent 67" xfId="1349"/>
    <cellStyle name="Percent 68" xfId="1350"/>
    <cellStyle name="Percent 69" xfId="1351"/>
    <cellStyle name="Percent 7" xfId="1352"/>
    <cellStyle name="Percent 70" xfId="1353"/>
    <cellStyle name="Percent 71" xfId="1354"/>
    <cellStyle name="Percent 72" xfId="1355"/>
    <cellStyle name="Percent 73" xfId="1356"/>
    <cellStyle name="Percent 74" xfId="1357"/>
    <cellStyle name="Percent 75" xfId="1358"/>
    <cellStyle name="Percent 76" xfId="1359"/>
    <cellStyle name="Percent 77" xfId="1360"/>
    <cellStyle name="Percent 78" xfId="1361"/>
    <cellStyle name="Percent 79" xfId="1362"/>
    <cellStyle name="Percent 8" xfId="1363"/>
    <cellStyle name="Percent 80" xfId="1364"/>
    <cellStyle name="Percent 81" xfId="1365"/>
    <cellStyle name="Percent 82" xfId="1366"/>
    <cellStyle name="Percent 83" xfId="1367"/>
    <cellStyle name="Percent 84" xfId="1368"/>
    <cellStyle name="Percent 85" xfId="1369"/>
    <cellStyle name="Percent 86" xfId="1370"/>
    <cellStyle name="Percent 87" xfId="1371"/>
    <cellStyle name="Percent 88" xfId="1372"/>
    <cellStyle name="Percent 89" xfId="1373"/>
    <cellStyle name="Percent 9" xfId="1374"/>
    <cellStyle name="Percent 90" xfId="1375"/>
    <cellStyle name="Percent 91" xfId="1376"/>
    <cellStyle name="Percent 92" xfId="1377"/>
    <cellStyle name="Percent 93" xfId="1378"/>
    <cellStyle name="Percent 94" xfId="1379"/>
    <cellStyle name="Percent 95" xfId="1380"/>
    <cellStyle name="Percent 96" xfId="1381"/>
    <cellStyle name="Percent 97" xfId="1382"/>
    <cellStyle name="Percent 98" xfId="1383"/>
    <cellStyle name="Percent 99" xfId="1384"/>
    <cellStyle name="PSChar" xfId="1385"/>
    <cellStyle name="PSDate" xfId="1386"/>
    <cellStyle name="PSDec" xfId="1387"/>
    <cellStyle name="PSHeading" xfId="1388"/>
    <cellStyle name="PSInt" xfId="1389"/>
    <cellStyle name="PSSpacer" xfId="1390"/>
    <cellStyle name="RangeBelow" xfId="1391"/>
    <cellStyle name="RevList" xfId="1392"/>
    <cellStyle name="SAPBEXaggData" xfId="1393"/>
    <cellStyle name="SAPBEXaggDataEmph" xfId="1394"/>
    <cellStyle name="SAPBEXaggItem" xfId="1395"/>
    <cellStyle name="SAPBEXaggItemX" xfId="1396"/>
    <cellStyle name="SAPBEXchaText" xfId="1397"/>
    <cellStyle name="SAPBEXexcBad7" xfId="1398"/>
    <cellStyle name="SAPBEXexcBad8" xfId="1399"/>
    <cellStyle name="SAPBEXexcBad9" xfId="1400"/>
    <cellStyle name="SAPBEXexcCritical4" xfId="1401"/>
    <cellStyle name="SAPBEXexcCritical5" xfId="1402"/>
    <cellStyle name="SAPBEXexcCritical6" xfId="1403"/>
    <cellStyle name="SAPBEXexcGood1" xfId="1404"/>
    <cellStyle name="SAPBEXexcGood2" xfId="1405"/>
    <cellStyle name="SAPBEXexcGood3" xfId="1406"/>
    <cellStyle name="SAPBEXfilterDrill" xfId="1407"/>
    <cellStyle name="SAPBEXfilterItem" xfId="1408"/>
    <cellStyle name="SAPBEXfilterText" xfId="1409"/>
    <cellStyle name="SAPBEXformats" xfId="1410"/>
    <cellStyle name="SAPBEXheaderItem" xfId="1411"/>
    <cellStyle name="SAPBEXheaderText" xfId="1412"/>
    <cellStyle name="SAPBEXHLevel0" xfId="1413"/>
    <cellStyle name="SAPBEXHLevel0X" xfId="1414"/>
    <cellStyle name="SAPBEXHLevel1" xfId="1415"/>
    <cellStyle name="SAPBEXHLevel1X" xfId="1416"/>
    <cellStyle name="SAPBEXHLevel2" xfId="1417"/>
    <cellStyle name="SAPBEXHLevel2X" xfId="1418"/>
    <cellStyle name="SAPBEXHLevel3" xfId="1419"/>
    <cellStyle name="SAPBEXHLevel3X" xfId="1420"/>
    <cellStyle name="SAPBEXresData" xfId="1421"/>
    <cellStyle name="SAPBEXresDataEmph" xfId="1422"/>
    <cellStyle name="SAPBEXresItem" xfId="1423"/>
    <cellStyle name="SAPBEXresItemX" xfId="1424"/>
    <cellStyle name="SAPBEXstdData" xfId="1425"/>
    <cellStyle name="SAPBEXstdDataEmph" xfId="1426"/>
    <cellStyle name="SAPBEXstdItem" xfId="1427"/>
    <cellStyle name="SAPBEXstdItemX" xfId="1428"/>
    <cellStyle name="SAPBEXtitle" xfId="1429"/>
    <cellStyle name="SAPBEXundefined" xfId="1430"/>
    <cellStyle name="SECTION" xfId="1431"/>
    <cellStyle name="Style 1" xfId="1432"/>
    <cellStyle name="SubRoutine" xfId="1433"/>
    <cellStyle name="Subtotal" xfId="1434"/>
    <cellStyle name="System Defined" xfId="1435"/>
    <cellStyle name="þ(Î'_x000c_ïþ÷_x000c_âþÖ_x0006__x0002_Þ”_x0013__x0007__x0001__x0001_" xfId="1436"/>
    <cellStyle name="Thousands" xfId="1437"/>
    <cellStyle name="Thousands1" xfId="1438"/>
    <cellStyle name="Title" xfId="1439" builtinId="15" customBuiltin="1"/>
    <cellStyle name="Title 10" xfId="1440"/>
    <cellStyle name="Title 11" xfId="1441"/>
    <cellStyle name="Title 12" xfId="1442"/>
    <cellStyle name="Title 13" xfId="1443"/>
    <cellStyle name="Title 14" xfId="1444"/>
    <cellStyle name="Title 15" xfId="1445"/>
    <cellStyle name="Title 16" xfId="1446"/>
    <cellStyle name="Title 17" xfId="1447"/>
    <cellStyle name="Title 18" xfId="1448"/>
    <cellStyle name="Title 19" xfId="1449"/>
    <cellStyle name="Title 2" xfId="1450"/>
    <cellStyle name="Title 20" xfId="1451"/>
    <cellStyle name="Title 21" xfId="1452"/>
    <cellStyle name="Title 3" xfId="1453"/>
    <cellStyle name="Title 4" xfId="1454"/>
    <cellStyle name="Title 5" xfId="1455"/>
    <cellStyle name="Title 6" xfId="1456"/>
    <cellStyle name="Title 7" xfId="1457"/>
    <cellStyle name="Title 8" xfId="1458"/>
    <cellStyle name="Title 9" xfId="1459"/>
    <cellStyle name="Total" xfId="1460" builtinId="25" customBuiltin="1"/>
    <cellStyle name="Total 10" xfId="1461"/>
    <cellStyle name="Total 11" xfId="1462"/>
    <cellStyle name="Total 12" xfId="1463"/>
    <cellStyle name="Total 13" xfId="1464"/>
    <cellStyle name="Total 14" xfId="1465"/>
    <cellStyle name="Total 15" xfId="1466"/>
    <cellStyle name="Total 16" xfId="1467"/>
    <cellStyle name="Total 17" xfId="1468"/>
    <cellStyle name="Total 18" xfId="1469"/>
    <cellStyle name="Total 19" xfId="1470"/>
    <cellStyle name="Total 2" xfId="1471"/>
    <cellStyle name="Total 20" xfId="1472"/>
    <cellStyle name="Total 21" xfId="1473"/>
    <cellStyle name="Total 3" xfId="1474"/>
    <cellStyle name="Total 4" xfId="1475"/>
    <cellStyle name="Total 5" xfId="1476"/>
    <cellStyle name="Total 6" xfId="1477"/>
    <cellStyle name="Total 7" xfId="1478"/>
    <cellStyle name="Total 8" xfId="1479"/>
    <cellStyle name="Total 9" xfId="1480"/>
    <cellStyle name="Unprot" xfId="1481"/>
    <cellStyle name="Unprot$" xfId="1482"/>
    <cellStyle name="Unprotect" xfId="1483"/>
    <cellStyle name="Warning Text" xfId="1484" builtinId="11" customBuiltin="1"/>
    <cellStyle name="Warning Text 10" xfId="1485"/>
    <cellStyle name="Warning Text 11" xfId="1486"/>
    <cellStyle name="Warning Text 12" xfId="1487"/>
    <cellStyle name="Warning Text 13" xfId="1488"/>
    <cellStyle name="Warning Text 14" xfId="1489"/>
    <cellStyle name="Warning Text 15" xfId="1490"/>
    <cellStyle name="Warning Text 16" xfId="1491"/>
    <cellStyle name="Warning Text 17" xfId="1492"/>
    <cellStyle name="Warning Text 18" xfId="1493"/>
    <cellStyle name="Warning Text 19" xfId="1494"/>
    <cellStyle name="Warning Text 2" xfId="1495"/>
    <cellStyle name="Warning Text 20" xfId="1496"/>
    <cellStyle name="Warning Text 21" xfId="1497"/>
    <cellStyle name="Warning Text 3" xfId="1498"/>
    <cellStyle name="Warning Text 4" xfId="1499"/>
    <cellStyle name="Warning Text 5" xfId="1500"/>
    <cellStyle name="Warning Text 6" xfId="1501"/>
    <cellStyle name="Warning Text 7" xfId="1502"/>
    <cellStyle name="Warning Text 8" xfId="1503"/>
    <cellStyle name="Warning Text 9" xfId="1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1FE5EF"/>
      <color rgb="FFC808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externalLink" Target="externalLinks/externalLink6.xml"/><Relationship Id="rId55" Type="http://schemas.openxmlformats.org/officeDocument/2006/relationships/externalLink" Target="externalLinks/externalLink11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3" Type="http://schemas.openxmlformats.org/officeDocument/2006/relationships/externalLink" Target="externalLinks/externalLink9.xml"/><Relationship Id="rId58" Type="http://schemas.openxmlformats.org/officeDocument/2006/relationships/externalLink" Target="externalLinks/externalLink14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5.xml"/><Relationship Id="rId57" Type="http://schemas.openxmlformats.org/officeDocument/2006/relationships/externalLink" Target="externalLinks/externalLink13.xml"/><Relationship Id="rId61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8.xml"/><Relationship Id="rId60" Type="http://schemas.openxmlformats.org/officeDocument/2006/relationships/externalLink" Target="externalLinks/externalLink1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56" Type="http://schemas.openxmlformats.org/officeDocument/2006/relationships/externalLink" Target="externalLinks/externalLink12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15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0.xml"/><Relationship Id="rId6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9</xdr:col>
      <xdr:colOff>733975</xdr:colOff>
      <xdr:row>40</xdr:row>
      <xdr:rowOff>134553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147" y="4235824"/>
          <a:ext cx="7257143" cy="38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68\VOL6\RATES\WHOLESAL\1997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Inputs%20for%20Rates%20Oct%202015%20Approved%20Forecas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Wholesale%20Forecast_Non_Requirements_Interruptable_Not_Included_In_Forecas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2015-2020_Sales_for_Resale_Work_File%20-Live%20Version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Customer%20Provided%20Forecasts\Vero%20Beach%20Monthly%20Peak%20forecast%202015-2024%20-%20Provided%20by%20Luke%20Whiting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Customer%20Provided%20Forecasts\FMPA%20LR%20-2014%20(filing-10-30-2014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2013%20FPL%20Contract%20Forecast%20KW_12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FORECAST\WHOLESALE\2014-2019\Transmission%20Forecast%20-%20Using%20Rosemary's%20Forecast%20-%20New%20Methodology\SECI%20Provided%2012_2013\2013%20FPL%20Contract%20Forecast%20KW_12-9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Seminole%20Coinc%20Pk%20Load%20by%20Member%202015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REV_RATE\REPORTS\FORECAST\WHOLESAL\07-11\2007-2011_WORK_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Short%20Term%20Firm%20SAP%202015-2020%20Forecast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FORECAST\WHOLESALE\2013-2018%20V2\LT%20Transm%20Forecast%20Assumptions%20rev%2010-13%20from%20Charles%20Knigh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Customer%20Provided%20Forecasts\GTC%20Load%20Forecast%207-9-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D05XG\AppData\Local\Microsoft\Windows\Temporary%20Internet%20Files\Content.Outlook\KSCDJBIM\Customer%20Provided%20Forecasts\Lake%20Worth%20load%20forecast%202016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al Requirements"/>
      <sheetName val="Full Requirements"/>
      <sheetName val="ABPRSA"/>
      <sheetName val="L.T.Contracts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_WN_retail"/>
      <sheetName val="Sales by Class (ST) "/>
      <sheetName val="NEL,SALES,Unbilled ST"/>
      <sheetName val=" NEL,SALES,Unbilled ST Calc"/>
      <sheetName val="Sales(ST)"/>
      <sheetName val="Summary_Billed_Sales"/>
      <sheetName val="Summary_NCP "/>
      <sheetName val="Summary_CP"/>
      <sheetName val="Summary_NEL"/>
      <sheetName val="Summary_Delivered_Sales"/>
      <sheetName val="System Monthly Pea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5">
          <cell r="H75">
            <v>0</v>
          </cell>
        </row>
        <row r="76">
          <cell r="H76">
            <v>30</v>
          </cell>
        </row>
        <row r="77">
          <cell r="H77">
            <v>20</v>
          </cell>
        </row>
        <row r="78">
          <cell r="H78">
            <v>10</v>
          </cell>
        </row>
        <row r="79">
          <cell r="H79">
            <v>30</v>
          </cell>
        </row>
        <row r="80">
          <cell r="H80">
            <v>35</v>
          </cell>
        </row>
        <row r="81">
          <cell r="H81">
            <v>35</v>
          </cell>
        </row>
        <row r="82">
          <cell r="H82">
            <v>35</v>
          </cell>
        </row>
        <row r="83">
          <cell r="H83">
            <v>25</v>
          </cell>
        </row>
        <row r="84">
          <cell r="H84">
            <v>20</v>
          </cell>
        </row>
        <row r="85">
          <cell r="H85">
            <v>20</v>
          </cell>
        </row>
        <row r="86">
          <cell r="H86">
            <v>20</v>
          </cell>
        </row>
        <row r="87">
          <cell r="H87">
            <v>35</v>
          </cell>
        </row>
        <row r="88">
          <cell r="H88">
            <v>40</v>
          </cell>
        </row>
        <row r="89">
          <cell r="H89">
            <v>20</v>
          </cell>
        </row>
        <row r="90">
          <cell r="H90">
            <v>20</v>
          </cell>
        </row>
        <row r="91">
          <cell r="H91">
            <v>25</v>
          </cell>
        </row>
        <row r="92">
          <cell r="H92">
            <v>40</v>
          </cell>
        </row>
        <row r="93">
          <cell r="H93">
            <v>45</v>
          </cell>
        </row>
        <row r="94">
          <cell r="H94">
            <v>45</v>
          </cell>
        </row>
        <row r="95">
          <cell r="H95">
            <v>30</v>
          </cell>
        </row>
        <row r="96">
          <cell r="H96">
            <v>20</v>
          </cell>
        </row>
        <row r="97">
          <cell r="H97">
            <v>15</v>
          </cell>
        </row>
        <row r="98">
          <cell r="H98">
            <v>20</v>
          </cell>
        </row>
        <row r="99">
          <cell r="H99">
            <v>40</v>
          </cell>
          <cell r="L99">
            <v>18</v>
          </cell>
          <cell r="M99">
            <v>19</v>
          </cell>
        </row>
        <row r="100">
          <cell r="H100">
            <v>40</v>
          </cell>
        </row>
        <row r="101">
          <cell r="H101">
            <v>25</v>
          </cell>
        </row>
        <row r="102">
          <cell r="H102">
            <v>20</v>
          </cell>
        </row>
        <row r="103">
          <cell r="H103">
            <v>30</v>
          </cell>
        </row>
        <row r="104">
          <cell r="H104">
            <v>40</v>
          </cell>
        </row>
        <row r="105">
          <cell r="H105">
            <v>45</v>
          </cell>
        </row>
        <row r="106">
          <cell r="H106">
            <v>45</v>
          </cell>
          <cell r="L106">
            <v>18</v>
          </cell>
          <cell r="M106">
            <v>19</v>
          </cell>
        </row>
        <row r="107">
          <cell r="H107">
            <v>35</v>
          </cell>
        </row>
        <row r="108">
          <cell r="H108">
            <v>25</v>
          </cell>
        </row>
        <row r="109">
          <cell r="H109">
            <v>20</v>
          </cell>
        </row>
        <row r="110">
          <cell r="H110">
            <v>25</v>
          </cell>
        </row>
        <row r="111">
          <cell r="H111">
            <v>45</v>
          </cell>
          <cell r="L111">
            <v>21</v>
          </cell>
          <cell r="M111">
            <v>19</v>
          </cell>
        </row>
        <row r="118">
          <cell r="H118">
            <v>45</v>
          </cell>
          <cell r="L118">
            <v>21</v>
          </cell>
          <cell r="M118">
            <v>19</v>
          </cell>
        </row>
        <row r="121">
          <cell r="H121">
            <v>0</v>
          </cell>
        </row>
        <row r="123">
          <cell r="L123">
            <v>24</v>
          </cell>
          <cell r="M123">
            <v>19</v>
          </cell>
        </row>
        <row r="130">
          <cell r="L130">
            <v>24</v>
          </cell>
          <cell r="M130">
            <v>19</v>
          </cell>
        </row>
        <row r="135">
          <cell r="L135">
            <v>27</v>
          </cell>
          <cell r="M135">
            <v>19</v>
          </cell>
        </row>
        <row r="142">
          <cell r="L142">
            <v>27</v>
          </cell>
          <cell r="M142">
            <v>19</v>
          </cell>
        </row>
        <row r="147">
          <cell r="L147">
            <v>27</v>
          </cell>
          <cell r="M147">
            <v>19</v>
          </cell>
        </row>
        <row r="154">
          <cell r="L154">
            <v>27</v>
          </cell>
          <cell r="M154">
            <v>19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documentation"/>
      <sheetName val="assumptions"/>
      <sheetName val="Summary_Billed_Sales"/>
      <sheetName val="Summary_NCP "/>
      <sheetName val="Summary_Delivered_Sales"/>
      <sheetName val="FKEC Sept 2014 forecast"/>
      <sheetName val="New Smyrna Beach"/>
      <sheetName val="Winter Park"/>
      <sheetName val="Homestead"/>
      <sheetName val="Quincy"/>
    </sheetNames>
    <sheetDataSet>
      <sheetData sheetId="0"/>
      <sheetData sheetId="1"/>
      <sheetData sheetId="2"/>
      <sheetData sheetId="3"/>
      <sheetData sheetId="4">
        <row r="99">
          <cell r="A99" t="str">
            <v>20161</v>
          </cell>
          <cell r="B99">
            <v>2016</v>
          </cell>
          <cell r="C99">
            <v>1</v>
          </cell>
          <cell r="D99">
            <v>0</v>
          </cell>
          <cell r="E99">
            <v>0</v>
          </cell>
          <cell r="F99">
            <v>22</v>
          </cell>
          <cell r="G99">
            <v>28.018709999999999</v>
          </cell>
          <cell r="H99">
            <v>50.018709999999999</v>
          </cell>
        </row>
        <row r="100">
          <cell r="A100" t="str">
            <v>20162</v>
          </cell>
          <cell r="B100">
            <v>2016</v>
          </cell>
          <cell r="C100">
            <v>2</v>
          </cell>
          <cell r="D100">
            <v>0</v>
          </cell>
          <cell r="E100">
            <v>0</v>
          </cell>
          <cell r="F100">
            <v>6</v>
          </cell>
          <cell r="G100">
            <v>23.77431</v>
          </cell>
          <cell r="H100">
            <v>29.77431</v>
          </cell>
        </row>
        <row r="101">
          <cell r="A101" t="str">
            <v>20163</v>
          </cell>
          <cell r="B101">
            <v>2016</v>
          </cell>
          <cell r="C101">
            <v>3</v>
          </cell>
          <cell r="D101">
            <v>0</v>
          </cell>
          <cell r="E101">
            <v>0</v>
          </cell>
          <cell r="F101">
            <v>0</v>
          </cell>
          <cell r="G101">
            <v>21.764700000000001</v>
          </cell>
          <cell r="H101">
            <v>21.764700000000001</v>
          </cell>
        </row>
        <row r="102">
          <cell r="A102" t="str">
            <v>20164</v>
          </cell>
          <cell r="B102">
            <v>2016</v>
          </cell>
          <cell r="C102">
            <v>4</v>
          </cell>
          <cell r="D102">
            <v>0</v>
          </cell>
          <cell r="E102">
            <v>0</v>
          </cell>
          <cell r="F102">
            <v>3</v>
          </cell>
          <cell r="G102">
            <v>19.516950000000001</v>
          </cell>
          <cell r="H102">
            <v>22.516950000000001</v>
          </cell>
        </row>
        <row r="103">
          <cell r="A103" t="str">
            <v>20165</v>
          </cell>
          <cell r="B103">
            <v>2016</v>
          </cell>
          <cell r="C103">
            <v>5</v>
          </cell>
          <cell r="D103">
            <v>0</v>
          </cell>
          <cell r="E103">
            <v>0</v>
          </cell>
          <cell r="F103">
            <v>12</v>
          </cell>
          <cell r="G103">
            <v>23.05584</v>
          </cell>
          <cell r="H103">
            <v>35.055840000000003</v>
          </cell>
        </row>
        <row r="104">
          <cell r="A104" t="str">
            <v>20166</v>
          </cell>
          <cell r="B104">
            <v>2016</v>
          </cell>
          <cell r="C104">
            <v>6</v>
          </cell>
          <cell r="D104">
            <v>0</v>
          </cell>
          <cell r="E104">
            <v>0</v>
          </cell>
          <cell r="F104">
            <v>20</v>
          </cell>
          <cell r="G104">
            <v>27.682560000000002</v>
          </cell>
          <cell r="H104">
            <v>47.682560000000002</v>
          </cell>
        </row>
        <row r="105">
          <cell r="A105" t="str">
            <v>20167</v>
          </cell>
          <cell r="B105">
            <v>2016</v>
          </cell>
          <cell r="C105">
            <v>7</v>
          </cell>
          <cell r="D105">
            <v>0</v>
          </cell>
          <cell r="E105">
            <v>0</v>
          </cell>
          <cell r="F105">
            <v>25</v>
          </cell>
          <cell r="G105">
            <v>27.36504</v>
          </cell>
          <cell r="H105">
            <v>52.36504</v>
          </cell>
        </row>
        <row r="106">
          <cell r="A106" t="str">
            <v>20168</v>
          </cell>
          <cell r="B106">
            <v>2016</v>
          </cell>
          <cell r="C106">
            <v>8</v>
          </cell>
          <cell r="D106">
            <v>0</v>
          </cell>
          <cell r="E106">
            <v>0</v>
          </cell>
          <cell r="F106">
            <v>25</v>
          </cell>
          <cell r="G106">
            <v>26.103060000000003</v>
          </cell>
          <cell r="H106">
            <v>51.103059999999999</v>
          </cell>
        </row>
        <row r="107">
          <cell r="A107" t="str">
            <v>20169</v>
          </cell>
          <cell r="B107">
            <v>2016</v>
          </cell>
          <cell r="C107">
            <v>9</v>
          </cell>
          <cell r="D107">
            <v>0</v>
          </cell>
          <cell r="E107">
            <v>0</v>
          </cell>
          <cell r="F107">
            <v>21</v>
          </cell>
          <cell r="G107">
            <v>25.28172</v>
          </cell>
          <cell r="H107">
            <v>46.28172</v>
          </cell>
        </row>
        <row r="108">
          <cell r="A108" t="str">
            <v>201610</v>
          </cell>
          <cell r="B108">
            <v>2016</v>
          </cell>
          <cell r="C108">
            <v>10</v>
          </cell>
          <cell r="D108">
            <v>0</v>
          </cell>
          <cell r="E108">
            <v>0</v>
          </cell>
          <cell r="F108">
            <v>8</v>
          </cell>
          <cell r="G108">
            <v>22.274999999999999</v>
          </cell>
          <cell r="H108">
            <v>30.274999999999999</v>
          </cell>
        </row>
        <row r="109">
          <cell r="A109" t="str">
            <v>201611</v>
          </cell>
          <cell r="B109">
            <v>2016</v>
          </cell>
          <cell r="C109">
            <v>11</v>
          </cell>
          <cell r="D109">
            <v>0</v>
          </cell>
          <cell r="E109">
            <v>0</v>
          </cell>
          <cell r="F109">
            <v>0</v>
          </cell>
          <cell r="G109">
            <v>25.632450000000002</v>
          </cell>
          <cell r="H109">
            <v>25.632450000000002</v>
          </cell>
        </row>
        <row r="110">
          <cell r="A110" t="str">
            <v>201612</v>
          </cell>
          <cell r="B110">
            <v>2016</v>
          </cell>
          <cell r="C110">
            <v>12</v>
          </cell>
          <cell r="D110">
            <v>0</v>
          </cell>
          <cell r="E110">
            <v>0</v>
          </cell>
          <cell r="F110">
            <v>0</v>
          </cell>
          <cell r="G110">
            <v>23.03397</v>
          </cell>
          <cell r="H110">
            <v>23.03397</v>
          </cell>
        </row>
        <row r="111">
          <cell r="A111" t="str">
            <v>20171</v>
          </cell>
          <cell r="B111">
            <v>2017</v>
          </cell>
          <cell r="C111">
            <v>1</v>
          </cell>
          <cell r="D111">
            <v>45</v>
          </cell>
          <cell r="E111">
            <v>63.368821999999994</v>
          </cell>
          <cell r="F111">
            <v>22</v>
          </cell>
          <cell r="G111">
            <v>28.018709999999999</v>
          </cell>
          <cell r="H111">
            <v>158.38753199999999</v>
          </cell>
        </row>
        <row r="112">
          <cell r="A112" t="str">
            <v>20172</v>
          </cell>
          <cell r="B112">
            <v>2017</v>
          </cell>
          <cell r="C112">
            <v>2</v>
          </cell>
          <cell r="D112">
            <v>45</v>
          </cell>
          <cell r="E112">
            <v>60.838002500000002</v>
          </cell>
          <cell r="F112">
            <v>6</v>
          </cell>
          <cell r="G112">
            <v>23.77431</v>
          </cell>
          <cell r="H112">
            <v>135.6123125</v>
          </cell>
        </row>
        <row r="113">
          <cell r="A113" t="str">
            <v>20173</v>
          </cell>
          <cell r="B113">
            <v>2017</v>
          </cell>
          <cell r="C113">
            <v>3</v>
          </cell>
          <cell r="D113">
            <v>30</v>
          </cell>
          <cell r="E113">
            <v>43.965872499999996</v>
          </cell>
          <cell r="F113">
            <v>0</v>
          </cell>
          <cell r="G113">
            <v>21.764700000000001</v>
          </cell>
          <cell r="H113">
            <v>95.730572499999994</v>
          </cell>
        </row>
        <row r="114">
          <cell r="A114" t="str">
            <v>20174</v>
          </cell>
          <cell r="B114">
            <v>2017</v>
          </cell>
          <cell r="C114">
            <v>4</v>
          </cell>
          <cell r="D114">
            <v>20</v>
          </cell>
          <cell r="E114">
            <v>47.340298499999996</v>
          </cell>
          <cell r="F114">
            <v>3</v>
          </cell>
          <cell r="G114">
            <v>19.516950000000001</v>
          </cell>
          <cell r="H114">
            <v>89.857248499999997</v>
          </cell>
        </row>
        <row r="115">
          <cell r="A115" t="str">
            <v>20175</v>
          </cell>
          <cell r="B115">
            <v>2017</v>
          </cell>
          <cell r="C115">
            <v>5</v>
          </cell>
          <cell r="D115">
            <v>30</v>
          </cell>
          <cell r="E115">
            <v>65.056034999999994</v>
          </cell>
          <cell r="F115">
            <v>12</v>
          </cell>
          <cell r="G115">
            <v>23.05584</v>
          </cell>
          <cell r="H115">
            <v>130.111875</v>
          </cell>
        </row>
        <row r="116">
          <cell r="A116" t="str">
            <v>20176</v>
          </cell>
          <cell r="B116">
            <v>2017</v>
          </cell>
          <cell r="C116">
            <v>6</v>
          </cell>
          <cell r="D116">
            <v>45</v>
          </cell>
          <cell r="E116">
            <v>66.743247999999994</v>
          </cell>
          <cell r="F116">
            <v>20</v>
          </cell>
          <cell r="G116">
            <v>27.682560000000002</v>
          </cell>
          <cell r="H116">
            <v>159.42580799999999</v>
          </cell>
        </row>
        <row r="117">
          <cell r="A117" t="str">
            <v>20177</v>
          </cell>
          <cell r="B117">
            <v>2017</v>
          </cell>
          <cell r="C117">
            <v>7</v>
          </cell>
          <cell r="D117">
            <v>45</v>
          </cell>
          <cell r="E117">
            <v>64.212428499999987</v>
          </cell>
          <cell r="F117">
            <v>25</v>
          </cell>
          <cell r="G117">
            <v>27.36504</v>
          </cell>
          <cell r="H117">
            <v>161.57746849999998</v>
          </cell>
        </row>
        <row r="118">
          <cell r="A118" t="str">
            <v>20178</v>
          </cell>
          <cell r="B118">
            <v>2017</v>
          </cell>
          <cell r="C118">
            <v>8</v>
          </cell>
          <cell r="D118">
            <v>45</v>
          </cell>
          <cell r="E118">
            <v>71.804886999999994</v>
          </cell>
          <cell r="F118">
            <v>25</v>
          </cell>
          <cell r="G118">
            <v>26.103060000000003</v>
          </cell>
          <cell r="H118">
            <v>167.90794700000001</v>
          </cell>
        </row>
        <row r="119">
          <cell r="A119" t="str">
            <v>20179</v>
          </cell>
          <cell r="B119">
            <v>2017</v>
          </cell>
          <cell r="C119">
            <v>9</v>
          </cell>
          <cell r="D119">
            <v>35</v>
          </cell>
          <cell r="E119">
            <v>62.525215499999995</v>
          </cell>
          <cell r="F119">
            <v>21</v>
          </cell>
          <cell r="G119">
            <v>25.28172</v>
          </cell>
          <cell r="H119">
            <v>143.80693550000001</v>
          </cell>
        </row>
        <row r="120">
          <cell r="A120" t="str">
            <v>201710</v>
          </cell>
          <cell r="B120">
            <v>2017</v>
          </cell>
          <cell r="C120">
            <v>10</v>
          </cell>
          <cell r="D120">
            <v>30</v>
          </cell>
          <cell r="E120">
            <v>60.838002500000002</v>
          </cell>
          <cell r="F120">
            <v>8</v>
          </cell>
          <cell r="G120">
            <v>22.274999999999999</v>
          </cell>
          <cell r="H120">
            <v>121.11300249999999</v>
          </cell>
        </row>
        <row r="121">
          <cell r="A121" t="str">
            <v>201711</v>
          </cell>
          <cell r="B121">
            <v>2017</v>
          </cell>
          <cell r="C121">
            <v>11</v>
          </cell>
          <cell r="D121">
            <v>20</v>
          </cell>
          <cell r="E121">
            <v>43.122265999999996</v>
          </cell>
          <cell r="F121">
            <v>0</v>
          </cell>
          <cell r="G121">
            <v>25.632450000000002</v>
          </cell>
          <cell r="H121">
            <v>88.754716000000002</v>
          </cell>
        </row>
        <row r="122">
          <cell r="A122" t="str">
            <v>201712</v>
          </cell>
          <cell r="B122">
            <v>2017</v>
          </cell>
          <cell r="C122">
            <v>12</v>
          </cell>
          <cell r="D122">
            <v>30</v>
          </cell>
          <cell r="E122">
            <v>43.122265999999996</v>
          </cell>
          <cell r="F122">
            <v>0</v>
          </cell>
          <cell r="G122">
            <v>23.03397</v>
          </cell>
          <cell r="H122">
            <v>96.156235999999993</v>
          </cell>
        </row>
        <row r="123">
          <cell r="A123" t="str">
            <v>20181</v>
          </cell>
          <cell r="B123">
            <v>2018</v>
          </cell>
          <cell r="C123">
            <v>1</v>
          </cell>
          <cell r="D123">
            <v>45</v>
          </cell>
          <cell r="E123">
            <v>63.368821999999994</v>
          </cell>
          <cell r="F123">
            <v>22</v>
          </cell>
          <cell r="G123">
            <v>28.018709999999999</v>
          </cell>
          <cell r="H123">
            <v>158.38753199999999</v>
          </cell>
        </row>
        <row r="124">
          <cell r="A124" t="str">
            <v>20182</v>
          </cell>
          <cell r="B124">
            <v>2018</v>
          </cell>
          <cell r="C124">
            <v>2</v>
          </cell>
          <cell r="D124">
            <v>45</v>
          </cell>
          <cell r="E124">
            <v>60.838002500000002</v>
          </cell>
          <cell r="F124">
            <v>6</v>
          </cell>
          <cell r="G124">
            <v>23.77431</v>
          </cell>
          <cell r="H124">
            <v>135.6123125</v>
          </cell>
        </row>
        <row r="125">
          <cell r="A125" t="str">
            <v>20183</v>
          </cell>
          <cell r="B125">
            <v>2018</v>
          </cell>
          <cell r="C125">
            <v>3</v>
          </cell>
          <cell r="D125">
            <v>30</v>
          </cell>
          <cell r="E125">
            <v>43.965872499999996</v>
          </cell>
          <cell r="F125">
            <v>0</v>
          </cell>
          <cell r="G125">
            <v>21.764700000000001</v>
          </cell>
          <cell r="H125">
            <v>95.730572499999994</v>
          </cell>
        </row>
        <row r="126">
          <cell r="A126" t="str">
            <v>20184</v>
          </cell>
          <cell r="B126">
            <v>2018</v>
          </cell>
          <cell r="C126">
            <v>4</v>
          </cell>
          <cell r="D126">
            <v>20</v>
          </cell>
          <cell r="E126">
            <v>47.340298499999996</v>
          </cell>
          <cell r="F126">
            <v>3</v>
          </cell>
          <cell r="G126">
            <v>19.516950000000001</v>
          </cell>
          <cell r="H126">
            <v>89.857248499999997</v>
          </cell>
        </row>
        <row r="127">
          <cell r="A127" t="str">
            <v>20185</v>
          </cell>
          <cell r="B127">
            <v>2018</v>
          </cell>
          <cell r="C127">
            <v>5</v>
          </cell>
          <cell r="D127">
            <v>30</v>
          </cell>
          <cell r="E127">
            <v>65.056034999999994</v>
          </cell>
          <cell r="F127">
            <v>12</v>
          </cell>
          <cell r="G127">
            <v>23.05584</v>
          </cell>
          <cell r="H127">
            <v>130.111875</v>
          </cell>
        </row>
        <row r="128">
          <cell r="A128" t="str">
            <v>20186</v>
          </cell>
          <cell r="B128">
            <v>2018</v>
          </cell>
          <cell r="C128">
            <v>6</v>
          </cell>
          <cell r="D128">
            <v>45</v>
          </cell>
          <cell r="E128">
            <v>66.743247999999994</v>
          </cell>
          <cell r="F128">
            <v>20</v>
          </cell>
          <cell r="G128">
            <v>27.682560000000002</v>
          </cell>
          <cell r="H128">
            <v>159.42580799999999</v>
          </cell>
        </row>
        <row r="129">
          <cell r="A129" t="str">
            <v>20187</v>
          </cell>
          <cell r="B129">
            <v>2018</v>
          </cell>
          <cell r="C129">
            <v>7</v>
          </cell>
          <cell r="D129">
            <v>45</v>
          </cell>
          <cell r="E129">
            <v>64.212428499999987</v>
          </cell>
          <cell r="F129">
            <v>25</v>
          </cell>
          <cell r="G129">
            <v>27.36504</v>
          </cell>
          <cell r="H129">
            <v>161.57746849999998</v>
          </cell>
        </row>
        <row r="130">
          <cell r="A130" t="str">
            <v>20188</v>
          </cell>
          <cell r="B130">
            <v>2018</v>
          </cell>
          <cell r="C130">
            <v>8</v>
          </cell>
          <cell r="D130">
            <v>45</v>
          </cell>
          <cell r="E130">
            <v>71.804886999999994</v>
          </cell>
          <cell r="F130">
            <v>25</v>
          </cell>
          <cell r="G130">
            <v>26.103060000000003</v>
          </cell>
          <cell r="H130">
            <v>167.90794700000001</v>
          </cell>
        </row>
        <row r="131">
          <cell r="A131" t="str">
            <v>20189</v>
          </cell>
          <cell r="B131">
            <v>2018</v>
          </cell>
          <cell r="C131">
            <v>9</v>
          </cell>
          <cell r="D131">
            <v>35</v>
          </cell>
          <cell r="E131">
            <v>62.525215499999995</v>
          </cell>
          <cell r="F131">
            <v>21</v>
          </cell>
          <cell r="G131">
            <v>25.28172</v>
          </cell>
          <cell r="H131">
            <v>143.80693550000001</v>
          </cell>
        </row>
        <row r="132">
          <cell r="A132" t="str">
            <v>201810</v>
          </cell>
          <cell r="B132">
            <v>2018</v>
          </cell>
          <cell r="C132">
            <v>10</v>
          </cell>
          <cell r="D132">
            <v>30</v>
          </cell>
          <cell r="E132">
            <v>60.838002500000002</v>
          </cell>
          <cell r="F132">
            <v>8</v>
          </cell>
          <cell r="G132">
            <v>22.274999999999999</v>
          </cell>
          <cell r="H132">
            <v>121.11300249999999</v>
          </cell>
        </row>
        <row r="133">
          <cell r="A133" t="str">
            <v>201811</v>
          </cell>
          <cell r="B133">
            <v>2018</v>
          </cell>
          <cell r="C133">
            <v>11</v>
          </cell>
          <cell r="D133">
            <v>20</v>
          </cell>
          <cell r="E133">
            <v>43.122265999999996</v>
          </cell>
          <cell r="F133">
            <v>0</v>
          </cell>
          <cell r="G133">
            <v>25.632450000000002</v>
          </cell>
          <cell r="H133">
            <v>88.754716000000002</v>
          </cell>
        </row>
        <row r="134">
          <cell r="A134" t="str">
            <v>201812</v>
          </cell>
          <cell r="B134">
            <v>2018</v>
          </cell>
          <cell r="C134">
            <v>12</v>
          </cell>
          <cell r="D134">
            <v>30</v>
          </cell>
          <cell r="E134">
            <v>43.122265999999996</v>
          </cell>
          <cell r="F134">
            <v>0</v>
          </cell>
          <cell r="G134">
            <v>23.03397</v>
          </cell>
          <cell r="H134">
            <v>96.156235999999993</v>
          </cell>
        </row>
        <row r="135">
          <cell r="A135" t="str">
            <v>20191</v>
          </cell>
          <cell r="B135">
            <v>2019</v>
          </cell>
          <cell r="C135">
            <v>1</v>
          </cell>
          <cell r="E135">
            <v>63.368821999999994</v>
          </cell>
          <cell r="F135">
            <v>22</v>
          </cell>
          <cell r="G135">
            <v>28.018709999999999</v>
          </cell>
          <cell r="H135">
            <v>113.38753199999999</v>
          </cell>
        </row>
        <row r="136">
          <cell r="A136" t="str">
            <v>20192</v>
          </cell>
          <cell r="B136">
            <v>2019</v>
          </cell>
          <cell r="C136">
            <v>2</v>
          </cell>
          <cell r="E136">
            <v>60.838002500000002</v>
          </cell>
          <cell r="F136">
            <v>6</v>
          </cell>
          <cell r="G136">
            <v>23.77431</v>
          </cell>
          <cell r="H136">
            <v>90.612312500000002</v>
          </cell>
        </row>
        <row r="137">
          <cell r="A137" t="str">
            <v>20193</v>
          </cell>
          <cell r="B137">
            <v>2019</v>
          </cell>
          <cell r="C137">
            <v>3</v>
          </cell>
          <cell r="E137">
            <v>43.965872499999996</v>
          </cell>
          <cell r="F137">
            <v>0</v>
          </cell>
          <cell r="G137">
            <v>21.764700000000001</v>
          </cell>
          <cell r="H137">
            <v>65.730572499999994</v>
          </cell>
        </row>
        <row r="138">
          <cell r="A138" t="str">
            <v>20194</v>
          </cell>
          <cell r="B138">
            <v>2019</v>
          </cell>
          <cell r="C138">
            <v>4</v>
          </cell>
          <cell r="E138">
            <v>47.340298499999996</v>
          </cell>
          <cell r="F138">
            <v>3</v>
          </cell>
          <cell r="G138">
            <v>19.516950000000001</v>
          </cell>
          <cell r="H138">
            <v>69.857248499999997</v>
          </cell>
        </row>
        <row r="139">
          <cell r="A139" t="str">
            <v>20195</v>
          </cell>
          <cell r="B139">
            <v>2019</v>
          </cell>
          <cell r="C139">
            <v>5</v>
          </cell>
          <cell r="E139">
            <v>65.056034999999994</v>
          </cell>
          <cell r="F139">
            <v>12</v>
          </cell>
          <cell r="G139">
            <v>23.05584</v>
          </cell>
          <cell r="H139">
            <v>100.111875</v>
          </cell>
        </row>
        <row r="140">
          <cell r="A140" t="str">
            <v>20196</v>
          </cell>
          <cell r="B140">
            <v>2019</v>
          </cell>
          <cell r="C140">
            <v>6</v>
          </cell>
          <cell r="E140">
            <v>66.743247999999994</v>
          </cell>
          <cell r="F140">
            <v>20</v>
          </cell>
          <cell r="G140">
            <v>27.682560000000002</v>
          </cell>
          <cell r="H140">
            <v>114.42580799999999</v>
          </cell>
        </row>
        <row r="141">
          <cell r="A141" t="str">
            <v>20197</v>
          </cell>
          <cell r="B141">
            <v>2019</v>
          </cell>
          <cell r="C141">
            <v>7</v>
          </cell>
          <cell r="E141">
            <v>64.212428499999987</v>
          </cell>
          <cell r="F141">
            <v>25</v>
          </cell>
          <cell r="G141">
            <v>27.36504</v>
          </cell>
          <cell r="H141">
            <v>116.57746849999998</v>
          </cell>
        </row>
        <row r="142">
          <cell r="A142" t="str">
            <v>20198</v>
          </cell>
          <cell r="B142">
            <v>2019</v>
          </cell>
          <cell r="C142">
            <v>8</v>
          </cell>
          <cell r="E142">
            <v>71.804886999999994</v>
          </cell>
          <cell r="F142">
            <v>25</v>
          </cell>
          <cell r="G142">
            <v>26.103060000000003</v>
          </cell>
          <cell r="H142">
            <v>122.90794699999999</v>
          </cell>
        </row>
        <row r="143">
          <cell r="A143" t="str">
            <v>20199</v>
          </cell>
          <cell r="B143">
            <v>2019</v>
          </cell>
          <cell r="C143">
            <v>9</v>
          </cell>
          <cell r="E143">
            <v>62.525215499999995</v>
          </cell>
          <cell r="F143">
            <v>21</v>
          </cell>
          <cell r="G143">
            <v>25.28172</v>
          </cell>
          <cell r="H143">
            <v>108.80693550000001</v>
          </cell>
        </row>
        <row r="144">
          <cell r="A144" t="str">
            <v>201910</v>
          </cell>
          <cell r="B144">
            <v>2019</v>
          </cell>
          <cell r="C144">
            <v>10</v>
          </cell>
          <cell r="E144">
            <v>60.838002500000002</v>
          </cell>
          <cell r="F144">
            <v>8</v>
          </cell>
          <cell r="G144">
            <v>22.274999999999999</v>
          </cell>
          <cell r="H144">
            <v>91.113002499999993</v>
          </cell>
        </row>
        <row r="145">
          <cell r="A145" t="str">
            <v>201911</v>
          </cell>
          <cell r="B145">
            <v>2019</v>
          </cell>
          <cell r="C145">
            <v>11</v>
          </cell>
          <cell r="E145">
            <v>43.122265999999996</v>
          </cell>
          <cell r="F145">
            <v>0</v>
          </cell>
          <cell r="G145">
            <v>25.632450000000002</v>
          </cell>
          <cell r="H145">
            <v>68.754716000000002</v>
          </cell>
        </row>
        <row r="146">
          <cell r="A146" t="str">
            <v>201912</v>
          </cell>
          <cell r="B146">
            <v>2019</v>
          </cell>
          <cell r="C146">
            <v>12</v>
          </cell>
          <cell r="E146">
            <v>43.122265999999996</v>
          </cell>
          <cell r="F146">
            <v>0</v>
          </cell>
          <cell r="G146">
            <v>23.03397</v>
          </cell>
          <cell r="H146">
            <v>66.156235999999993</v>
          </cell>
        </row>
        <row r="147">
          <cell r="A147" t="str">
            <v>20201</v>
          </cell>
          <cell r="B147">
            <v>2020</v>
          </cell>
          <cell r="C147">
            <v>1</v>
          </cell>
          <cell r="F147">
            <v>64.400000000000006</v>
          </cell>
          <cell r="G147">
            <v>28.018709999999999</v>
          </cell>
          <cell r="H147">
            <v>92.418710000000004</v>
          </cell>
        </row>
        <row r="148">
          <cell r="A148" t="str">
            <v>20202</v>
          </cell>
          <cell r="B148">
            <v>2020</v>
          </cell>
          <cell r="C148">
            <v>2</v>
          </cell>
          <cell r="F148">
            <v>47.600000000000009</v>
          </cell>
          <cell r="G148">
            <v>23.77431</v>
          </cell>
          <cell r="H148">
            <v>71.374310000000008</v>
          </cell>
        </row>
        <row r="149">
          <cell r="A149" t="str">
            <v>20203</v>
          </cell>
          <cell r="B149">
            <v>2020</v>
          </cell>
          <cell r="C149">
            <v>3</v>
          </cell>
          <cell r="F149">
            <v>29.75</v>
          </cell>
          <cell r="G149">
            <v>21.764700000000001</v>
          </cell>
          <cell r="H149">
            <v>51.514700000000005</v>
          </cell>
        </row>
        <row r="150">
          <cell r="A150" t="str">
            <v>20204</v>
          </cell>
          <cell r="B150">
            <v>2020</v>
          </cell>
          <cell r="C150">
            <v>4</v>
          </cell>
          <cell r="F150">
            <v>44.45</v>
          </cell>
          <cell r="G150">
            <v>19.516950000000001</v>
          </cell>
          <cell r="H150">
            <v>63.966950000000004</v>
          </cell>
        </row>
        <row r="151">
          <cell r="A151" t="str">
            <v>20205</v>
          </cell>
          <cell r="B151">
            <v>2020</v>
          </cell>
          <cell r="C151">
            <v>5</v>
          </cell>
          <cell r="F151">
            <v>53.900000000000006</v>
          </cell>
          <cell r="G151">
            <v>23.05584</v>
          </cell>
          <cell r="H151">
            <v>76.955840000000009</v>
          </cell>
        </row>
        <row r="152">
          <cell r="A152" t="str">
            <v>20206</v>
          </cell>
          <cell r="B152">
            <v>2020</v>
          </cell>
          <cell r="C152">
            <v>6</v>
          </cell>
          <cell r="F152">
            <v>62.3</v>
          </cell>
          <cell r="G152">
            <v>27.682560000000002</v>
          </cell>
          <cell r="H152">
            <v>89.982560000000007</v>
          </cell>
        </row>
        <row r="153">
          <cell r="A153" t="str">
            <v>20207</v>
          </cell>
          <cell r="B153">
            <v>2020</v>
          </cell>
          <cell r="C153">
            <v>7</v>
          </cell>
          <cell r="F153">
            <v>67.55</v>
          </cell>
          <cell r="G153">
            <v>27.36504</v>
          </cell>
          <cell r="H153">
            <v>94.915040000000005</v>
          </cell>
        </row>
        <row r="154">
          <cell r="A154" t="str">
            <v>20208</v>
          </cell>
          <cell r="B154">
            <v>2020</v>
          </cell>
          <cell r="C154">
            <v>8</v>
          </cell>
          <cell r="F154">
            <v>67.55</v>
          </cell>
          <cell r="G154">
            <v>26.103060000000003</v>
          </cell>
          <cell r="H154">
            <v>93.653059999999996</v>
          </cell>
        </row>
        <row r="155">
          <cell r="A155" t="str">
            <v>20209</v>
          </cell>
          <cell r="B155">
            <v>2020</v>
          </cell>
          <cell r="C155">
            <v>9</v>
          </cell>
          <cell r="F155">
            <v>63.350000000000009</v>
          </cell>
          <cell r="G155">
            <v>25.28172</v>
          </cell>
          <cell r="H155">
            <v>88.631720000000001</v>
          </cell>
        </row>
        <row r="156">
          <cell r="A156" t="str">
            <v>202010</v>
          </cell>
          <cell r="B156">
            <v>2020</v>
          </cell>
          <cell r="C156">
            <v>10</v>
          </cell>
          <cell r="F156">
            <v>49.7</v>
          </cell>
          <cell r="G156">
            <v>22.274999999999999</v>
          </cell>
          <cell r="H156">
            <v>71.974999999999994</v>
          </cell>
        </row>
        <row r="157">
          <cell r="A157" t="str">
            <v>202011</v>
          </cell>
          <cell r="B157">
            <v>2020</v>
          </cell>
          <cell r="C157">
            <v>11</v>
          </cell>
          <cell r="F157">
            <v>40.25</v>
          </cell>
          <cell r="G157">
            <v>25.632450000000002</v>
          </cell>
          <cell r="H157">
            <v>65.882450000000006</v>
          </cell>
        </row>
        <row r="158">
          <cell r="A158" t="str">
            <v>202012</v>
          </cell>
          <cell r="B158">
            <v>2020</v>
          </cell>
          <cell r="C158">
            <v>12</v>
          </cell>
          <cell r="F158">
            <v>39.200000000000003</v>
          </cell>
          <cell r="G158">
            <v>23.03397</v>
          </cell>
          <cell r="H158">
            <v>62.233969999999999</v>
          </cell>
        </row>
        <row r="159">
          <cell r="A159" t="str">
            <v>20211</v>
          </cell>
          <cell r="B159">
            <v>2021</v>
          </cell>
          <cell r="C159">
            <v>1</v>
          </cell>
          <cell r="F159">
            <v>64.400000000000006</v>
          </cell>
          <cell r="G159">
            <v>28.018709999999999</v>
          </cell>
          <cell r="H159">
            <v>92.418710000000004</v>
          </cell>
        </row>
        <row r="160">
          <cell r="A160" t="str">
            <v>20212</v>
          </cell>
          <cell r="B160">
            <v>2021</v>
          </cell>
          <cell r="C160">
            <v>2</v>
          </cell>
          <cell r="F160">
            <v>47.600000000000009</v>
          </cell>
          <cell r="G160">
            <v>23.77431</v>
          </cell>
          <cell r="H160">
            <v>71.374310000000008</v>
          </cell>
        </row>
        <row r="161">
          <cell r="A161" t="str">
            <v>20213</v>
          </cell>
          <cell r="B161">
            <v>2021</v>
          </cell>
          <cell r="C161">
            <v>3</v>
          </cell>
          <cell r="F161">
            <v>29.75</v>
          </cell>
          <cell r="G161">
            <v>21.764700000000001</v>
          </cell>
          <cell r="H161">
            <v>51.514700000000005</v>
          </cell>
        </row>
        <row r="162">
          <cell r="A162" t="str">
            <v>20214</v>
          </cell>
          <cell r="B162">
            <v>2021</v>
          </cell>
          <cell r="C162">
            <v>4</v>
          </cell>
          <cell r="F162">
            <v>44.45</v>
          </cell>
          <cell r="G162">
            <v>19.516950000000001</v>
          </cell>
          <cell r="H162">
            <v>63.966950000000004</v>
          </cell>
        </row>
        <row r="163">
          <cell r="A163" t="str">
            <v>20215</v>
          </cell>
          <cell r="B163">
            <v>2021</v>
          </cell>
          <cell r="C163">
            <v>5</v>
          </cell>
          <cell r="F163">
            <v>53.900000000000006</v>
          </cell>
          <cell r="G163">
            <v>23.05584</v>
          </cell>
          <cell r="H163">
            <v>76.955840000000009</v>
          </cell>
        </row>
        <row r="164">
          <cell r="A164" t="str">
            <v>20216</v>
          </cell>
          <cell r="B164">
            <v>2021</v>
          </cell>
          <cell r="C164">
            <v>6</v>
          </cell>
          <cell r="F164">
            <v>62.3</v>
          </cell>
          <cell r="G164">
            <v>27.682560000000002</v>
          </cell>
          <cell r="H164">
            <v>89.982560000000007</v>
          </cell>
        </row>
        <row r="165">
          <cell r="A165" t="str">
            <v>20217</v>
          </cell>
          <cell r="B165">
            <v>2021</v>
          </cell>
          <cell r="C165">
            <v>7</v>
          </cell>
          <cell r="F165">
            <v>67.55</v>
          </cell>
          <cell r="G165">
            <v>27.36504</v>
          </cell>
          <cell r="H165">
            <v>94.915040000000005</v>
          </cell>
        </row>
        <row r="166">
          <cell r="A166" t="str">
            <v>20218</v>
          </cell>
          <cell r="B166">
            <v>2021</v>
          </cell>
          <cell r="C166">
            <v>8</v>
          </cell>
          <cell r="F166">
            <v>67.55</v>
          </cell>
          <cell r="G166">
            <v>26.103060000000003</v>
          </cell>
          <cell r="H166">
            <v>93.653059999999996</v>
          </cell>
        </row>
        <row r="167">
          <cell r="A167" t="str">
            <v>20219</v>
          </cell>
          <cell r="B167">
            <v>2021</v>
          </cell>
          <cell r="C167">
            <v>9</v>
          </cell>
          <cell r="F167">
            <v>63.350000000000009</v>
          </cell>
          <cell r="G167">
            <v>25.28172</v>
          </cell>
          <cell r="H167">
            <v>88.631720000000001</v>
          </cell>
        </row>
        <row r="168">
          <cell r="A168" t="str">
            <v>202110</v>
          </cell>
          <cell r="B168">
            <v>2021</v>
          </cell>
          <cell r="C168">
            <v>10</v>
          </cell>
          <cell r="F168">
            <v>49.7</v>
          </cell>
          <cell r="G168">
            <v>22.274999999999999</v>
          </cell>
          <cell r="H168">
            <v>71.974999999999994</v>
          </cell>
        </row>
        <row r="169">
          <cell r="A169" t="str">
            <v>202111</v>
          </cell>
          <cell r="B169">
            <v>2021</v>
          </cell>
          <cell r="C169">
            <v>11</v>
          </cell>
          <cell r="F169">
            <v>40.25</v>
          </cell>
          <cell r="G169">
            <v>25.632450000000002</v>
          </cell>
          <cell r="H169">
            <v>65.882450000000006</v>
          </cell>
        </row>
        <row r="170">
          <cell r="A170" t="str">
            <v>202112</v>
          </cell>
          <cell r="B170">
            <v>2021</v>
          </cell>
          <cell r="C170">
            <v>12</v>
          </cell>
          <cell r="F170">
            <v>39.200000000000003</v>
          </cell>
          <cell r="G170">
            <v>23.03397</v>
          </cell>
          <cell r="H170">
            <v>62.233969999999999</v>
          </cell>
        </row>
        <row r="171">
          <cell r="A171" t="str">
            <v>20221</v>
          </cell>
          <cell r="B171">
            <v>2022</v>
          </cell>
          <cell r="C171">
            <v>1</v>
          </cell>
          <cell r="F171">
            <v>64.400000000000006</v>
          </cell>
          <cell r="G171">
            <v>28.018709999999999</v>
          </cell>
          <cell r="H171">
            <v>92.418710000000004</v>
          </cell>
        </row>
        <row r="172">
          <cell r="A172" t="str">
            <v>20222</v>
          </cell>
          <cell r="B172">
            <v>2022</v>
          </cell>
          <cell r="C172">
            <v>2</v>
          </cell>
          <cell r="F172">
            <v>47.600000000000009</v>
          </cell>
          <cell r="G172">
            <v>23.77431</v>
          </cell>
          <cell r="H172">
            <v>71.374310000000008</v>
          </cell>
        </row>
        <row r="173">
          <cell r="A173" t="str">
            <v>20223</v>
          </cell>
          <cell r="B173">
            <v>2022</v>
          </cell>
          <cell r="C173">
            <v>3</v>
          </cell>
          <cell r="F173">
            <v>29.75</v>
          </cell>
          <cell r="G173">
            <v>21.764700000000001</v>
          </cell>
          <cell r="H173">
            <v>51.514700000000005</v>
          </cell>
        </row>
        <row r="174">
          <cell r="A174" t="str">
            <v>20224</v>
          </cell>
          <cell r="B174">
            <v>2022</v>
          </cell>
          <cell r="C174">
            <v>4</v>
          </cell>
          <cell r="F174">
            <v>44.45</v>
          </cell>
          <cell r="G174">
            <v>19.516950000000001</v>
          </cell>
          <cell r="H174">
            <v>63.966950000000004</v>
          </cell>
        </row>
        <row r="175">
          <cell r="A175" t="str">
            <v>20225</v>
          </cell>
          <cell r="B175">
            <v>2022</v>
          </cell>
          <cell r="C175">
            <v>5</v>
          </cell>
          <cell r="F175">
            <v>53.900000000000006</v>
          </cell>
          <cell r="G175">
            <v>23.05584</v>
          </cell>
          <cell r="H175">
            <v>76.955840000000009</v>
          </cell>
        </row>
        <row r="176">
          <cell r="A176" t="str">
            <v>20226</v>
          </cell>
          <cell r="B176">
            <v>2022</v>
          </cell>
          <cell r="C176">
            <v>6</v>
          </cell>
          <cell r="F176">
            <v>62.3</v>
          </cell>
          <cell r="G176">
            <v>27.682560000000002</v>
          </cell>
          <cell r="H176">
            <v>89.982560000000007</v>
          </cell>
        </row>
        <row r="177">
          <cell r="A177" t="str">
            <v>20227</v>
          </cell>
          <cell r="B177">
            <v>2022</v>
          </cell>
          <cell r="C177">
            <v>7</v>
          </cell>
          <cell r="F177">
            <v>67.55</v>
          </cell>
          <cell r="G177">
            <v>27.36504</v>
          </cell>
          <cell r="H177">
            <v>94.915040000000005</v>
          </cell>
        </row>
        <row r="178">
          <cell r="A178" t="str">
            <v>20228</v>
          </cell>
          <cell r="B178">
            <v>2022</v>
          </cell>
          <cell r="C178">
            <v>8</v>
          </cell>
          <cell r="F178">
            <v>67.55</v>
          </cell>
          <cell r="G178">
            <v>26.103060000000003</v>
          </cell>
          <cell r="H178">
            <v>93.653059999999996</v>
          </cell>
        </row>
        <row r="179">
          <cell r="A179" t="str">
            <v>20229</v>
          </cell>
          <cell r="B179">
            <v>2022</v>
          </cell>
          <cell r="C179">
            <v>9</v>
          </cell>
          <cell r="F179">
            <v>63.350000000000009</v>
          </cell>
          <cell r="G179">
            <v>25.28172</v>
          </cell>
          <cell r="H179">
            <v>88.631720000000001</v>
          </cell>
        </row>
        <row r="180">
          <cell r="A180" t="str">
            <v>202210</v>
          </cell>
          <cell r="B180">
            <v>2022</v>
          </cell>
          <cell r="C180">
            <v>10</v>
          </cell>
          <cell r="F180">
            <v>49.7</v>
          </cell>
          <cell r="G180">
            <v>22.274999999999999</v>
          </cell>
          <cell r="H180">
            <v>71.974999999999994</v>
          </cell>
        </row>
        <row r="181">
          <cell r="A181" t="str">
            <v>202211</v>
          </cell>
          <cell r="B181">
            <v>2022</v>
          </cell>
          <cell r="C181">
            <v>11</v>
          </cell>
          <cell r="F181">
            <v>40.25</v>
          </cell>
          <cell r="G181">
            <v>25.632450000000002</v>
          </cell>
          <cell r="H181">
            <v>65.882450000000006</v>
          </cell>
        </row>
        <row r="182">
          <cell r="A182" t="str">
            <v>202212</v>
          </cell>
          <cell r="B182">
            <v>2022</v>
          </cell>
          <cell r="C182">
            <v>12</v>
          </cell>
          <cell r="F182">
            <v>39.200000000000003</v>
          </cell>
          <cell r="G182">
            <v>23.03397</v>
          </cell>
          <cell r="H182">
            <v>62.233969999999999</v>
          </cell>
        </row>
        <row r="183">
          <cell r="A183" t="str">
            <v>20231</v>
          </cell>
          <cell r="B183">
            <v>2023</v>
          </cell>
          <cell r="C183">
            <v>1</v>
          </cell>
          <cell r="F183">
            <v>64.400000000000006</v>
          </cell>
          <cell r="G183">
            <v>28.018709999999999</v>
          </cell>
          <cell r="H183">
            <v>92.418710000000004</v>
          </cell>
        </row>
        <row r="184">
          <cell r="A184" t="str">
            <v>20232</v>
          </cell>
          <cell r="B184">
            <v>2023</v>
          </cell>
          <cell r="C184">
            <v>2</v>
          </cell>
          <cell r="F184">
            <v>47.600000000000009</v>
          </cell>
          <cell r="G184">
            <v>23.77431</v>
          </cell>
          <cell r="H184">
            <v>71.374310000000008</v>
          </cell>
        </row>
        <row r="185">
          <cell r="A185" t="str">
            <v>20233</v>
          </cell>
          <cell r="B185">
            <v>2023</v>
          </cell>
          <cell r="C185">
            <v>3</v>
          </cell>
          <cell r="F185">
            <v>29.75</v>
          </cell>
          <cell r="G185">
            <v>21.764700000000001</v>
          </cell>
          <cell r="H185">
            <v>51.514700000000005</v>
          </cell>
        </row>
        <row r="186">
          <cell r="A186" t="str">
            <v>20234</v>
          </cell>
          <cell r="B186">
            <v>2023</v>
          </cell>
          <cell r="C186">
            <v>4</v>
          </cell>
          <cell r="F186">
            <v>44.45</v>
          </cell>
          <cell r="G186">
            <v>19.516950000000001</v>
          </cell>
          <cell r="H186">
            <v>63.966950000000004</v>
          </cell>
        </row>
        <row r="187">
          <cell r="A187" t="str">
            <v>20235</v>
          </cell>
          <cell r="B187">
            <v>2023</v>
          </cell>
          <cell r="C187">
            <v>5</v>
          </cell>
          <cell r="F187">
            <v>53.900000000000006</v>
          </cell>
          <cell r="G187">
            <v>23.05584</v>
          </cell>
          <cell r="H187">
            <v>76.955840000000009</v>
          </cell>
        </row>
        <row r="188">
          <cell r="A188" t="str">
            <v>20236</v>
          </cell>
          <cell r="B188">
            <v>2023</v>
          </cell>
          <cell r="C188">
            <v>6</v>
          </cell>
          <cell r="F188">
            <v>62.3</v>
          </cell>
          <cell r="G188">
            <v>27.682560000000002</v>
          </cell>
          <cell r="H188">
            <v>89.982560000000007</v>
          </cell>
        </row>
        <row r="189">
          <cell r="A189" t="str">
            <v>20237</v>
          </cell>
          <cell r="B189">
            <v>2023</v>
          </cell>
          <cell r="C189">
            <v>7</v>
          </cell>
          <cell r="F189">
            <v>67.55</v>
          </cell>
          <cell r="G189">
            <v>27.36504</v>
          </cell>
          <cell r="H189">
            <v>94.915040000000005</v>
          </cell>
        </row>
        <row r="190">
          <cell r="A190" t="str">
            <v>20238</v>
          </cell>
          <cell r="B190">
            <v>2023</v>
          </cell>
          <cell r="C190">
            <v>8</v>
          </cell>
          <cell r="F190">
            <v>67.55</v>
          </cell>
          <cell r="G190">
            <v>26.103060000000003</v>
          </cell>
          <cell r="H190">
            <v>93.653059999999996</v>
          </cell>
        </row>
        <row r="191">
          <cell r="A191" t="str">
            <v>20239</v>
          </cell>
          <cell r="B191">
            <v>2023</v>
          </cell>
          <cell r="C191">
            <v>9</v>
          </cell>
          <cell r="F191">
            <v>63.350000000000009</v>
          </cell>
          <cell r="G191">
            <v>25.28172</v>
          </cell>
          <cell r="H191">
            <v>88.631720000000001</v>
          </cell>
        </row>
        <row r="192">
          <cell r="A192" t="str">
            <v>202310</v>
          </cell>
          <cell r="B192">
            <v>2023</v>
          </cell>
          <cell r="C192">
            <v>10</v>
          </cell>
          <cell r="F192">
            <v>49.7</v>
          </cell>
          <cell r="G192">
            <v>22.274999999999999</v>
          </cell>
          <cell r="H192">
            <v>71.974999999999994</v>
          </cell>
        </row>
        <row r="193">
          <cell r="A193" t="str">
            <v>202311</v>
          </cell>
          <cell r="B193">
            <v>2023</v>
          </cell>
          <cell r="C193">
            <v>11</v>
          </cell>
          <cell r="F193">
            <v>40.25</v>
          </cell>
          <cell r="G193">
            <v>25.632450000000002</v>
          </cell>
          <cell r="H193">
            <v>65.882450000000006</v>
          </cell>
        </row>
        <row r="194">
          <cell r="A194" t="str">
            <v>202312</v>
          </cell>
          <cell r="B194">
            <v>2023</v>
          </cell>
          <cell r="C194">
            <v>12</v>
          </cell>
          <cell r="F194">
            <v>39.200000000000003</v>
          </cell>
          <cell r="G194">
            <v>23.03397</v>
          </cell>
          <cell r="H194">
            <v>62.233969999999999</v>
          </cell>
        </row>
        <row r="195">
          <cell r="A195" t="str">
            <v>20241</v>
          </cell>
          <cell r="B195">
            <v>2024</v>
          </cell>
          <cell r="C195">
            <v>1</v>
          </cell>
          <cell r="F195">
            <v>64.400000000000006</v>
          </cell>
          <cell r="H195">
            <v>64.400000000000006</v>
          </cell>
        </row>
        <row r="196">
          <cell r="A196" t="str">
            <v>20242</v>
          </cell>
          <cell r="B196">
            <v>2024</v>
          </cell>
          <cell r="C196">
            <v>2</v>
          </cell>
          <cell r="F196">
            <v>47.600000000000009</v>
          </cell>
          <cell r="H196">
            <v>47.600000000000009</v>
          </cell>
        </row>
        <row r="197">
          <cell r="A197" t="str">
            <v>20243</v>
          </cell>
          <cell r="B197">
            <v>2024</v>
          </cell>
          <cell r="C197">
            <v>3</v>
          </cell>
          <cell r="F197">
            <v>29.75</v>
          </cell>
          <cell r="H197">
            <v>29.75</v>
          </cell>
        </row>
        <row r="198">
          <cell r="A198" t="str">
            <v>20244</v>
          </cell>
          <cell r="B198">
            <v>2024</v>
          </cell>
          <cell r="C198">
            <v>4</v>
          </cell>
          <cell r="F198">
            <v>44.45</v>
          </cell>
          <cell r="H198">
            <v>44.45</v>
          </cell>
        </row>
        <row r="199">
          <cell r="A199" t="str">
            <v>20245</v>
          </cell>
          <cell r="B199">
            <v>2024</v>
          </cell>
          <cell r="C199">
            <v>5</v>
          </cell>
          <cell r="F199">
            <v>53.900000000000006</v>
          </cell>
          <cell r="H199">
            <v>53.900000000000006</v>
          </cell>
        </row>
        <row r="200">
          <cell r="A200" t="str">
            <v>20246</v>
          </cell>
          <cell r="B200">
            <v>2024</v>
          </cell>
          <cell r="C200">
            <v>6</v>
          </cell>
          <cell r="F200">
            <v>62.3</v>
          </cell>
          <cell r="H200">
            <v>62.3</v>
          </cell>
        </row>
        <row r="201">
          <cell r="A201" t="str">
            <v>20247</v>
          </cell>
          <cell r="B201">
            <v>2024</v>
          </cell>
          <cell r="C201">
            <v>7</v>
          </cell>
          <cell r="F201">
            <v>67.55</v>
          </cell>
          <cell r="H201">
            <v>67.55</v>
          </cell>
        </row>
        <row r="202">
          <cell r="A202" t="str">
            <v>20248</v>
          </cell>
          <cell r="B202">
            <v>2024</v>
          </cell>
          <cell r="C202">
            <v>8</v>
          </cell>
          <cell r="F202">
            <v>67.55</v>
          </cell>
          <cell r="H202">
            <v>67.55</v>
          </cell>
        </row>
        <row r="203">
          <cell r="A203" t="str">
            <v>20249</v>
          </cell>
          <cell r="B203">
            <v>2024</v>
          </cell>
          <cell r="C203">
            <v>9</v>
          </cell>
          <cell r="F203">
            <v>63.350000000000009</v>
          </cell>
          <cell r="H203">
            <v>63.350000000000009</v>
          </cell>
        </row>
        <row r="204">
          <cell r="A204" t="str">
            <v>202410</v>
          </cell>
          <cell r="B204">
            <v>2024</v>
          </cell>
          <cell r="C204">
            <v>10</v>
          </cell>
          <cell r="F204">
            <v>49.7</v>
          </cell>
          <cell r="H204">
            <v>49.7</v>
          </cell>
        </row>
        <row r="205">
          <cell r="A205" t="str">
            <v>202411</v>
          </cell>
          <cell r="B205">
            <v>2024</v>
          </cell>
          <cell r="C205">
            <v>11</v>
          </cell>
          <cell r="F205">
            <v>40.25</v>
          </cell>
          <cell r="H205">
            <v>40.25</v>
          </cell>
        </row>
        <row r="206">
          <cell r="A206" t="str">
            <v>202412</v>
          </cell>
          <cell r="B206">
            <v>2024</v>
          </cell>
          <cell r="C206">
            <v>12</v>
          </cell>
          <cell r="F206">
            <v>39.200000000000003</v>
          </cell>
          <cell r="H206">
            <v>39.200000000000003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_Variance"/>
      <sheetName val="Sales_for_Resale_Revenues"/>
      <sheetName val="Contract Charges"/>
      <sheetName val="New Smyrna"/>
      <sheetName val="Quincy"/>
      <sheetName val="Homestead"/>
      <sheetName val="Seminole_Revenues"/>
      <sheetName val="LCEC_Revenues"/>
      <sheetName val="LCEC_Rate_Summary"/>
      <sheetName val="FKEC_Revenues"/>
      <sheetName val="FKEC_Rate Summary"/>
      <sheetName val="FKEC_Transmission"/>
      <sheetName val="Blountstown Revenues"/>
      <sheetName val="Blountstown Transmission"/>
      <sheetName val="Wauchula_Revenues"/>
      <sheetName val="Wauchula_Transmission"/>
      <sheetName val="INPUT_Wauchula"/>
      <sheetName val="INPUT_Wauchula Transmission"/>
      <sheetName val="Winter Park Revenues"/>
      <sheetName val="Winter Park Transmission"/>
      <sheetName val="Summary_NCP"/>
      <sheetName val="Summary_Billed_Sales"/>
      <sheetName val="Summary_NEL"/>
      <sheetName val="Summary_C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111000</v>
          </cell>
          <cell r="D9">
            <v>88000</v>
          </cell>
          <cell r="E9">
            <v>111000</v>
          </cell>
          <cell r="F9">
            <v>123000</v>
          </cell>
          <cell r="G9">
            <v>129000</v>
          </cell>
          <cell r="H9">
            <v>123000</v>
          </cell>
          <cell r="I9">
            <v>140000</v>
          </cell>
          <cell r="J9">
            <v>151000</v>
          </cell>
          <cell r="K9">
            <v>146000</v>
          </cell>
          <cell r="L9">
            <v>128000</v>
          </cell>
          <cell r="M9">
            <v>137000</v>
          </cell>
          <cell r="N9">
            <v>115000</v>
          </cell>
        </row>
        <row r="10">
          <cell r="C10">
            <v>105000</v>
          </cell>
          <cell r="D10">
            <v>113000</v>
          </cell>
          <cell r="E10">
            <v>116000</v>
          </cell>
          <cell r="F10">
            <v>120000</v>
          </cell>
          <cell r="G10">
            <v>151000</v>
          </cell>
          <cell r="H10">
            <v>138000</v>
          </cell>
          <cell r="I10">
            <v>146000</v>
          </cell>
          <cell r="J10">
            <v>152803.99085120461</v>
          </cell>
          <cell r="K10">
            <v>149089.22817258368</v>
          </cell>
          <cell r="L10">
            <v>137523.29672915713</v>
          </cell>
          <cell r="M10">
            <v>131475.29222993914</v>
          </cell>
          <cell r="N10">
            <v>116613.09603833547</v>
          </cell>
        </row>
        <row r="11">
          <cell r="C11">
            <v>111160.89024836439</v>
          </cell>
          <cell r="D11">
            <v>111353.81326672707</v>
          </cell>
          <cell r="E11">
            <v>118484.45422819506</v>
          </cell>
          <cell r="F11">
            <v>112438.25044284546</v>
          </cell>
          <cell r="G11">
            <v>133526.34481025918</v>
          </cell>
          <cell r="H11">
            <v>141937.14102220008</v>
          </cell>
          <cell r="I11">
            <v>146075.34722002738</v>
          </cell>
          <cell r="J11">
            <v>158236.37941839121</v>
          </cell>
          <cell r="K11">
            <v>154358.27806108212</v>
          </cell>
          <cell r="L11">
            <v>142401.98851323352</v>
          </cell>
          <cell r="M11">
            <v>136147.86179669018</v>
          </cell>
          <cell r="N11">
            <v>120787.11155826182</v>
          </cell>
        </row>
        <row r="12">
          <cell r="C12">
            <v>115128.13163669655</v>
          </cell>
          <cell r="D12">
            <v>112403.39279087265</v>
          </cell>
          <cell r="E12">
            <v>119601.24451529191</v>
          </cell>
          <cell r="F12">
            <v>113498.05146746674</v>
          </cell>
          <cell r="G12">
            <v>134784.91434941953</v>
          </cell>
          <cell r="H12">
            <v>143274.98759038022</v>
          </cell>
          <cell r="I12">
            <v>147452.19897684464</v>
          </cell>
          <cell r="J12">
            <v>158738.90960037828</v>
          </cell>
          <cell r="K12">
            <v>155813.20163560953</v>
          </cell>
          <cell r="L12">
            <v>143744.2165605397</v>
          </cell>
          <cell r="M12">
            <v>137431.14077749813</v>
          </cell>
          <cell r="N12">
            <v>121925.60583477636</v>
          </cell>
        </row>
        <row r="13">
          <cell r="C13">
            <v>116213.28647849413</v>
          </cell>
          <cell r="D13">
            <v>113462.86526026356</v>
          </cell>
          <cell r="E13">
            <v>120728.56125122526</v>
          </cell>
          <cell r="F13">
            <v>114567.84178138559</v>
          </cell>
          <cell r="G13">
            <v>136055.34669578206</v>
          </cell>
          <cell r="H13">
            <v>144625.44420147865</v>
          </cell>
          <cell r="I13">
            <v>148842.02842494476</v>
          </cell>
          <cell r="J13">
            <v>161233.76132012784</v>
          </cell>
          <cell r="K13">
            <v>157281.83877726336</v>
          </cell>
          <cell r="L13">
            <v>145099.09594895283</v>
          </cell>
          <cell r="M13">
            <v>138726.51546749208</v>
          </cell>
          <cell r="N13">
            <v>123074.83113383905</v>
          </cell>
        </row>
        <row r="14">
          <cell r="C14">
            <v>117308.6695852165</v>
          </cell>
          <cell r="D14">
            <v>114532.32392211292</v>
          </cell>
          <cell r="E14">
            <v>121866.50365437689</v>
          </cell>
          <cell r="F14">
            <v>115647.71553991832</v>
          </cell>
          <cell r="G14">
            <v>137337.75366374431</v>
          </cell>
          <cell r="H14">
            <v>145988.62971305815</v>
          </cell>
          <cell r="I14">
            <v>150244.95788720675</v>
          </cell>
          <cell r="J14">
            <v>162753.93188071551</v>
          </cell>
          <cell r="K14">
            <v>158764.31874501408</v>
          </cell>
          <cell r="L14">
            <v>146466.74592529683</v>
          </cell>
          <cell r="M14">
            <v>140034.0998763167</v>
          </cell>
          <cell r="N14">
            <v>124234.88860206721</v>
          </cell>
        </row>
        <row r="15">
          <cell r="C15">
            <v>118414.37736467509</v>
          </cell>
          <cell r="D15">
            <v>115611.86290254742</v>
          </cell>
          <cell r="E15">
            <v>123015.17187832414</v>
          </cell>
          <cell r="F15">
            <v>116737.76778585408</v>
          </cell>
          <cell r="G15">
            <v>138632.24812162461</v>
          </cell>
          <cell r="H15">
            <v>147364.66410298843</v>
          </cell>
          <cell r="I15">
            <v>151661.11083947966</v>
          </cell>
          <cell r="J15">
            <v>164287.77128385176</v>
          </cell>
          <cell r="K15">
            <v>160260.77201617902</v>
          </cell>
          <cell r="L15">
            <v>147847.28686037185</v>
          </cell>
          <cell r="M15">
            <v>141354.00908822921</v>
          </cell>
          <cell r="N15">
            <v>125405.88033944847</v>
          </cell>
        </row>
      </sheetData>
      <sheetData sheetId="12"/>
      <sheetData sheetId="13">
        <row r="9">
          <cell r="C9">
            <v>4000</v>
          </cell>
          <cell r="D9">
            <v>7000</v>
          </cell>
          <cell r="E9">
            <v>4000</v>
          </cell>
          <cell r="F9">
            <v>3000</v>
          </cell>
          <cell r="G9">
            <v>7000</v>
          </cell>
          <cell r="H9">
            <v>7000</v>
          </cell>
          <cell r="I9">
            <v>7000</v>
          </cell>
          <cell r="J9">
            <v>8000</v>
          </cell>
          <cell r="K9">
            <v>8000</v>
          </cell>
          <cell r="L9">
            <v>7000</v>
          </cell>
          <cell r="M9">
            <v>7000</v>
          </cell>
          <cell r="N9">
            <v>4000</v>
          </cell>
        </row>
        <row r="10">
          <cell r="C10">
            <v>4000</v>
          </cell>
          <cell r="D10">
            <v>3000</v>
          </cell>
          <cell r="E10">
            <v>8000</v>
          </cell>
          <cell r="F10">
            <v>4000</v>
          </cell>
          <cell r="G10">
            <v>5000</v>
          </cell>
          <cell r="H10">
            <v>7000</v>
          </cell>
          <cell r="I10">
            <v>8000</v>
          </cell>
          <cell r="J10">
            <v>7000</v>
          </cell>
          <cell r="K10">
            <v>9000</v>
          </cell>
          <cell r="L10">
            <v>9000</v>
          </cell>
          <cell r="M10">
            <v>9000</v>
          </cell>
          <cell r="N10">
            <v>9000</v>
          </cell>
        </row>
        <row r="11">
          <cell r="C11">
            <v>9000</v>
          </cell>
          <cell r="D11">
            <v>9000</v>
          </cell>
          <cell r="E11">
            <v>9000</v>
          </cell>
          <cell r="F11">
            <v>9000</v>
          </cell>
          <cell r="G11">
            <v>9000</v>
          </cell>
          <cell r="H11">
            <v>9000</v>
          </cell>
          <cell r="I11">
            <v>9000</v>
          </cell>
          <cell r="J11">
            <v>9000</v>
          </cell>
          <cell r="K11">
            <v>9000</v>
          </cell>
          <cell r="L11">
            <v>9000</v>
          </cell>
          <cell r="M11">
            <v>9000</v>
          </cell>
          <cell r="N11">
            <v>9000</v>
          </cell>
        </row>
        <row r="12">
          <cell r="C12">
            <v>9000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4"/>
      <sheetData sheetId="15">
        <row r="8">
          <cell r="C8">
            <v>9000</v>
          </cell>
          <cell r="D8">
            <v>12000</v>
          </cell>
          <cell r="E8">
            <v>9000</v>
          </cell>
          <cell r="F8">
            <v>8000</v>
          </cell>
          <cell r="G8">
            <v>12000</v>
          </cell>
          <cell r="H8">
            <v>13000</v>
          </cell>
          <cell r="I8">
            <v>13000</v>
          </cell>
          <cell r="J8">
            <v>13000</v>
          </cell>
          <cell r="K8">
            <v>14000</v>
          </cell>
          <cell r="L8">
            <v>12000</v>
          </cell>
          <cell r="M8">
            <v>12000</v>
          </cell>
          <cell r="N8">
            <v>9000</v>
          </cell>
        </row>
        <row r="9">
          <cell r="C9">
            <v>9000</v>
          </cell>
          <cell r="D9">
            <v>8000</v>
          </cell>
          <cell r="E9">
            <v>13000</v>
          </cell>
          <cell r="F9">
            <v>10000</v>
          </cell>
          <cell r="G9">
            <v>11000</v>
          </cell>
          <cell r="H9">
            <v>12000</v>
          </cell>
          <cell r="I9">
            <v>13000</v>
          </cell>
          <cell r="J9">
            <v>12000</v>
          </cell>
          <cell r="K9">
            <v>13000</v>
          </cell>
          <cell r="L9">
            <v>13000</v>
          </cell>
          <cell r="M9">
            <v>13000</v>
          </cell>
          <cell r="N9">
            <v>13000</v>
          </cell>
        </row>
        <row r="10">
          <cell r="C10">
            <v>13000</v>
          </cell>
          <cell r="D10">
            <v>13000</v>
          </cell>
          <cell r="E10">
            <v>13000</v>
          </cell>
          <cell r="F10">
            <v>13000</v>
          </cell>
          <cell r="G10">
            <v>13000</v>
          </cell>
          <cell r="H10">
            <v>13000</v>
          </cell>
          <cell r="I10">
            <v>13000</v>
          </cell>
          <cell r="J10">
            <v>13000</v>
          </cell>
          <cell r="K10">
            <v>13000</v>
          </cell>
          <cell r="L10">
            <v>13000</v>
          </cell>
          <cell r="M10">
            <v>13000</v>
          </cell>
          <cell r="N10">
            <v>13000</v>
          </cell>
        </row>
        <row r="11">
          <cell r="C11">
            <v>13000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</row>
      </sheetData>
      <sheetData sheetId="16"/>
      <sheetData sheetId="17"/>
      <sheetData sheetId="18"/>
      <sheetData sheetId="19">
        <row r="9">
          <cell r="C9">
            <v>0</v>
          </cell>
        </row>
        <row r="10">
          <cell r="C10">
            <v>23000</v>
          </cell>
          <cell r="D10">
            <v>26000</v>
          </cell>
          <cell r="E10">
            <v>45000</v>
          </cell>
          <cell r="F10">
            <v>36000</v>
          </cell>
          <cell r="G10">
            <v>45000</v>
          </cell>
          <cell r="H10">
            <v>54000</v>
          </cell>
          <cell r="I10">
            <v>60000</v>
          </cell>
          <cell r="J10">
            <v>55000</v>
          </cell>
          <cell r="K10">
            <v>60000</v>
          </cell>
          <cell r="L10">
            <v>60000</v>
          </cell>
          <cell r="M10">
            <v>60000</v>
          </cell>
          <cell r="N10">
            <v>60000</v>
          </cell>
        </row>
        <row r="11">
          <cell r="C11">
            <v>60000</v>
          </cell>
          <cell r="D11">
            <v>60000</v>
          </cell>
          <cell r="E11">
            <v>60000</v>
          </cell>
          <cell r="F11">
            <v>60000</v>
          </cell>
          <cell r="G11">
            <v>60000</v>
          </cell>
          <cell r="H11">
            <v>60000</v>
          </cell>
          <cell r="I11">
            <v>60000</v>
          </cell>
          <cell r="J11">
            <v>60000</v>
          </cell>
          <cell r="K11">
            <v>60000</v>
          </cell>
          <cell r="L11">
            <v>60000</v>
          </cell>
          <cell r="M11">
            <v>60000</v>
          </cell>
          <cell r="N11">
            <v>60000</v>
          </cell>
        </row>
        <row r="12">
          <cell r="C12">
            <v>60000</v>
          </cell>
          <cell r="D12">
            <v>60000</v>
          </cell>
          <cell r="K12">
            <v>60000</v>
          </cell>
        </row>
        <row r="13">
          <cell r="D13">
            <v>60000</v>
          </cell>
          <cell r="K13">
            <v>60000</v>
          </cell>
        </row>
        <row r="14">
          <cell r="D14">
            <v>60000</v>
          </cell>
          <cell r="K14">
            <v>60000</v>
          </cell>
        </row>
      </sheetData>
      <sheetData sheetId="20"/>
      <sheetData sheetId="21"/>
      <sheetData sheetId="22"/>
      <sheetData sheetId="23">
        <row r="3">
          <cell r="E3">
            <v>180</v>
          </cell>
        </row>
        <row r="4">
          <cell r="E4">
            <v>760</v>
          </cell>
        </row>
        <row r="5">
          <cell r="E5">
            <v>556</v>
          </cell>
        </row>
        <row r="6">
          <cell r="E6">
            <v>586</v>
          </cell>
        </row>
        <row r="7">
          <cell r="E7">
            <v>711</v>
          </cell>
        </row>
        <row r="8">
          <cell r="E8">
            <v>728</v>
          </cell>
        </row>
        <row r="9">
          <cell r="E9">
            <v>781</v>
          </cell>
        </row>
        <row r="10">
          <cell r="E10">
            <v>725</v>
          </cell>
        </row>
        <row r="11">
          <cell r="E11">
            <v>829</v>
          </cell>
        </row>
        <row r="12">
          <cell r="E12">
            <v>701</v>
          </cell>
        </row>
        <row r="13">
          <cell r="E13">
            <v>760</v>
          </cell>
        </row>
        <row r="14">
          <cell r="E14">
            <v>598</v>
          </cell>
        </row>
        <row r="15">
          <cell r="E15">
            <v>557</v>
          </cell>
        </row>
        <row r="16">
          <cell r="E16">
            <v>586</v>
          </cell>
        </row>
        <row r="17">
          <cell r="E17">
            <v>907</v>
          </cell>
        </row>
        <row r="18">
          <cell r="E18">
            <v>688</v>
          </cell>
        </row>
        <row r="19">
          <cell r="E19">
            <v>787</v>
          </cell>
        </row>
        <row r="20">
          <cell r="E20">
            <v>761</v>
          </cell>
        </row>
        <row r="21">
          <cell r="E21">
            <v>836</v>
          </cell>
        </row>
        <row r="22">
          <cell r="E22">
            <v>746</v>
          </cell>
        </row>
        <row r="23">
          <cell r="E23">
            <v>768.41322194028521</v>
          </cell>
        </row>
        <row r="24">
          <cell r="E24">
            <v>659.50849513881133</v>
          </cell>
        </row>
        <row r="25">
          <cell r="E25">
            <v>681.27973337934486</v>
          </cell>
        </row>
        <row r="26">
          <cell r="E26">
            <v>607.85977166682403</v>
          </cell>
        </row>
        <row r="27">
          <cell r="E27">
            <v>615.85281351076048</v>
          </cell>
        </row>
        <row r="28">
          <cell r="E28">
            <v>744.42379360659265</v>
          </cell>
        </row>
        <row r="29">
          <cell r="E29">
            <v>668.27951810135085</v>
          </cell>
        </row>
        <row r="30">
          <cell r="E30">
            <v>615.77147353287455</v>
          </cell>
        </row>
        <row r="31">
          <cell r="E31">
            <v>600.1545348394036</v>
          </cell>
        </row>
        <row r="32">
          <cell r="E32">
            <v>696.31411686990054</v>
          </cell>
        </row>
        <row r="33">
          <cell r="E33">
            <v>765.84739959939191</v>
          </cell>
        </row>
        <row r="34">
          <cell r="E34">
            <v>744.90402897998797</v>
          </cell>
        </row>
        <row r="35">
          <cell r="E35">
            <v>779.04235336340776</v>
          </cell>
        </row>
        <row r="36">
          <cell r="E36">
            <v>668.99971586675804</v>
          </cell>
        </row>
        <row r="37">
          <cell r="E37">
            <v>706.27043479170379</v>
          </cell>
        </row>
        <row r="38">
          <cell r="E38">
            <v>580.93450240306311</v>
          </cell>
        </row>
        <row r="39">
          <cell r="E39">
            <v>545.6726856701282</v>
          </cell>
        </row>
        <row r="40">
          <cell r="E40">
            <v>745.1678696363025</v>
          </cell>
        </row>
        <row r="41">
          <cell r="E41">
            <v>668.94580175186036</v>
          </cell>
        </row>
        <row r="42">
          <cell r="E42">
            <v>616.44913839736409</v>
          </cell>
        </row>
        <row r="43">
          <cell r="E43">
            <v>603.91822942080398</v>
          </cell>
        </row>
        <row r="44">
          <cell r="E44">
            <v>699.80199552638896</v>
          </cell>
        </row>
        <row r="45">
          <cell r="E45">
            <v>768.53240615780908</v>
          </cell>
        </row>
        <row r="46">
          <cell r="E46">
            <v>749.12397131151192</v>
          </cell>
        </row>
        <row r="47">
          <cell r="E47">
            <v>783.47567703109326</v>
          </cell>
        </row>
        <row r="48">
          <cell r="E48">
            <v>672.81595490237191</v>
          </cell>
        </row>
        <row r="49">
          <cell r="E49">
            <v>708.66905835224725</v>
          </cell>
        </row>
        <row r="50">
          <cell r="E50">
            <v>582.11712190809203</v>
          </cell>
        </row>
        <row r="51">
          <cell r="E51">
            <v>547.18016422875758</v>
          </cell>
        </row>
        <row r="52">
          <cell r="E52">
            <v>745.91194566601234</v>
          </cell>
        </row>
        <row r="53">
          <cell r="E53">
            <v>669.61606321520867</v>
          </cell>
        </row>
        <row r="54">
          <cell r="E54">
            <v>617.12779836444474</v>
          </cell>
        </row>
        <row r="55">
          <cell r="E55">
            <v>607.71344733245473</v>
          </cell>
        </row>
        <row r="56">
          <cell r="E56">
            <v>703.43350413311668</v>
          </cell>
        </row>
        <row r="57">
          <cell r="E57">
            <v>771.22928889709669</v>
          </cell>
        </row>
        <row r="58">
          <cell r="E58">
            <v>753.37070692768032</v>
          </cell>
        </row>
        <row r="59">
          <cell r="E59">
            <v>787.93658582382216</v>
          </cell>
        </row>
        <row r="60">
          <cell r="E60">
            <v>676.65609522630905</v>
          </cell>
        </row>
        <row r="61">
          <cell r="E61">
            <v>711.07563095524495</v>
          </cell>
        </row>
        <row r="62">
          <cell r="E62">
            <v>583.30769179634785</v>
          </cell>
        </row>
        <row r="63">
          <cell r="E63">
            <v>548.69751494559682</v>
          </cell>
        </row>
        <row r="64">
          <cell r="E64">
            <v>746.65800325638725</v>
          </cell>
        </row>
        <row r="65">
          <cell r="E65">
            <v>670.28533022534725</v>
          </cell>
        </row>
        <row r="66">
          <cell r="E66">
            <v>617.80944363929848</v>
          </cell>
        </row>
        <row r="67">
          <cell r="E67">
            <v>611.53923332192392</v>
          </cell>
        </row>
        <row r="68">
          <cell r="E68">
            <v>707.08345171994279</v>
          </cell>
        </row>
        <row r="69">
          <cell r="E69">
            <v>773.9390374989938</v>
          </cell>
        </row>
        <row r="70">
          <cell r="E70">
            <v>757.64710653756242</v>
          </cell>
        </row>
        <row r="71">
          <cell r="E71">
            <v>792.42803529070613</v>
          </cell>
        </row>
        <row r="72">
          <cell r="E72">
            <v>680.52367777017298</v>
          </cell>
        </row>
        <row r="73">
          <cell r="E73">
            <v>713.5040634249915</v>
          </cell>
        </row>
        <row r="74">
          <cell r="E74">
            <v>584.50124307831402</v>
          </cell>
        </row>
        <row r="75">
          <cell r="E75">
            <v>550.22177617318289</v>
          </cell>
        </row>
        <row r="76">
          <cell r="E76">
            <v>747.40604240742721</v>
          </cell>
        </row>
        <row r="77">
          <cell r="E77">
            <v>670.95459723548583</v>
          </cell>
        </row>
        <row r="78">
          <cell r="E78">
            <v>618.49009381156111</v>
          </cell>
        </row>
        <row r="79">
          <cell r="E79">
            <v>615.39654264164335</v>
          </cell>
        </row>
        <row r="80">
          <cell r="E80">
            <v>710.75572017741422</v>
          </cell>
        </row>
        <row r="81">
          <cell r="E81">
            <v>776.66165196350028</v>
          </cell>
        </row>
        <row r="82">
          <cell r="E82">
            <v>761.95125633511213</v>
          </cell>
        </row>
        <row r="83">
          <cell r="E83">
            <v>796.9519957978199</v>
          </cell>
        </row>
        <row r="84">
          <cell r="E84">
            <v>684.41693206816183</v>
          </cell>
        </row>
        <row r="85">
          <cell r="E85">
            <v>715.93647041596512</v>
          </cell>
        </row>
        <row r="86">
          <cell r="E86">
            <v>585.70075714770041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ERO_CP"/>
    </sheetNames>
    <sheetDataSet>
      <sheetData sheetId="0"/>
      <sheetData sheetId="1">
        <row r="4">
          <cell r="B4">
            <v>183.64</v>
          </cell>
          <cell r="C4">
            <v>147.59</v>
          </cell>
          <cell r="D4">
            <v>129.07</v>
          </cell>
          <cell r="E4">
            <v>133.44</v>
          </cell>
          <cell r="F4">
            <v>148.52000000000001</v>
          </cell>
          <cell r="G4">
            <v>162.25</v>
          </cell>
          <cell r="H4">
            <v>160.81</v>
          </cell>
          <cell r="I4">
            <v>173.21</v>
          </cell>
          <cell r="J4">
            <v>162.91</v>
          </cell>
          <cell r="K4">
            <v>151.77000000000001</v>
          </cell>
          <cell r="L4">
            <v>131.63</v>
          </cell>
          <cell r="M4">
            <v>138.59</v>
          </cell>
        </row>
        <row r="5">
          <cell r="B5">
            <v>175</v>
          </cell>
          <cell r="C5">
            <v>151</v>
          </cell>
          <cell r="D5">
            <v>121</v>
          </cell>
          <cell r="E5">
            <v>126</v>
          </cell>
          <cell r="F5">
            <v>138</v>
          </cell>
          <cell r="G5">
            <v>152</v>
          </cell>
          <cell r="H5">
            <v>151</v>
          </cell>
          <cell r="I5">
            <v>162</v>
          </cell>
          <cell r="J5">
            <v>153</v>
          </cell>
          <cell r="K5">
            <v>144</v>
          </cell>
          <cell r="L5">
            <v>123</v>
          </cell>
          <cell r="M5">
            <v>138</v>
          </cell>
        </row>
        <row r="6">
          <cell r="B6">
            <v>177</v>
          </cell>
          <cell r="C6">
            <v>154</v>
          </cell>
          <cell r="D6">
            <v>123</v>
          </cell>
          <cell r="E6">
            <v>127</v>
          </cell>
          <cell r="F6">
            <v>140</v>
          </cell>
          <cell r="G6">
            <v>154</v>
          </cell>
          <cell r="H6">
            <v>152</v>
          </cell>
          <cell r="I6">
            <v>164</v>
          </cell>
          <cell r="J6">
            <v>154</v>
          </cell>
          <cell r="K6">
            <v>145</v>
          </cell>
          <cell r="L6">
            <v>124</v>
          </cell>
          <cell r="M6">
            <v>139</v>
          </cell>
        </row>
        <row r="7">
          <cell r="B7">
            <v>179</v>
          </cell>
          <cell r="C7">
            <v>155</v>
          </cell>
          <cell r="D7">
            <v>124</v>
          </cell>
          <cell r="E7">
            <v>128</v>
          </cell>
          <cell r="F7">
            <v>141</v>
          </cell>
          <cell r="G7">
            <v>155</v>
          </cell>
          <cell r="H7">
            <v>154</v>
          </cell>
          <cell r="I7">
            <v>165</v>
          </cell>
          <cell r="J7">
            <v>156</v>
          </cell>
          <cell r="K7">
            <v>147</v>
          </cell>
          <cell r="L7">
            <v>125</v>
          </cell>
          <cell r="M7">
            <v>141</v>
          </cell>
        </row>
        <row r="8">
          <cell r="B8">
            <v>180</v>
          </cell>
          <cell r="C8">
            <v>157</v>
          </cell>
          <cell r="D8">
            <v>125</v>
          </cell>
          <cell r="E8">
            <v>129</v>
          </cell>
          <cell r="F8">
            <v>143</v>
          </cell>
          <cell r="G8">
            <v>157</v>
          </cell>
          <cell r="H8">
            <v>155</v>
          </cell>
          <cell r="I8">
            <v>166</v>
          </cell>
          <cell r="J8">
            <v>157</v>
          </cell>
          <cell r="K8">
            <v>148</v>
          </cell>
          <cell r="L8">
            <v>126</v>
          </cell>
          <cell r="M8">
            <v>142</v>
          </cell>
        </row>
        <row r="9">
          <cell r="B9">
            <v>182</v>
          </cell>
          <cell r="C9">
            <v>158</v>
          </cell>
          <cell r="D9">
            <v>126</v>
          </cell>
          <cell r="E9">
            <v>131</v>
          </cell>
          <cell r="F9">
            <v>144</v>
          </cell>
          <cell r="G9">
            <v>158</v>
          </cell>
          <cell r="H9">
            <v>157</v>
          </cell>
          <cell r="I9">
            <v>168</v>
          </cell>
          <cell r="J9">
            <v>159</v>
          </cell>
          <cell r="K9">
            <v>149</v>
          </cell>
          <cell r="L9">
            <v>128</v>
          </cell>
          <cell r="M9">
            <v>143</v>
          </cell>
        </row>
        <row r="10">
          <cell r="B10">
            <v>183</v>
          </cell>
          <cell r="C10">
            <v>160</v>
          </cell>
          <cell r="D10">
            <v>128</v>
          </cell>
          <cell r="E10">
            <v>131</v>
          </cell>
          <cell r="F10">
            <v>145</v>
          </cell>
          <cell r="G10">
            <v>160</v>
          </cell>
          <cell r="H10">
            <v>158</v>
          </cell>
          <cell r="I10">
            <v>169</v>
          </cell>
          <cell r="J10">
            <v>160</v>
          </cell>
          <cell r="K10">
            <v>151</v>
          </cell>
          <cell r="L10">
            <v>129</v>
          </cell>
          <cell r="M10">
            <v>145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1.1"/>
      <sheetName val="_Ex1.2"/>
      <sheetName val="_Ex2.1"/>
      <sheetName val="_Ex2.2"/>
      <sheetName val="_Ex2.3"/>
      <sheetName val="_Ex2.4"/>
      <sheetName val="_Ex2.5"/>
      <sheetName val="_Ex3"/>
      <sheetName val="_Ex4"/>
      <sheetName val="-"/>
      <sheetName val="Sheet1"/>
    </sheetNames>
    <sheetDataSet>
      <sheetData sheetId="0">
        <row r="16">
          <cell r="D16">
            <v>179.2</v>
          </cell>
          <cell r="G16">
            <v>22.3</v>
          </cell>
          <cell r="J16">
            <v>19.3</v>
          </cell>
          <cell r="M16">
            <v>13.6</v>
          </cell>
          <cell r="P16">
            <v>87</v>
          </cell>
          <cell r="S16">
            <v>91.8</v>
          </cell>
        </row>
        <row r="17">
          <cell r="D17">
            <v>166.8</v>
          </cell>
          <cell r="G17">
            <v>23.5</v>
          </cell>
          <cell r="J17">
            <v>20.5</v>
          </cell>
          <cell r="M17">
            <v>14.8</v>
          </cell>
          <cell r="P17">
            <v>135</v>
          </cell>
          <cell r="S17">
            <v>107.2</v>
          </cell>
        </row>
        <row r="20">
          <cell r="D20">
            <v>180.9</v>
          </cell>
          <cell r="G20">
            <v>23</v>
          </cell>
          <cell r="J20">
            <v>19.5</v>
          </cell>
          <cell r="M20">
            <v>13.7</v>
          </cell>
          <cell r="P20">
            <v>87.5</v>
          </cell>
          <cell r="S20">
            <v>92.1</v>
          </cell>
        </row>
        <row r="21">
          <cell r="D21">
            <v>168.3</v>
          </cell>
          <cell r="G21">
            <v>24.2</v>
          </cell>
          <cell r="J21">
            <v>20.7</v>
          </cell>
          <cell r="M21">
            <v>14.8</v>
          </cell>
          <cell r="P21">
            <v>135.80000000000001</v>
          </cell>
          <cell r="S21">
            <v>107.6</v>
          </cell>
        </row>
        <row r="24">
          <cell r="D24">
            <v>182.5</v>
          </cell>
          <cell r="G24">
            <v>23.6</v>
          </cell>
          <cell r="J24">
            <v>19.7</v>
          </cell>
          <cell r="M24">
            <v>13.7</v>
          </cell>
          <cell r="P24">
            <v>88</v>
          </cell>
          <cell r="S24">
            <v>92.7</v>
          </cell>
        </row>
        <row r="25">
          <cell r="D25">
            <v>169.8</v>
          </cell>
          <cell r="G25">
            <v>24.8</v>
          </cell>
          <cell r="J25">
            <v>20.9</v>
          </cell>
          <cell r="M25">
            <v>14.9</v>
          </cell>
          <cell r="P25">
            <v>136.5</v>
          </cell>
          <cell r="S25">
            <v>108.3</v>
          </cell>
        </row>
        <row r="28">
          <cell r="D28">
            <v>184</v>
          </cell>
          <cell r="G28">
            <v>24.2</v>
          </cell>
          <cell r="J28">
            <v>19.899999999999999</v>
          </cell>
          <cell r="M28">
            <v>13.8</v>
          </cell>
          <cell r="P28">
            <v>88.6</v>
          </cell>
          <cell r="S28">
            <v>93.3</v>
          </cell>
        </row>
        <row r="29">
          <cell r="D29">
            <v>171.2</v>
          </cell>
          <cell r="G29">
            <v>25.4</v>
          </cell>
          <cell r="J29">
            <v>21.1</v>
          </cell>
          <cell r="M29">
            <v>15</v>
          </cell>
          <cell r="P29">
            <v>137.4</v>
          </cell>
          <cell r="S29">
            <v>109</v>
          </cell>
        </row>
        <row r="32">
          <cell r="D32">
            <v>185.4</v>
          </cell>
          <cell r="G32">
            <v>24.7</v>
          </cell>
          <cell r="J32">
            <v>20.100000000000001</v>
          </cell>
          <cell r="M32">
            <v>13.9</v>
          </cell>
          <cell r="P32">
            <v>89.2</v>
          </cell>
          <cell r="S32">
            <v>93.9</v>
          </cell>
        </row>
        <row r="33">
          <cell r="D33">
            <v>172.6</v>
          </cell>
          <cell r="G33">
            <v>26</v>
          </cell>
          <cell r="J33">
            <v>21.3</v>
          </cell>
          <cell r="M33">
            <v>15.1</v>
          </cell>
          <cell r="P33">
            <v>138.4</v>
          </cell>
          <cell r="S33">
            <v>109.8</v>
          </cell>
        </row>
        <row r="36">
          <cell r="D36">
            <v>186.9</v>
          </cell>
          <cell r="G36">
            <v>25.2</v>
          </cell>
          <cell r="J36">
            <v>20.2</v>
          </cell>
          <cell r="M36">
            <v>14</v>
          </cell>
          <cell r="P36">
            <v>89.9</v>
          </cell>
          <cell r="R36">
            <v>96.5</v>
          </cell>
          <cell r="S36">
            <v>94.5</v>
          </cell>
        </row>
        <row r="37">
          <cell r="D37">
            <v>174</v>
          </cell>
          <cell r="G37">
            <v>26.6</v>
          </cell>
          <cell r="J37">
            <v>21.5</v>
          </cell>
          <cell r="M37">
            <v>15.2</v>
          </cell>
          <cell r="P37">
            <v>139.4</v>
          </cell>
          <cell r="R37">
            <v>112</v>
          </cell>
          <cell r="S37">
            <v>110.5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n"/>
      <sheetName val="NonCoin"/>
    </sheetNames>
    <sheetDataSet>
      <sheetData sheetId="0">
        <row r="45">
          <cell r="B45">
            <v>552997.99999999977</v>
          </cell>
          <cell r="C45">
            <v>462315.99999999977</v>
          </cell>
          <cell r="D45">
            <v>397681.00000000012</v>
          </cell>
          <cell r="E45">
            <v>374618.00000000017</v>
          </cell>
          <cell r="F45">
            <v>421063.00000000023</v>
          </cell>
          <cell r="G45">
            <v>458192.99999999953</v>
          </cell>
          <cell r="H45">
            <v>454653</v>
          </cell>
          <cell r="I45">
            <v>458307.00000000012</v>
          </cell>
          <cell r="J45">
            <v>427158.00000000006</v>
          </cell>
          <cell r="K45">
            <v>395161.00000000006</v>
          </cell>
          <cell r="L45">
            <v>339740.00000000041</v>
          </cell>
          <cell r="M45">
            <v>463474.00000000041</v>
          </cell>
        </row>
        <row r="92">
          <cell r="B92">
            <v>566819.99999999977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n"/>
      <sheetName val="NonCoin"/>
    </sheetNames>
    <sheetDataSet>
      <sheetData sheetId="0">
        <row r="45">
          <cell r="B45">
            <v>552997.99999999977</v>
          </cell>
          <cell r="C45">
            <v>462315.99999999977</v>
          </cell>
          <cell r="D45">
            <v>397681.00000000012</v>
          </cell>
          <cell r="E45">
            <v>374618.00000000017</v>
          </cell>
          <cell r="F45">
            <v>421063.00000000023</v>
          </cell>
          <cell r="G45">
            <v>458192.99999999953</v>
          </cell>
          <cell r="H45">
            <v>454653</v>
          </cell>
          <cell r="I45">
            <v>458307.00000000012</v>
          </cell>
          <cell r="J45">
            <v>427158.00000000006</v>
          </cell>
          <cell r="K45">
            <v>395161.00000000006</v>
          </cell>
          <cell r="L45">
            <v>339740.00000000041</v>
          </cell>
          <cell r="M45">
            <v>463474.00000000041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y"/>
      <sheetName val="Glades"/>
      <sheetName val="Peace River"/>
      <sheetName val="Suwannee Valley"/>
      <sheetName val="Total Seminole"/>
    </sheetNames>
    <sheetDataSet>
      <sheetData sheetId="0"/>
      <sheetData sheetId="1"/>
      <sheetData sheetId="2"/>
      <sheetData sheetId="3"/>
      <sheetData sheetId="4">
        <row r="10">
          <cell r="B10">
            <v>521466</v>
          </cell>
          <cell r="C10">
            <v>427422</v>
          </cell>
          <cell r="D10">
            <v>381260</v>
          </cell>
          <cell r="E10">
            <v>360521</v>
          </cell>
          <cell r="F10">
            <v>409183</v>
          </cell>
          <cell r="G10">
            <v>442770</v>
          </cell>
          <cell r="H10">
            <v>439071</v>
          </cell>
          <cell r="I10">
            <v>438159</v>
          </cell>
          <cell r="J10">
            <v>443170</v>
          </cell>
          <cell r="K10">
            <v>384147</v>
          </cell>
          <cell r="L10">
            <v>371047</v>
          </cell>
          <cell r="M10">
            <v>401928</v>
          </cell>
        </row>
        <row r="11">
          <cell r="B11">
            <v>531216</v>
          </cell>
          <cell r="C11">
            <v>421803</v>
          </cell>
          <cell r="D11">
            <v>388042</v>
          </cell>
          <cell r="E11">
            <v>367173</v>
          </cell>
          <cell r="F11">
            <v>415663</v>
          </cell>
          <cell r="G11">
            <v>449990</v>
          </cell>
          <cell r="H11">
            <v>446398</v>
          </cell>
          <cell r="I11">
            <v>445351</v>
          </cell>
          <cell r="J11">
            <v>450611</v>
          </cell>
          <cell r="K11">
            <v>390875</v>
          </cell>
          <cell r="L11">
            <v>377082</v>
          </cell>
          <cell r="M11">
            <v>408350</v>
          </cell>
        </row>
        <row r="12">
          <cell r="B12">
            <v>545059</v>
          </cell>
          <cell r="C12">
            <v>434335</v>
          </cell>
          <cell r="D12">
            <v>399322</v>
          </cell>
          <cell r="E12">
            <v>378072</v>
          </cell>
          <cell r="F12">
            <v>426788</v>
          </cell>
          <cell r="G12">
            <v>458515</v>
          </cell>
          <cell r="H12">
            <v>454939</v>
          </cell>
          <cell r="I12">
            <v>453511</v>
          </cell>
          <cell r="J12">
            <v>459480</v>
          </cell>
          <cell r="K12">
            <v>399421</v>
          </cell>
          <cell r="L12">
            <v>385009</v>
          </cell>
          <cell r="M12">
            <v>416522</v>
          </cell>
        </row>
        <row r="13">
          <cell r="B13">
            <v>550644</v>
          </cell>
          <cell r="C13">
            <v>438917</v>
          </cell>
          <cell r="D13">
            <v>403138</v>
          </cell>
          <cell r="E13">
            <v>382060</v>
          </cell>
          <cell r="F13">
            <v>431170</v>
          </cell>
          <cell r="G13">
            <v>465687</v>
          </cell>
          <cell r="H13">
            <v>462081</v>
          </cell>
          <cell r="I13">
            <v>460591</v>
          </cell>
          <cell r="J13">
            <v>467001</v>
          </cell>
          <cell r="K13">
            <v>406071</v>
          </cell>
          <cell r="L13">
            <v>391357</v>
          </cell>
          <cell r="M13">
            <v>423458</v>
          </cell>
        </row>
        <row r="14">
          <cell r="B14">
            <v>559340</v>
          </cell>
          <cell r="C14">
            <v>460654</v>
          </cell>
          <cell r="D14">
            <v>409494</v>
          </cell>
          <cell r="E14">
            <v>388301</v>
          </cell>
          <cell r="F14">
            <v>437996</v>
          </cell>
          <cell r="G14">
            <v>472662</v>
          </cell>
          <cell r="H14">
            <v>468941</v>
          </cell>
          <cell r="I14">
            <v>467395</v>
          </cell>
          <cell r="J14">
            <v>474218</v>
          </cell>
          <cell r="K14">
            <v>412527</v>
          </cell>
          <cell r="L14">
            <v>397489</v>
          </cell>
          <cell r="M14">
            <v>430098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sale_Revenues_FNG"/>
      <sheetName val="graph_table_Transmission"/>
      <sheetName val="graph_table_power_sale"/>
      <sheetName val="TR NSB"/>
      <sheetName val="Assumptions"/>
      <sheetName val="Total Revenues"/>
      <sheetName val="FMPA Network"/>
      <sheetName val="SECI Network"/>
      <sheetName val="SECI Network Distribution"/>
      <sheetName val="SECI Regulation_Imbalance"/>
      <sheetName val="CES_rate"/>
      <sheetName val="charges"/>
      <sheetName val="FMPA (PR)"/>
      <sheetName val="FMPA (FUEL)"/>
      <sheetName val="L.T.Contracts"/>
      <sheetName val="TSAS Demand Revenues"/>
      <sheetName val="TSAS Reactive Revenues"/>
      <sheetName val="MDRR Losses Demand Revenues"/>
      <sheetName val="MDRR Losses Variable O&amp;M Rev"/>
      <sheetName val="st_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Graph"/>
    </sheetNames>
    <sheetDataSet>
      <sheetData sheetId="0"/>
      <sheetData sheetId="1">
        <row r="19">
          <cell r="L19">
            <v>-252959.05</v>
          </cell>
          <cell r="M19">
            <v>-211139.89</v>
          </cell>
          <cell r="N19">
            <v>-230869.65</v>
          </cell>
          <cell r="O19">
            <v>-165524.70000000001</v>
          </cell>
          <cell r="P19">
            <v>-230869.65</v>
          </cell>
          <cell r="Q19">
            <v>-338831.64</v>
          </cell>
          <cell r="R19">
            <v>-225520.52</v>
          </cell>
          <cell r="S19">
            <v>-328491.74</v>
          </cell>
          <cell r="T19">
            <v>-320710.51</v>
          </cell>
          <cell r="U19">
            <v>-438157.95</v>
          </cell>
          <cell r="V19">
            <v>-323720.68</v>
          </cell>
          <cell r="W19">
            <v>-226700.14</v>
          </cell>
        </row>
        <row r="20">
          <cell r="L20">
            <v>-31266.38</v>
          </cell>
          <cell r="M20">
            <v>-33737.19</v>
          </cell>
          <cell r="N20">
            <v>-33995.410000000003</v>
          </cell>
          <cell r="O20">
            <v>-34925.39</v>
          </cell>
          <cell r="P20">
            <v>-33923.370000000003</v>
          </cell>
          <cell r="Q20">
            <v>-16500.57</v>
          </cell>
          <cell r="R20">
            <v>-25237.65</v>
          </cell>
          <cell r="S20">
            <v>-31769.99</v>
          </cell>
          <cell r="T20">
            <v>-41391.03</v>
          </cell>
          <cell r="U20">
            <v>-29168.31</v>
          </cell>
          <cell r="V20">
            <v>-28251.96</v>
          </cell>
          <cell r="W20">
            <v>-31973.599999999999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_TR_Forecast"/>
    </sheetNames>
    <sheetDataSet>
      <sheetData sheetId="0">
        <row r="68">
          <cell r="D68">
            <v>17455.669999999998</v>
          </cell>
        </row>
        <row r="77">
          <cell r="G77">
            <v>4016.17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13">
          <cell r="C13">
            <v>15000</v>
          </cell>
          <cell r="D13">
            <v>15450</v>
          </cell>
          <cell r="E13">
            <v>15914</v>
          </cell>
          <cell r="F13">
            <v>22891</v>
          </cell>
          <cell r="G13">
            <v>25883</v>
          </cell>
        </row>
        <row r="18">
          <cell r="C18">
            <v>18000</v>
          </cell>
          <cell r="D18">
            <v>18450</v>
          </cell>
          <cell r="E18">
            <v>18911</v>
          </cell>
          <cell r="F18">
            <v>25884</v>
          </cell>
          <cell r="G18">
            <v>28869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D6">
            <v>68.926315071512093</v>
          </cell>
          <cell r="E6">
            <v>67.308563800946999</v>
          </cell>
          <cell r="F6">
            <v>70.321625542374406</v>
          </cell>
          <cell r="G6">
            <v>73.587460919827606</v>
          </cell>
          <cell r="H6">
            <v>82.333428726319895</v>
          </cell>
          <cell r="I6">
            <v>86.478916357142822</v>
          </cell>
          <cell r="J6">
            <v>89.926748752534579</v>
          </cell>
          <cell r="K6">
            <v>90.452517915468206</v>
          </cell>
          <cell r="L6">
            <v>87.318124828748438</v>
          </cell>
          <cell r="M6">
            <v>81.969434690442739</v>
          </cell>
          <cell r="N6">
            <v>73.102135538658075</v>
          </cell>
          <cell r="O6">
            <v>69.401529507240539</v>
          </cell>
        </row>
        <row r="7">
          <cell r="D7">
            <v>69.383549041638517</v>
          </cell>
          <cell r="E7">
            <v>67.76413016722509</v>
          </cell>
          <cell r="F7">
            <v>70.751505357913203</v>
          </cell>
          <cell r="G7">
            <v>73.980284604414507</v>
          </cell>
          <cell r="H7">
            <v>82.660772111363485</v>
          </cell>
          <cell r="I7">
            <v>86.784758064838655</v>
          </cell>
          <cell r="J7">
            <v>90.204648855525406</v>
          </cell>
          <cell r="K7">
            <v>90.727690976453957</v>
          </cell>
          <cell r="L7">
            <v>87.589438250882594</v>
          </cell>
          <cell r="M7">
            <v>82.258432018341509</v>
          </cell>
          <cell r="N7">
            <v>73.447183981160393</v>
          </cell>
          <cell r="O7">
            <v>69.765772130009381</v>
          </cell>
        </row>
        <row r="8">
          <cell r="D8">
            <v>69.796943041193671</v>
          </cell>
          <cell r="E8">
            <v>68.19517728006474</v>
          </cell>
          <cell r="F8">
            <v>71.158443938153269</v>
          </cell>
          <cell r="G8">
            <v>74.351964424404102</v>
          </cell>
          <cell r="H8">
            <v>82.971466426479225</v>
          </cell>
          <cell r="I8">
            <v>87.055969117358018</v>
          </cell>
          <cell r="J8">
            <v>90.449710323749969</v>
          </cell>
          <cell r="K8">
            <v>90.960273160109821</v>
          </cell>
          <cell r="L8">
            <v>87.846840961915447</v>
          </cell>
          <cell r="M8">
            <v>82.540991878175831</v>
          </cell>
          <cell r="N8">
            <v>73.761313299987819</v>
          </cell>
          <cell r="O8">
            <v>70.077252049391234</v>
          </cell>
        </row>
        <row r="9">
          <cell r="D9">
            <v>70.069439411680065</v>
          </cell>
          <cell r="E9">
            <v>68.455211711922942</v>
          </cell>
          <cell r="F9">
            <v>71.404664792960659</v>
          </cell>
          <cell r="G9">
            <v>74.593262718406862</v>
          </cell>
          <cell r="H9">
            <v>83.172584011560517</v>
          </cell>
          <cell r="I9">
            <v>87.23804636650442</v>
          </cell>
          <cell r="J9">
            <v>90.606002925256959</v>
          </cell>
          <cell r="K9">
            <v>91.114185719624942</v>
          </cell>
          <cell r="L9">
            <v>88.005302742314896</v>
          </cell>
          <cell r="M9">
            <v>82.714223059777638</v>
          </cell>
          <cell r="N9">
            <v>73.955543133317619</v>
          </cell>
          <cell r="O9">
            <v>70.288655519054501</v>
          </cell>
        </row>
        <row r="10">
          <cell r="D10">
            <v>70.66627485398611</v>
          </cell>
          <cell r="E10">
            <v>69.050703794665509</v>
          </cell>
          <cell r="F10">
            <v>72.002611409226603</v>
          </cell>
          <cell r="G10">
            <v>75.183890223567786</v>
          </cell>
          <cell r="H10">
            <v>83.780323884890961</v>
          </cell>
          <cell r="I10">
            <v>87.839196854912458</v>
          </cell>
          <cell r="J10">
            <v>91.2099562255937</v>
          </cell>
          <cell r="K10">
            <v>91.708589268593883</v>
          </cell>
          <cell r="L10">
            <v>88.597119080272734</v>
          </cell>
          <cell r="M10">
            <v>83.311608824470795</v>
          </cell>
          <cell r="N10">
            <v>74.55561258938755</v>
          </cell>
          <cell r="O10">
            <v>70.885673392906185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file:///C:\Users\CXD05XG\AppData\Local\Microsoft\Windows\Temporary%20Internet%20Files\Content.Outlook\2013-2018\Contracts\LEC%20Radials%20Eff%201-1-12.pdf" TargetMode="External"/><Relationship Id="rId1" Type="http://schemas.openxmlformats.org/officeDocument/2006/relationships/hyperlink" Target="file:///C:\Users\CXD05XG\AppData\Local\Microsoft\Windows\Temporary%20Internet%20Files\Content.Outlook\2013-2018\Seminole\SEC%20Radials%20Eff%201-1-12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file:///C:\Users\CXD05XG\AppData\Local\Microsoft\Windows\Temporary%20Internet%20Files\Content.Outlook\2013-2018%20V2\Lake%20Worth%20-%20New%20Contract%20Pending%20Filing\FPL%20NITS%20Agreement%20-%20LWU%209-18-13%20V5.doc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Lake%20Worth\FPL%20and%20Lake%20Worth,FL%20NITSA-SA%20No.%20321-FINAL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Lake%20Worth\FPL%20and%20Lake%20Worth,FL%20NITSA-SA%20No.%20321-FINAL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Contracts\OATT%20Schedule%20Rates%2010-04-12.pdf" TargetMode="External"/><Relationship Id="rId1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Contracts\New%20Smyrna%20-%20New%20Contract\020114%20FPL-NSB%20NITS%20Agreement%20-%20Fin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file:///C:\Users\CXD05XG\AppData\Local\Microsoft\Windows\Temporary%20Internet%20Files\Content.Outlook\2013-2018\Contracts\Bluntstown%20Full%20Req%20Electric%20Service%20Contract%20(2)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file:///C:\Users\CXD05XG\AppData\Local\Microsoft\Windows\Temporary%20Internet%20Files\Content.Outlook\2013-2018%20V2\Winter%20Park%20-%20New%20Contract\Winter%20Park%20Native%20Load%20Firm%20Fixed%20Capacity%20and%20Partial%20Requirements%20Transaction%20Confirmation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file:///C:\Users\CXD05XG\AppData\Local\Microsoft\Windows\Temporary%20Internet%20Files\Content.Outlook\2013-2018\Contracts\FINAL%20Complete%20FPL%20%20FKEC%20Original%20Service%20Agreement%20No%20%20293_3_17_201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file:///C:\Users\CXD05XG\AppData\Local\Microsoft\Windows\Temporary%20Internet%20Files\Content.Outlook\2013-2018\Contracts\Wauchula%20PP%20Agmt%20-%20executed.pdf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Transmission%20Forecasts%20Provided%20by%20Customers\FMPA%20LR%20-2014%20(filing-10-30-2014)%20-%20Charles%20K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file:///C:\Users\CXD05XG\AppData\Local\Microsoft\Windows\Temporary%20Internet%20Files\Content.Outlook\KSCDJBIM\Contracts\OATT%20Schedule%20Rates%2010-04-12.pdf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file:///C:\Users\CXD05XG\AppData\Local\Microsoft\Windows\Temporary%20Internet%20Files\Content.Outlook\Transmission%20Forecast%20-%20Using%20Rosemary's%20Forecast%20-%20New%20Methodology\Contracts\OATT%20Schedule%20Rates%2010-04-12.pdf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6"/>
  <sheetViews>
    <sheetView tabSelected="1" zoomScale="80" zoomScaleNormal="80" workbookViewId="0">
      <selection sqref="A1:A2"/>
    </sheetView>
  </sheetViews>
  <sheetFormatPr defaultColWidth="9" defaultRowHeight="13.2"/>
  <cols>
    <col min="1" max="1" width="35.21875" style="469" customWidth="1"/>
    <col min="2" max="2" width="10.88671875" style="469" bestFit="1" customWidth="1"/>
    <col min="3" max="13" width="9.77734375" style="469" bestFit="1" customWidth="1"/>
    <col min="14" max="14" width="10.77734375" style="469" bestFit="1" customWidth="1"/>
    <col min="15" max="15" width="9.77734375" style="469" bestFit="1" customWidth="1"/>
    <col min="16" max="16384" width="9" style="469"/>
  </cols>
  <sheetData>
    <row r="1" spans="1:15" s="480" customFormat="1">
      <c r="A1" s="480" t="s">
        <v>472</v>
      </c>
    </row>
    <row r="2" spans="1:15" s="480" customFormat="1">
      <c r="A2" s="480" t="s">
        <v>473</v>
      </c>
    </row>
    <row r="3" spans="1:15" s="480" customFormat="1"/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425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42005</v>
      </c>
      <c r="C9" s="473">
        <v>42036</v>
      </c>
      <c r="D9" s="473">
        <v>42064</v>
      </c>
      <c r="E9" s="473">
        <v>42095</v>
      </c>
      <c r="F9" s="473">
        <v>42125</v>
      </c>
      <c r="G9" s="473">
        <v>42156</v>
      </c>
      <c r="H9" s="473">
        <v>42186</v>
      </c>
      <c r="I9" s="473">
        <v>42217</v>
      </c>
      <c r="J9" s="473">
        <v>42248</v>
      </c>
      <c r="K9" s="473">
        <v>42278</v>
      </c>
      <c r="L9" s="473">
        <v>42309</v>
      </c>
      <c r="M9" s="473">
        <v>42339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f>'Blountstown Network'!B31/(1+'Transmission Formula Rate (7)'!$B$27)</f>
        <v>3927.3441335297007</v>
      </c>
      <c r="C11" s="478">
        <f>'Blountstown Network'!C31/(1+'Transmission Formula Rate (7)'!$B$27)</f>
        <v>2945.5081001472754</v>
      </c>
      <c r="D11" s="478">
        <f>'Blountstown Network'!D31/(1+'Transmission Formula Rate (7)'!$B$27)</f>
        <v>7854.6882670594014</v>
      </c>
      <c r="E11" s="478">
        <f>'Blountstown Network'!E31/(1+'Transmission Formula Rate (7)'!$B$27)</f>
        <v>3927.3441335297007</v>
      </c>
      <c r="F11" s="478">
        <f>'Blountstown Network'!F31/(1+'Transmission Formula Rate (7)'!$B$27)</f>
        <v>4909.180166912126</v>
      </c>
      <c r="G11" s="478">
        <f>'Blountstown Network'!G31/(1+'Transmission Formula Rate (7)'!$B$27)</f>
        <v>6872.8522336769765</v>
      </c>
      <c r="H11" s="478">
        <f>'Blountstown Network'!H31/(1+'Transmission Formula Rate (7)'!$B$27)</f>
        <v>7854.6882670594014</v>
      </c>
      <c r="I11" s="478">
        <f>'Blountstown Network'!I31/(1+'Transmission Formula Rate (7)'!$B$27)</f>
        <v>6872.8522336769765</v>
      </c>
      <c r="J11" s="478">
        <f>'Blountstown Network'!J31/(1+'Transmission Formula Rate (7)'!$B$27)</f>
        <v>8836.5243004418262</v>
      </c>
      <c r="K11" s="478">
        <f>'Blountstown Network'!K31/(1+'Transmission Formula Rate (7)'!$B$27)</f>
        <v>8836.5243004418262</v>
      </c>
      <c r="L11" s="478">
        <f>'Blountstown Network'!L31/(1+'Transmission Formula Rate (7)'!$B$27)</f>
        <v>8836.5243004418262</v>
      </c>
      <c r="M11" s="478">
        <f>'Blountstown Network'!M31/(1+'Transmission Formula Rate (7)'!$B$27)</f>
        <v>8836.5243004418262</v>
      </c>
      <c r="N11" s="478">
        <f t="shared" ref="N11:N21" si="0">SUM(B11:M11)</f>
        <v>80510.554737358863</v>
      </c>
      <c r="O11" s="479">
        <f t="shared" ref="O11:O21" si="1">AVERAGE(B11:M11)</f>
        <v>6709.2128947799056</v>
      </c>
    </row>
    <row r="12" spans="1:15">
      <c r="A12" s="469" t="s">
        <v>397</v>
      </c>
      <c r="B12" s="478">
        <f>'Winter Park Network'!B24/(1+'Transmission Formula Rate (7)'!$B$27)</f>
        <v>22582.228767795779</v>
      </c>
      <c r="C12" s="478">
        <f>'Winter Park Network'!C24/(1+'Transmission Formula Rate (7)'!$B$27)</f>
        <v>25527.736867943055</v>
      </c>
      <c r="D12" s="478">
        <f>'Winter Park Network'!D24/(1+'Transmission Formula Rate (7)'!$B$27)</f>
        <v>44182.621502209135</v>
      </c>
      <c r="E12" s="478">
        <f>'Winter Park Network'!E24/(1+'Transmission Formula Rate (7)'!$B$27)</f>
        <v>35346.097201767305</v>
      </c>
      <c r="F12" s="478">
        <f>'Winter Park Network'!F24/(1+'Transmission Formula Rate (7)'!$B$27)</f>
        <v>44182.621502209135</v>
      </c>
      <c r="G12" s="478">
        <f>'Winter Park Network'!G24/(1+'Transmission Formula Rate (7)'!$B$27)</f>
        <v>53019.145802650957</v>
      </c>
      <c r="H12" s="478">
        <f>'Winter Park Network'!H24/(1+'Transmission Formula Rate (7)'!$B$27)</f>
        <v>58910.162002945508</v>
      </c>
      <c r="I12" s="478">
        <f>'Winter Park Network'!I24/(1+'Transmission Formula Rate (7)'!$B$27)</f>
        <v>54000.981836033381</v>
      </c>
      <c r="J12" s="478">
        <f>'Winter Park Network'!J24/(1+'Transmission Formula Rate (7)'!$B$27)</f>
        <v>58910.162002945508</v>
      </c>
      <c r="K12" s="478">
        <f>'Winter Park Network'!K24/(1+'Transmission Formula Rate (7)'!$B$27)</f>
        <v>58910.162002945508</v>
      </c>
      <c r="L12" s="478">
        <f>'Winter Park Network'!L24/(1+'Transmission Formula Rate (7)'!$B$27)</f>
        <v>58910.162002945508</v>
      </c>
      <c r="M12" s="478">
        <f>'Winter Park Network'!M24/(1+'Transmission Formula Rate (7)'!$B$27)</f>
        <v>58910.162002945508</v>
      </c>
      <c r="N12" s="478">
        <f t="shared" si="0"/>
        <v>573392.24349533627</v>
      </c>
      <c r="O12" s="479">
        <f t="shared" si="1"/>
        <v>47782.686957944687</v>
      </c>
    </row>
    <row r="13" spans="1:15">
      <c r="A13" s="469" t="s">
        <v>398</v>
      </c>
      <c r="B13" s="478">
        <f>'LCEC Network'!B31/(1+'Transmission Formula Rate (7)'!$B$27)</f>
        <v>546882.67059401085</v>
      </c>
      <c r="C13" s="478">
        <f>'LCEC Network'!C31/(1+'Transmission Formula Rate (7)'!$B$27)</f>
        <v>575355.91556210117</v>
      </c>
      <c r="D13" s="478">
        <f>'LCEC Network'!D31/(1+'Transmission Formula Rate (7)'!$B$27)</f>
        <v>890525.28227785963</v>
      </c>
      <c r="E13" s="478">
        <f>'LCEC Network'!E31/(1+'Transmission Formula Rate (7)'!$B$27)</f>
        <v>675503.19096710847</v>
      </c>
      <c r="F13" s="478">
        <f>'LCEC Network'!F31/(1+'Transmission Formula Rate (7)'!$B$27)</f>
        <v>772704.95827196864</v>
      </c>
      <c r="G13" s="478">
        <f>'LCEC Network'!G31/(1+'Transmission Formula Rate (7)'!$B$27)</f>
        <v>747177.22140402556</v>
      </c>
      <c r="H13" s="478">
        <f>'LCEC Network'!H31/(1+'Transmission Formula Rate (7)'!$B$27)</f>
        <v>820814.92390770745</v>
      </c>
      <c r="I13" s="478">
        <f>'LCEC Network'!I31/(1+'Transmission Formula Rate (7)'!$B$27)</f>
        <v>732449.68090328923</v>
      </c>
      <c r="J13" s="478">
        <f>'LCEC Network'!J31/(1+'Transmission Formula Rate (7)'!$B$27)</f>
        <v>754455.78982845868</v>
      </c>
      <c r="K13" s="478">
        <f>'LCEC Network'!K31/(1+'Transmission Formula Rate (7)'!$B$27)</f>
        <v>647529.20484910288</v>
      </c>
      <c r="L13" s="478">
        <f>'LCEC Network'!L31/(1+'Transmission Formula Rate (7)'!$B$27)</f>
        <v>668904.99104501214</v>
      </c>
      <c r="M13" s="478">
        <f>'LCEC Network'!M31/(1+'Transmission Formula Rate (7)'!$B$27)</f>
        <v>596818.62706610118</v>
      </c>
      <c r="N13" s="478">
        <f t="shared" si="0"/>
        <v>8429122.4566767458</v>
      </c>
      <c r="O13" s="479">
        <f t="shared" si="1"/>
        <v>702426.87138972885</v>
      </c>
    </row>
    <row r="14" spans="1:15">
      <c r="A14" s="469" t="s">
        <v>399</v>
      </c>
      <c r="B14" s="478">
        <f>'FKEC Network'!B31/(1+'Transmission Formula Rate (7)'!$B$27)</f>
        <v>103092.78350515464</v>
      </c>
      <c r="C14" s="478">
        <f>'FKEC Network'!C31/(1+'Transmission Formula Rate (7)'!$B$27)</f>
        <v>110947.47177221405</v>
      </c>
      <c r="D14" s="478">
        <f>'FKEC Network'!D31/(1+'Transmission Formula Rate (7)'!$B$27)</f>
        <v>113892.97987236132</v>
      </c>
      <c r="E14" s="478">
        <f>'FKEC Network'!E31/(1+'Transmission Formula Rate (7)'!$B$27)</f>
        <v>117820.32400589102</v>
      </c>
      <c r="F14" s="478">
        <f>'FKEC Network'!F31/(1+'Transmission Formula Rate (7)'!$B$27)</f>
        <v>148257.24104074619</v>
      </c>
      <c r="G14" s="478">
        <f>'FKEC Network'!G31/(1+'Transmission Formula Rate (7)'!$B$27)</f>
        <v>135493.37260677468</v>
      </c>
      <c r="H14" s="478">
        <f>'FKEC Network'!H31/(1+'Transmission Formula Rate (7)'!$B$27)</f>
        <v>143348.06087383407</v>
      </c>
      <c r="I14" s="478">
        <f>'FKEC Network'!I31/(1+'Transmission Formula Rate (7)'!$B$27)</f>
        <v>150028.46426235113</v>
      </c>
      <c r="J14" s="478">
        <f>'FKEC Network'!J31/(1+'Transmission Formula Rate (7)'!$B$27)</f>
        <v>146381.17640901689</v>
      </c>
      <c r="K14" s="478">
        <f>'FKEC Network'!K31/(1+'Transmission Formula Rate (7)'!$B$27)</f>
        <v>135025.32815822988</v>
      </c>
      <c r="L14" s="478">
        <f>'FKEC Network'!L31/(1+'Transmission Formula Rate (7)'!$B$27)</f>
        <v>129087.17941083862</v>
      </c>
      <c r="M14" s="478">
        <f>'FKEC Network'!M31/(1+'Transmission Formula Rate (7)'!$B$27)</f>
        <v>114494.9396547231</v>
      </c>
      <c r="N14" s="478">
        <f t="shared" si="0"/>
        <v>1547869.3215721354</v>
      </c>
      <c r="O14" s="479">
        <f t="shared" si="1"/>
        <v>128989.11013101129</v>
      </c>
    </row>
    <row r="15" spans="1:15">
      <c r="A15" s="469" t="s">
        <v>400</v>
      </c>
      <c r="B15" s="478">
        <f>'Wauchula Network'!B31/(1+'Transmission Formula Rate (7)'!$B$27)</f>
        <v>8836.5243004418262</v>
      </c>
      <c r="C15" s="478">
        <f>'Wauchula Network'!C31/(1+'Transmission Formula Rate (7)'!$B$27)</f>
        <v>7854.6882670594014</v>
      </c>
      <c r="D15" s="478">
        <f>'Wauchula Network'!D31/(1+'Transmission Formula Rate (7)'!$B$27)</f>
        <v>12763.868433971527</v>
      </c>
      <c r="E15" s="478">
        <f>'Wauchula Network'!E31/(1+'Transmission Formula Rate (7)'!$B$27)</f>
        <v>9818.3603338242519</v>
      </c>
      <c r="F15" s="478">
        <f>'Wauchula Network'!F31/(1+'Transmission Formula Rate (7)'!$B$27)</f>
        <v>10800.196367206678</v>
      </c>
      <c r="G15" s="478">
        <f>'Wauchula Network'!G31/(1+'Transmission Formula Rate (7)'!$B$27)</f>
        <v>11782.032400589102</v>
      </c>
      <c r="H15" s="478">
        <f>'Wauchula Network'!H31/(1+'Transmission Formula Rate (7)'!$B$27)</f>
        <v>12763.868433971527</v>
      </c>
      <c r="I15" s="478">
        <f>'Wauchula Network'!I31/(1+'Transmission Formula Rate (7)'!$B$27)</f>
        <v>11782.032400589102</v>
      </c>
      <c r="J15" s="478">
        <f>'Wauchula Network'!J31/(1+'Transmission Formula Rate (7)'!$B$27)</f>
        <v>12763.868433971527</v>
      </c>
      <c r="K15" s="478">
        <f>'Wauchula Network'!K31/(1+'Transmission Formula Rate (7)'!$B$27)</f>
        <v>12763.868433971527</v>
      </c>
      <c r="L15" s="478">
        <f>'Wauchula Network'!L31/(1+'Transmission Formula Rate (7)'!$B$27)</f>
        <v>12763.868433971527</v>
      </c>
      <c r="M15" s="478">
        <f>'Wauchula Network'!M31/(1+'Transmission Formula Rate (7)'!$B$27)</f>
        <v>12763.868433971527</v>
      </c>
      <c r="N15" s="478">
        <f t="shared" si="0"/>
        <v>137457.04467353952</v>
      </c>
      <c r="O15" s="479">
        <f t="shared" si="1"/>
        <v>11454.75372279496</v>
      </c>
    </row>
    <row r="16" spans="1:15">
      <c r="A16" s="469" t="s">
        <v>401</v>
      </c>
      <c r="B16" s="478">
        <f>'Vero Beach Network'!B36</f>
        <v>175000</v>
      </c>
      <c r="C16" s="478">
        <f>'Vero Beach Network'!C36</f>
        <v>151000</v>
      </c>
      <c r="D16" s="478">
        <f>'Vero Beach Network'!D36</f>
        <v>121000</v>
      </c>
      <c r="E16" s="478">
        <f>'Vero Beach Network'!E36</f>
        <v>126000</v>
      </c>
      <c r="F16" s="478">
        <f>'Vero Beach Network'!F36</f>
        <v>138000</v>
      </c>
      <c r="G16" s="478">
        <f>'Vero Beach Network'!G36</f>
        <v>152000</v>
      </c>
      <c r="H16" s="478">
        <f>'Vero Beach Network'!H36</f>
        <v>151000</v>
      </c>
      <c r="I16" s="478">
        <f>'Vero Beach Network'!I36</f>
        <v>162000</v>
      </c>
      <c r="J16" s="478">
        <f>'Vero Beach Network'!J36</f>
        <v>153000</v>
      </c>
      <c r="K16" s="478">
        <f>'Vero Beach Network'!K36</f>
        <v>144000</v>
      </c>
      <c r="L16" s="478">
        <f>'Vero Beach Network'!L36</f>
        <v>123000</v>
      </c>
      <c r="M16" s="478">
        <f>'Vero Beach Network'!M36</f>
        <v>138000</v>
      </c>
      <c r="N16" s="478">
        <f t="shared" si="0"/>
        <v>1734000</v>
      </c>
      <c r="O16" s="479">
        <f t="shared" si="1"/>
        <v>144500</v>
      </c>
    </row>
    <row r="17" spans="1:15">
      <c r="A17" s="469" t="s">
        <v>292</v>
      </c>
      <c r="B17" s="478">
        <f>'FMPA Network'!B37</f>
        <v>416700.00000000006</v>
      </c>
      <c r="C17" s="478">
        <f>'FMPA Network'!C37</f>
        <v>388500</v>
      </c>
      <c r="D17" s="478">
        <f>'FMPA Network'!D37</f>
        <v>339800</v>
      </c>
      <c r="E17" s="478">
        <f>'FMPA Network'!E37</f>
        <v>365100</v>
      </c>
      <c r="F17" s="478">
        <f>'FMPA Network'!F37</f>
        <v>411900</v>
      </c>
      <c r="G17" s="478">
        <f>'FMPA Network'!G37</f>
        <v>448000</v>
      </c>
      <c r="H17" s="478">
        <f>'FMPA Network'!H37</f>
        <v>463500</v>
      </c>
      <c r="I17" s="478">
        <f>'FMPA Network'!I37</f>
        <v>471400</v>
      </c>
      <c r="J17" s="478">
        <f>'FMPA Network'!J37</f>
        <v>430100</v>
      </c>
      <c r="K17" s="478">
        <f>'FMPA Network'!K37</f>
        <v>397400</v>
      </c>
      <c r="L17" s="478">
        <f>'FMPA Network'!L37</f>
        <v>355800</v>
      </c>
      <c r="M17" s="478">
        <f>'FMPA Network'!M37</f>
        <v>341500</v>
      </c>
      <c r="N17" s="478">
        <f t="shared" si="0"/>
        <v>4829700</v>
      </c>
      <c r="O17" s="479">
        <f t="shared" si="1"/>
        <v>402475</v>
      </c>
    </row>
    <row r="18" spans="1:15">
      <c r="A18" s="469" t="s">
        <v>402</v>
      </c>
      <c r="B18" s="478">
        <f>'SECI Network'!B39</f>
        <v>566819.99999999977</v>
      </c>
      <c r="C18" s="478">
        <f>'SECI Network'!C39</f>
        <v>462315.99999999977</v>
      </c>
      <c r="D18" s="478">
        <f>'SECI Network'!D39</f>
        <v>397681.00000000012</v>
      </c>
      <c r="E18" s="478">
        <f>'SECI Network'!E39</f>
        <v>374618.00000000017</v>
      </c>
      <c r="F18" s="478">
        <f>'SECI Network'!F39</f>
        <v>421063.00000000023</v>
      </c>
      <c r="G18" s="478">
        <f>'SECI Network'!G39</f>
        <v>458192.99999999953</v>
      </c>
      <c r="H18" s="478">
        <f>'SECI Network'!H39</f>
        <v>454653</v>
      </c>
      <c r="I18" s="478">
        <f>'SECI Network'!I39</f>
        <v>458307.00000000012</v>
      </c>
      <c r="J18" s="478">
        <f>'SECI Network'!J39</f>
        <v>427158.00000000006</v>
      </c>
      <c r="K18" s="478">
        <f>'SECI Network'!K39</f>
        <v>395161.00000000006</v>
      </c>
      <c r="L18" s="478">
        <f>'SECI Network'!L39</f>
        <v>339740.00000000041</v>
      </c>
      <c r="M18" s="478">
        <f>'SECI Network'!M39</f>
        <v>463474.00000000041</v>
      </c>
      <c r="N18" s="478">
        <f t="shared" si="0"/>
        <v>5219184</v>
      </c>
      <c r="O18" s="479">
        <f t="shared" si="1"/>
        <v>434932</v>
      </c>
    </row>
    <row r="19" spans="1:15">
      <c r="A19" s="469" t="s">
        <v>44</v>
      </c>
      <c r="B19" s="478">
        <f>'Georgia Trans Network'!B31</f>
        <v>18000</v>
      </c>
      <c r="C19" s="478">
        <f>'Georgia Trans Network'!C31</f>
        <v>18000</v>
      </c>
      <c r="D19" s="478">
        <f>'Georgia Trans Network'!D31</f>
        <v>18000</v>
      </c>
      <c r="E19" s="478">
        <f>'Georgia Trans Network'!E31</f>
        <v>18000</v>
      </c>
      <c r="F19" s="478">
        <f>'Georgia Trans Network'!F31</f>
        <v>18000</v>
      </c>
      <c r="G19" s="478">
        <f>'Georgia Trans Network'!G31</f>
        <v>15000</v>
      </c>
      <c r="H19" s="478">
        <f>'Georgia Trans Network'!H31</f>
        <v>15000</v>
      </c>
      <c r="I19" s="478">
        <f>'Georgia Trans Network'!I31</f>
        <v>15000</v>
      </c>
      <c r="J19" s="478">
        <f>'Georgia Trans Network'!J31</f>
        <v>15000</v>
      </c>
      <c r="K19" s="478">
        <f>'Georgia Trans Network'!K31</f>
        <v>18000</v>
      </c>
      <c r="L19" s="478">
        <f>'Georgia Trans Network'!L31</f>
        <v>18000</v>
      </c>
      <c r="M19" s="478">
        <f>'Georgia Trans Network'!M31</f>
        <v>18000</v>
      </c>
      <c r="N19" s="478">
        <f t="shared" si="0"/>
        <v>204000</v>
      </c>
      <c r="O19" s="479">
        <f t="shared" si="1"/>
        <v>17000</v>
      </c>
    </row>
    <row r="20" spans="1:15">
      <c r="A20" s="469" t="s">
        <v>403</v>
      </c>
      <c r="B20" s="478">
        <f>'Lake Worth Forecast'!E11</f>
        <v>72000</v>
      </c>
      <c r="C20" s="478">
        <f>'Lake Worth Forecast'!F11</f>
        <v>72000</v>
      </c>
      <c r="D20" s="478">
        <f>'Lake Worth Forecast'!G11</f>
        <v>72000</v>
      </c>
      <c r="E20" s="478">
        <f>'Lake Worth Forecast'!H11</f>
        <v>72000</v>
      </c>
      <c r="F20" s="478">
        <f>'Lake Worth Forecast'!I11</f>
        <v>85000</v>
      </c>
      <c r="G20" s="478">
        <f>'Lake Worth Forecast'!J11</f>
        <v>85000</v>
      </c>
      <c r="H20" s="478">
        <f>'Lake Worth Forecast'!K11</f>
        <v>85000</v>
      </c>
      <c r="I20" s="478">
        <f>'Lake Worth Forecast'!L11</f>
        <v>85000</v>
      </c>
      <c r="J20" s="478">
        <f>'Lake Worth Forecast'!M11</f>
        <v>85000</v>
      </c>
      <c r="K20" s="478">
        <f>'Lake Worth Forecast'!N11</f>
        <v>72000</v>
      </c>
      <c r="L20" s="478">
        <f>'Lake Worth Forecast'!O11</f>
        <v>72000</v>
      </c>
      <c r="M20" s="478">
        <f>'Lake Worth Forecast'!P11</f>
        <v>72000</v>
      </c>
      <c r="N20" s="478">
        <f t="shared" si="0"/>
        <v>929000</v>
      </c>
      <c r="O20" s="479">
        <f t="shared" si="1"/>
        <v>77416.666666666672</v>
      </c>
    </row>
    <row r="21" spans="1:15">
      <c r="A21" s="469" t="s">
        <v>408</v>
      </c>
      <c r="B21" s="478">
        <f>'New Smyrna Network'!B32/(1+'Transmission Formula Rate (7)'!$B$27)</f>
        <v>19636.720667648504</v>
      </c>
      <c r="C21" s="478">
        <f>'New Smyrna Network'!C32/(1+'Transmission Formula Rate (7)'!$B$27)</f>
        <v>34364.261168384881</v>
      </c>
      <c r="D21" s="478">
        <f>'New Smyrna Network'!D32/(1+'Transmission Formula Rate (7)'!$B$27)</f>
        <v>39273.441335297008</v>
      </c>
      <c r="E21" s="478">
        <f>'New Smyrna Network'!E32/(1+'Transmission Formula Rate (7)'!$B$27)</f>
        <v>19636.720667648504</v>
      </c>
      <c r="F21" s="478">
        <f>'New Smyrna Network'!F32/(1+'Transmission Formula Rate (7)'!$B$27)</f>
        <v>19636.720667648504</v>
      </c>
      <c r="G21" s="478">
        <f>'New Smyrna Network'!G32/(1+'Transmission Formula Rate (7)'!$B$27)</f>
        <v>24545.900834560631</v>
      </c>
      <c r="H21" s="478">
        <f>'New Smyrna Network'!H32/(1+'Transmission Formula Rate (7)'!$B$27)</f>
        <v>39273.441335297008</v>
      </c>
      <c r="I21" s="478">
        <f>'New Smyrna Network'!I32/(1+'Transmission Formula Rate (7)'!$B$27)</f>
        <v>44182.621502209135</v>
      </c>
      <c r="J21" s="478">
        <f>'New Smyrna Network'!J32/(1+'Transmission Formula Rate (7)'!$B$27)</f>
        <v>44182.621502209135</v>
      </c>
      <c r="K21" s="478">
        <f>'New Smyrna Network'!K32/(1+'Transmission Formula Rate (7)'!$B$27)</f>
        <v>29455.081001472754</v>
      </c>
      <c r="L21" s="478">
        <f>'New Smyrna Network'!L32/(1+'Transmission Formula Rate (7)'!$B$27)</f>
        <v>19636.720667648504</v>
      </c>
      <c r="M21" s="478">
        <f>'New Smyrna Network'!M32/(1+'Transmission Formula Rate (7)'!$B$27)</f>
        <v>14727.540500736377</v>
      </c>
      <c r="N21" s="478">
        <f t="shared" si="0"/>
        <v>348551.79185076099</v>
      </c>
      <c r="O21" s="479">
        <f t="shared" si="1"/>
        <v>29045.982654230083</v>
      </c>
    </row>
    <row r="22" spans="1:15">
      <c r="A22" s="480" t="s">
        <v>404</v>
      </c>
      <c r="B22" s="481">
        <f>SUM(B11:B21)</f>
        <v>1953478.2719685812</v>
      </c>
      <c r="C22" s="481">
        <f t="shared" ref="C22:N22" si="2">SUM(C11:C21)</f>
        <v>1848811.5817378496</v>
      </c>
      <c r="D22" s="481">
        <f t="shared" si="2"/>
        <v>2056973.881688758</v>
      </c>
      <c r="E22" s="481">
        <f t="shared" si="2"/>
        <v>1817770.0373097695</v>
      </c>
      <c r="F22" s="481">
        <f t="shared" si="2"/>
        <v>2074453.9180166915</v>
      </c>
      <c r="G22" s="481">
        <f t="shared" si="2"/>
        <v>2137083.5252822777</v>
      </c>
      <c r="H22" s="481">
        <f t="shared" si="2"/>
        <v>2252118.144820815</v>
      </c>
      <c r="I22" s="481">
        <f t="shared" si="2"/>
        <v>2191023.633138149</v>
      </c>
      <c r="J22" s="481">
        <f t="shared" si="2"/>
        <v>2135788.1424770434</v>
      </c>
      <c r="K22" s="481">
        <f t="shared" si="2"/>
        <v>1919081.1687461641</v>
      </c>
      <c r="L22" s="481">
        <f t="shared" si="2"/>
        <v>1806679.4458608588</v>
      </c>
      <c r="M22" s="481">
        <f t="shared" si="2"/>
        <v>1839525.6619589198</v>
      </c>
      <c r="N22" s="481">
        <f t="shared" si="2"/>
        <v>24032787.413005877</v>
      </c>
      <c r="O22" s="482">
        <f>SUM(O11:O21)</f>
        <v>2002732.2844171566</v>
      </c>
    </row>
    <row r="23" spans="1:15">
      <c r="O23" s="477"/>
    </row>
    <row r="24" spans="1:15">
      <c r="A24" s="476" t="s">
        <v>405</v>
      </c>
      <c r="O24" s="477"/>
    </row>
    <row r="25" spans="1:15">
      <c r="A25" s="469" t="s">
        <v>23</v>
      </c>
      <c r="B25" s="478">
        <f>'TSAS Demand Revenues (7)'!B89</f>
        <v>37056</v>
      </c>
      <c r="C25" s="478">
        <f>'TSAS Demand Revenues (7)'!C89</f>
        <v>37056</v>
      </c>
      <c r="D25" s="478">
        <f>'TSAS Demand Revenues (7)'!D89</f>
        <v>37056</v>
      </c>
      <c r="E25" s="478">
        <f>'TSAS Demand Revenues (7)'!E89</f>
        <v>37056</v>
      </c>
      <c r="F25" s="478">
        <f>'TSAS Demand Revenues (7)'!F89</f>
        <v>37056</v>
      </c>
      <c r="G25" s="478">
        <f>'TSAS Demand Revenues (7)'!G89</f>
        <v>37056</v>
      </c>
      <c r="H25" s="478">
        <f>'TSAS Demand Revenues (7)'!H89</f>
        <v>37056</v>
      </c>
      <c r="I25" s="478">
        <f>'TSAS Demand Revenues (7)'!I89</f>
        <v>37056</v>
      </c>
      <c r="J25" s="478">
        <f>'TSAS Demand Revenues (7)'!J89</f>
        <v>37056</v>
      </c>
      <c r="K25" s="478">
        <f>'TSAS Demand Revenues (7)'!K89</f>
        <v>37056</v>
      </c>
      <c r="L25" s="478">
        <f>'TSAS Demand Revenues (7)'!L89</f>
        <v>37056</v>
      </c>
      <c r="M25" s="478">
        <f>'TSAS Demand Revenues (7)'!M89</f>
        <v>37056</v>
      </c>
      <c r="N25" s="489">
        <f>SUM(B25:M25)</f>
        <v>444672</v>
      </c>
      <c r="O25" s="479">
        <f t="shared" ref="O25:O31" si="3">AVERAGE(B25:M25)</f>
        <v>37056</v>
      </c>
    </row>
    <row r="26" spans="1:15">
      <c r="A26" s="469" t="s">
        <v>24</v>
      </c>
      <c r="B26" s="478">
        <f>'TSAS Demand Revenues (7)'!B94</f>
        <v>62000</v>
      </c>
      <c r="C26" s="478">
        <f>'TSAS Demand Revenues (7)'!C94</f>
        <v>62000</v>
      </c>
      <c r="D26" s="478">
        <f>'TSAS Demand Revenues (7)'!D94</f>
        <v>62000</v>
      </c>
      <c r="E26" s="478">
        <f>'TSAS Demand Revenues (7)'!E94</f>
        <v>62000</v>
      </c>
      <c r="F26" s="478">
        <f>'TSAS Demand Revenues (7)'!F94</f>
        <v>62000</v>
      </c>
      <c r="G26" s="478">
        <f>'TSAS Demand Revenues (7)'!G94</f>
        <v>62000</v>
      </c>
      <c r="H26" s="478">
        <f>'TSAS Demand Revenues (7)'!H94</f>
        <v>62000</v>
      </c>
      <c r="I26" s="478">
        <f>'TSAS Demand Revenues (7)'!I94</f>
        <v>62000</v>
      </c>
      <c r="J26" s="478">
        <f>'TSAS Demand Revenues (7)'!J94</f>
        <v>62000</v>
      </c>
      <c r="K26" s="478">
        <f>'TSAS Demand Revenues (7)'!K94</f>
        <v>62000</v>
      </c>
      <c r="L26" s="478">
        <f>'TSAS Demand Revenues (7)'!L94</f>
        <v>62000</v>
      </c>
      <c r="M26" s="478">
        <f>'TSAS Demand Revenues (7)'!M94</f>
        <v>62000</v>
      </c>
      <c r="N26" s="489">
        <f t="shared" ref="N26:N31" si="4">SUM(B26:M26)</f>
        <v>744000</v>
      </c>
      <c r="O26" s="479">
        <f t="shared" si="3"/>
        <v>62000</v>
      </c>
    </row>
    <row r="27" spans="1:15">
      <c r="A27" s="469" t="s">
        <v>116</v>
      </c>
      <c r="B27" s="478">
        <f>'TSAS Demand Revenues (7)'!B99</f>
        <v>40000</v>
      </c>
      <c r="C27" s="478">
        <f>'TSAS Demand Revenues (7)'!C99</f>
        <v>40000</v>
      </c>
      <c r="D27" s="478">
        <f>'TSAS Demand Revenues (7)'!D99</f>
        <v>40000</v>
      </c>
      <c r="E27" s="478">
        <f>'TSAS Demand Revenues (7)'!E99</f>
        <v>40000</v>
      </c>
      <c r="F27" s="478">
        <f>'TSAS Demand Revenues (7)'!F99</f>
        <v>40000</v>
      </c>
      <c r="G27" s="478">
        <f>'TSAS Demand Revenues (7)'!G99</f>
        <v>40000</v>
      </c>
      <c r="H27" s="478">
        <f>'TSAS Demand Revenues (7)'!H99</f>
        <v>40000</v>
      </c>
      <c r="I27" s="478">
        <f>'TSAS Demand Revenues (7)'!I99</f>
        <v>40000</v>
      </c>
      <c r="J27" s="478">
        <f>'TSAS Demand Revenues (7)'!J99</f>
        <v>40000</v>
      </c>
      <c r="K27" s="478">
        <f>'TSAS Demand Revenues (7)'!K99</f>
        <v>40000</v>
      </c>
      <c r="L27" s="478">
        <f>'TSAS Demand Revenues (7)'!L99</f>
        <v>40000</v>
      </c>
      <c r="M27" s="478">
        <f>'TSAS Demand Revenues (7)'!M99</f>
        <v>40000</v>
      </c>
      <c r="N27" s="489">
        <f t="shared" si="4"/>
        <v>480000</v>
      </c>
      <c r="O27" s="479">
        <f t="shared" si="3"/>
        <v>40000</v>
      </c>
    </row>
    <row r="28" spans="1:15">
      <c r="A28" s="469" t="s">
        <v>237</v>
      </c>
      <c r="B28" s="478">
        <f>'TSAS Demand Revenues (7)'!B104</f>
        <v>4000</v>
      </c>
      <c r="C28" s="478">
        <f>'TSAS Demand Revenues (7)'!C104</f>
        <v>4000</v>
      </c>
      <c r="D28" s="478">
        <f>'TSAS Demand Revenues (7)'!D104</f>
        <v>4000</v>
      </c>
      <c r="E28" s="478">
        <f>'TSAS Demand Revenues (7)'!E104</f>
        <v>4000</v>
      </c>
      <c r="F28" s="478">
        <f>'TSAS Demand Revenues (7)'!F104</f>
        <v>4000</v>
      </c>
      <c r="G28" s="478">
        <f>'TSAS Demand Revenues (7)'!G104</f>
        <v>4000</v>
      </c>
      <c r="H28" s="478">
        <f>'TSAS Demand Revenues (7)'!H104</f>
        <v>4000</v>
      </c>
      <c r="I28" s="478">
        <f>'TSAS Demand Revenues (7)'!I104</f>
        <v>4000</v>
      </c>
      <c r="J28" s="478">
        <f>'TSAS Demand Revenues (7)'!J104</f>
        <v>4000</v>
      </c>
      <c r="K28" s="478">
        <f>'TSAS Demand Revenues (7)'!K104</f>
        <v>4000</v>
      </c>
      <c r="L28" s="478">
        <f>'TSAS Demand Revenues (7)'!L104</f>
        <v>4000</v>
      </c>
      <c r="M28" s="478">
        <f>'TSAS Demand Revenues (7)'!M104</f>
        <v>4000</v>
      </c>
      <c r="N28" s="489">
        <f t="shared" si="4"/>
        <v>48000</v>
      </c>
      <c r="O28" s="479">
        <f t="shared" si="3"/>
        <v>4000</v>
      </c>
    </row>
    <row r="29" spans="1:15">
      <c r="A29" s="469" t="s">
        <v>117</v>
      </c>
      <c r="B29" s="478">
        <f>'TSAS Demand Revenues (7)'!B119</f>
        <v>150000</v>
      </c>
      <c r="C29" s="478">
        <f>'TSAS Demand Revenues (7)'!C119</f>
        <v>150000</v>
      </c>
      <c r="D29" s="478">
        <f>'TSAS Demand Revenues (7)'!D119</f>
        <v>150000</v>
      </c>
      <c r="E29" s="478">
        <f>'TSAS Demand Revenues (7)'!E119</f>
        <v>150000</v>
      </c>
      <c r="F29" s="478">
        <f>'TSAS Demand Revenues (7)'!F119</f>
        <v>150000</v>
      </c>
      <c r="G29" s="478">
        <f>'TSAS Demand Revenues (7)'!G119</f>
        <v>150000</v>
      </c>
      <c r="H29" s="478">
        <f>'TSAS Demand Revenues (7)'!H119</f>
        <v>150000</v>
      </c>
      <c r="I29" s="478">
        <f>'TSAS Demand Revenues (7)'!I119</f>
        <v>150000</v>
      </c>
      <c r="J29" s="478">
        <f>'TSAS Demand Revenues (7)'!J119</f>
        <v>150000</v>
      </c>
      <c r="K29" s="478">
        <f>'TSAS Demand Revenues (7)'!K119</f>
        <v>150000</v>
      </c>
      <c r="L29" s="478">
        <f>'TSAS Demand Revenues (7)'!L119</f>
        <v>150000</v>
      </c>
      <c r="M29" s="478">
        <f>'TSAS Demand Revenues (7)'!M119</f>
        <v>150000</v>
      </c>
      <c r="N29" s="489">
        <f t="shared" si="4"/>
        <v>1800000</v>
      </c>
      <c r="O29" s="479">
        <f t="shared" si="3"/>
        <v>150000</v>
      </c>
    </row>
    <row r="30" spans="1:15">
      <c r="A30" s="469" t="s">
        <v>410</v>
      </c>
      <c r="B30" s="478">
        <f>'TSAS Demand Revenues (7)'!B129</f>
        <v>160000</v>
      </c>
      <c r="C30" s="478">
        <f>'TSAS Demand Revenues (7)'!C129</f>
        <v>160000</v>
      </c>
      <c r="D30" s="478">
        <f>'TSAS Demand Revenues (7)'!D129</f>
        <v>160000</v>
      </c>
      <c r="E30" s="478">
        <f>'TSAS Demand Revenues (7)'!E129</f>
        <v>160000</v>
      </c>
      <c r="F30" s="478">
        <f>'TSAS Demand Revenues (7)'!F129</f>
        <v>160000</v>
      </c>
      <c r="G30" s="478">
        <f>'TSAS Demand Revenues (7)'!G129</f>
        <v>160000</v>
      </c>
      <c r="H30" s="478">
        <f>'TSAS Demand Revenues (7)'!H129</f>
        <v>160000</v>
      </c>
      <c r="I30" s="478">
        <f>'TSAS Demand Revenues (7)'!I129</f>
        <v>160000</v>
      </c>
      <c r="J30" s="478">
        <f>'TSAS Demand Revenues (7)'!J129</f>
        <v>160000</v>
      </c>
      <c r="K30" s="478">
        <f>'TSAS Demand Revenues (7)'!K129</f>
        <v>160000</v>
      </c>
      <c r="L30" s="478">
        <f>'TSAS Demand Revenues (7)'!L129</f>
        <v>160000</v>
      </c>
      <c r="M30" s="478">
        <f>'TSAS Demand Revenues (7)'!M129</f>
        <v>160000</v>
      </c>
      <c r="N30" s="489">
        <f t="shared" si="4"/>
        <v>1920000</v>
      </c>
      <c r="O30" s="479">
        <f t="shared" si="3"/>
        <v>160000</v>
      </c>
    </row>
    <row r="31" spans="1:15">
      <c r="A31" s="469" t="s">
        <v>406</v>
      </c>
      <c r="B31" s="478">
        <f>'TSAS Demand Revenues (7)'!B74</f>
        <v>5000</v>
      </c>
      <c r="C31" s="478">
        <f>'TSAS Demand Revenues (7)'!C74</f>
        <v>5000</v>
      </c>
      <c r="D31" s="478">
        <f>'TSAS Demand Revenues (7)'!D74</f>
        <v>5000</v>
      </c>
      <c r="E31" s="478">
        <f>'TSAS Demand Revenues (7)'!E74</f>
        <v>5000</v>
      </c>
      <c r="F31" s="478">
        <f>'TSAS Demand Revenues (7)'!F74</f>
        <v>5000</v>
      </c>
      <c r="G31" s="478">
        <f>'TSAS Demand Revenues (7)'!G74</f>
        <v>5000</v>
      </c>
      <c r="H31" s="478">
        <f>'TSAS Demand Revenues (7)'!H74</f>
        <v>5000</v>
      </c>
      <c r="I31" s="478">
        <f>'TSAS Demand Revenues (7)'!I74</f>
        <v>5000</v>
      </c>
      <c r="J31" s="478">
        <f>'TSAS Demand Revenues (7)'!J74</f>
        <v>5000</v>
      </c>
      <c r="K31" s="478">
        <f>'TSAS Demand Revenues (7)'!K74</f>
        <v>5000</v>
      </c>
      <c r="L31" s="478">
        <f>'TSAS Demand Revenues (7)'!L74</f>
        <v>5000</v>
      </c>
      <c r="M31" s="478">
        <f>'TSAS Demand Revenues (7)'!M74</f>
        <v>5000</v>
      </c>
      <c r="N31" s="489">
        <f t="shared" si="4"/>
        <v>60000</v>
      </c>
      <c r="O31" s="479">
        <f t="shared" si="3"/>
        <v>5000</v>
      </c>
    </row>
    <row r="32" spans="1:15">
      <c r="A32" s="480" t="s">
        <v>407</v>
      </c>
      <c r="B32" s="481">
        <f t="shared" ref="B32:O32" si="5">SUM(B25:B31)</f>
        <v>458056</v>
      </c>
      <c r="C32" s="481">
        <f t="shared" si="5"/>
        <v>458056</v>
      </c>
      <c r="D32" s="481">
        <f t="shared" si="5"/>
        <v>458056</v>
      </c>
      <c r="E32" s="481">
        <f t="shared" si="5"/>
        <v>458056</v>
      </c>
      <c r="F32" s="481">
        <f t="shared" si="5"/>
        <v>458056</v>
      </c>
      <c r="G32" s="481">
        <f t="shared" si="5"/>
        <v>458056</v>
      </c>
      <c r="H32" s="481">
        <f t="shared" si="5"/>
        <v>458056</v>
      </c>
      <c r="I32" s="481">
        <f t="shared" si="5"/>
        <v>458056</v>
      </c>
      <c r="J32" s="481">
        <f t="shared" si="5"/>
        <v>458056</v>
      </c>
      <c r="K32" s="481">
        <f t="shared" si="5"/>
        <v>458056</v>
      </c>
      <c r="L32" s="481">
        <f t="shared" si="5"/>
        <v>458056</v>
      </c>
      <c r="M32" s="481">
        <f t="shared" si="5"/>
        <v>458056</v>
      </c>
      <c r="N32" s="481">
        <f t="shared" si="5"/>
        <v>5496672</v>
      </c>
      <c r="O32" s="482">
        <f t="shared" si="5"/>
        <v>458056</v>
      </c>
    </row>
    <row r="33" spans="1:15">
      <c r="O33" s="477"/>
    </row>
    <row r="34" spans="1:15">
      <c r="O34" s="477"/>
    </row>
    <row r="35" spans="1:15" ht="13.8" thickBot="1">
      <c r="A35" s="480" t="s">
        <v>468</v>
      </c>
      <c r="B35" s="483">
        <f t="shared" ref="B35:O35" si="6">+B22+B32</f>
        <v>2411534.2719685812</v>
      </c>
      <c r="C35" s="483">
        <f t="shared" si="6"/>
        <v>2306867.5817378499</v>
      </c>
      <c r="D35" s="483">
        <f t="shared" si="6"/>
        <v>2515029.8816887578</v>
      </c>
      <c r="E35" s="483">
        <f t="shared" si="6"/>
        <v>2275826.0373097695</v>
      </c>
      <c r="F35" s="483">
        <f t="shared" si="6"/>
        <v>2532509.9180166917</v>
      </c>
      <c r="G35" s="483">
        <f t="shared" si="6"/>
        <v>2595139.5252822777</v>
      </c>
      <c r="H35" s="483">
        <f t="shared" si="6"/>
        <v>2710174.144820815</v>
      </c>
      <c r="I35" s="483">
        <f t="shared" si="6"/>
        <v>2649079.633138149</v>
      </c>
      <c r="J35" s="483">
        <f t="shared" si="6"/>
        <v>2593844.1424770434</v>
      </c>
      <c r="K35" s="483">
        <f t="shared" si="6"/>
        <v>2377137.1687461641</v>
      </c>
      <c r="L35" s="483">
        <f t="shared" si="6"/>
        <v>2264735.445860859</v>
      </c>
      <c r="M35" s="483">
        <f t="shared" si="6"/>
        <v>2297581.6619589198</v>
      </c>
      <c r="N35" s="483">
        <f t="shared" si="6"/>
        <v>29529459.413005877</v>
      </c>
      <c r="O35" s="484">
        <f t="shared" si="6"/>
        <v>2460788.2844171566</v>
      </c>
    </row>
    <row r="36" spans="1:15" ht="14.4" thickTop="1" thickBot="1">
      <c r="O36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00B050"/>
    <pageSetUpPr fitToPage="1"/>
  </sheetPr>
  <dimension ref="A1:Q38"/>
  <sheetViews>
    <sheetView zoomScale="85" workbookViewId="0">
      <pane xSplit="2" ySplit="8" topLeftCell="E9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8" defaultRowHeight="13.2"/>
  <cols>
    <col min="1" max="1" width="48.109375" style="3" customWidth="1"/>
    <col min="2" max="2" width="11.33203125" style="3" customWidth="1"/>
    <col min="3" max="4" width="10.77734375" style="3" customWidth="1"/>
    <col min="5" max="5" width="11.6640625" style="3" customWidth="1"/>
    <col min="6" max="6" width="12.21875" style="3" customWidth="1"/>
    <col min="7" max="7" width="10" style="3" customWidth="1"/>
    <col min="8" max="8" width="9.88671875" style="3" customWidth="1"/>
    <col min="9" max="9" width="9.33203125" style="3" customWidth="1"/>
    <col min="10" max="10" width="11.88671875" style="3" customWidth="1"/>
    <col min="11" max="11" width="9.88671875" style="3" customWidth="1"/>
    <col min="12" max="12" width="10.6640625" style="3" customWidth="1"/>
    <col min="13" max="13" width="9.44140625" style="3" customWidth="1"/>
    <col min="14" max="14" width="9.6640625" style="3" customWidth="1"/>
    <col min="15" max="15" width="9.44140625" style="3" customWidth="1"/>
    <col min="16" max="16" width="10.77734375" style="3" customWidth="1"/>
    <col min="17" max="17" width="9.77734375" style="3" customWidth="1"/>
    <col min="18" max="16384" width="8" style="3"/>
  </cols>
  <sheetData>
    <row r="1" spans="1:17">
      <c r="A1" s="480" t="s">
        <v>482</v>
      </c>
    </row>
    <row r="2" spans="1:17">
      <c r="A2" s="480" t="s">
        <v>473</v>
      </c>
    </row>
    <row r="4" spans="1:17" ht="18" customHeight="1">
      <c r="A4" s="1" t="s">
        <v>34</v>
      </c>
      <c r="B4" s="2"/>
      <c r="C4" s="2"/>
      <c r="E4" s="297"/>
      <c r="M4" s="283"/>
    </row>
    <row r="5" spans="1:17">
      <c r="A5" s="13" t="s">
        <v>223</v>
      </c>
    </row>
    <row r="6" spans="1:17" s="4" customFormat="1"/>
    <row r="7" spans="1:17" s="4" customFormat="1" ht="14.25" customHeight="1">
      <c r="A7" s="13"/>
      <c r="C7" s="302" t="s">
        <v>250</v>
      </c>
      <c r="D7" s="331">
        <v>41821</v>
      </c>
      <c r="E7" s="331">
        <v>41852</v>
      </c>
      <c r="F7" s="331">
        <v>41883</v>
      </c>
      <c r="G7" s="331">
        <v>41913</v>
      </c>
      <c r="H7" s="331">
        <v>41944</v>
      </c>
      <c r="I7" s="331">
        <v>41974</v>
      </c>
      <c r="J7" s="331">
        <v>42005</v>
      </c>
      <c r="K7" s="331">
        <v>42036</v>
      </c>
      <c r="L7" s="331">
        <v>42064</v>
      </c>
      <c r="M7" s="331">
        <v>42095</v>
      </c>
      <c r="N7" s="331">
        <v>42125</v>
      </c>
      <c r="O7" s="331">
        <v>42156</v>
      </c>
    </row>
    <row r="8" spans="1:17">
      <c r="A8" s="213"/>
      <c r="B8" s="302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 t="s">
        <v>12</v>
      </c>
    </row>
    <row r="9" spans="1:17">
      <c r="A9" s="387" t="s">
        <v>310</v>
      </c>
      <c r="B9" s="153"/>
      <c r="C9" s="153">
        <v>9456213</v>
      </c>
      <c r="D9" s="303">
        <f>[6]Table!L19*-1</f>
        <v>252959.05</v>
      </c>
      <c r="E9" s="303">
        <f>[6]Table!M19*-1</f>
        <v>211139.89</v>
      </c>
      <c r="F9" s="303">
        <f>[6]Table!N19*-1</f>
        <v>230869.65</v>
      </c>
      <c r="G9" s="303">
        <f>[6]Table!O19*-1</f>
        <v>165524.70000000001</v>
      </c>
      <c r="H9" s="303">
        <f>[6]Table!P19*-1</f>
        <v>230869.65</v>
      </c>
      <c r="I9" s="303">
        <f>[6]Table!Q19*-1</f>
        <v>338831.64</v>
      </c>
      <c r="J9" s="466">
        <f>[6]Table!R19*-1</f>
        <v>225520.52</v>
      </c>
      <c r="K9" s="466">
        <f>[6]Table!S19*-1</f>
        <v>328491.74</v>
      </c>
      <c r="L9" s="466">
        <f>[6]Table!T19*-1</f>
        <v>320710.51</v>
      </c>
      <c r="M9" s="466">
        <f>[6]Table!U19*-1</f>
        <v>438157.95</v>
      </c>
      <c r="N9" s="466">
        <f>[6]Table!V19*-1</f>
        <v>323720.68</v>
      </c>
      <c r="O9" s="466">
        <f>[6]Table!W19*-1</f>
        <v>226700.14</v>
      </c>
      <c r="P9" s="301">
        <f>SUM(D9:O9)</f>
        <v>3293496.1200000006</v>
      </c>
      <c r="Q9" s="169"/>
    </row>
    <row r="10" spans="1:17">
      <c r="A10" s="387" t="s">
        <v>309</v>
      </c>
      <c r="B10" s="153"/>
      <c r="C10" s="153">
        <v>945223</v>
      </c>
      <c r="D10" s="303">
        <f>[6]Table!L20*-1</f>
        <v>31266.38</v>
      </c>
      <c r="E10" s="303">
        <f>[6]Table!M20*-1</f>
        <v>33737.19</v>
      </c>
      <c r="F10" s="303">
        <f>[6]Table!N20*-1</f>
        <v>33995.410000000003</v>
      </c>
      <c r="G10" s="303">
        <f>[6]Table!O20*-1</f>
        <v>34925.39</v>
      </c>
      <c r="H10" s="303">
        <f>[6]Table!P20*-1</f>
        <v>33923.370000000003</v>
      </c>
      <c r="I10" s="303">
        <f>[6]Table!Q20*-1</f>
        <v>16500.57</v>
      </c>
      <c r="J10" s="465">
        <f>[6]Table!R20*-1</f>
        <v>25237.65</v>
      </c>
      <c r="K10" s="465">
        <f>[6]Table!S20*-1</f>
        <v>31769.99</v>
      </c>
      <c r="L10" s="465">
        <f>[6]Table!T20*-1</f>
        <v>41391.03</v>
      </c>
      <c r="M10" s="465">
        <f>[6]Table!U20*-1</f>
        <v>29168.31</v>
      </c>
      <c r="N10" s="465">
        <f>[6]Table!V20*-1</f>
        <v>28251.96</v>
      </c>
      <c r="O10" s="465">
        <f>[6]Table!W20*-1</f>
        <v>31973.599999999999</v>
      </c>
      <c r="P10" s="301">
        <f>SUM(D10:O10)</f>
        <v>372140.85</v>
      </c>
    </row>
    <row r="12" spans="1:17">
      <c r="A12" s="322"/>
      <c r="B12" s="22" t="s">
        <v>346</v>
      </c>
      <c r="C12" s="22"/>
      <c r="D12" s="22"/>
      <c r="F12" s="297"/>
      <c r="G12" s="215"/>
      <c r="H12" s="215"/>
      <c r="I12" s="297"/>
    </row>
    <row r="13" spans="1:17">
      <c r="A13" s="323"/>
      <c r="B13" s="22" t="s">
        <v>388</v>
      </c>
      <c r="C13" s="22"/>
      <c r="D13" s="22"/>
      <c r="E13" s="4"/>
      <c r="F13" s="298"/>
      <c r="G13" s="299"/>
      <c r="H13" s="299"/>
      <c r="I13" s="297"/>
    </row>
    <row r="14" spans="1:17">
      <c r="D14" s="4"/>
      <c r="E14" s="215"/>
      <c r="F14" s="215"/>
      <c r="G14" s="299"/>
      <c r="H14" s="299"/>
      <c r="I14" s="297"/>
    </row>
    <row r="15" spans="1:17">
      <c r="D15" s="214"/>
      <c r="E15" s="4"/>
      <c r="F15" s="298"/>
      <c r="G15" s="299"/>
      <c r="H15" s="299"/>
      <c r="I15" s="297"/>
    </row>
    <row r="16" spans="1:17">
      <c r="D16" s="214"/>
      <c r="E16" s="4"/>
      <c r="F16" s="298"/>
      <c r="G16" s="299"/>
      <c r="H16" s="299"/>
      <c r="I16" s="297"/>
    </row>
    <row r="17" spans="1:12">
      <c r="D17" s="214"/>
      <c r="E17" s="4"/>
      <c r="F17" s="298"/>
      <c r="G17" s="299"/>
      <c r="H17" s="299"/>
      <c r="I17" s="297"/>
    </row>
    <row r="18" spans="1:12">
      <c r="D18" s="214"/>
      <c r="E18" s="4"/>
      <c r="F18" s="298"/>
      <c r="G18" s="299"/>
      <c r="H18" s="299"/>
      <c r="I18" s="297"/>
    </row>
    <row r="19" spans="1:12">
      <c r="D19" s="214"/>
      <c r="E19" s="4"/>
      <c r="F19" s="298"/>
      <c r="G19" s="299"/>
      <c r="H19" s="299"/>
      <c r="I19" s="297"/>
    </row>
    <row r="20" spans="1:12" ht="13.8" thickBot="1">
      <c r="D20" s="214"/>
      <c r="E20" s="4"/>
      <c r="F20" s="298"/>
      <c r="G20" s="299"/>
      <c r="H20" s="299"/>
      <c r="I20" s="297"/>
    </row>
    <row r="21" spans="1:12" ht="15" thickBot="1">
      <c r="D21" s="214"/>
      <c r="E21" s="4"/>
      <c r="F21" s="298"/>
      <c r="G21" s="352" t="s">
        <v>247</v>
      </c>
      <c r="H21" s="353" t="s">
        <v>248</v>
      </c>
      <c r="I21" s="353" t="s">
        <v>249</v>
      </c>
      <c r="J21" s="353" t="s">
        <v>250</v>
      </c>
      <c r="K21" s="353" t="s">
        <v>251</v>
      </c>
      <c r="L21" s="22"/>
    </row>
    <row r="22" spans="1:12" ht="14.4">
      <c r="A22" s="3" t="s">
        <v>339</v>
      </c>
      <c r="D22" s="214"/>
      <c r="E22" s="4"/>
      <c r="F22" s="298"/>
      <c r="G22" s="354">
        <v>456.14499999999998</v>
      </c>
      <c r="H22" s="354">
        <v>4172800</v>
      </c>
      <c r="I22" s="355"/>
      <c r="J22" s="354">
        <v>9456110</v>
      </c>
      <c r="K22" s="356" t="s">
        <v>252</v>
      </c>
      <c r="L22" s="22"/>
    </row>
    <row r="23" spans="1:12" ht="15" thickBot="1">
      <c r="A23" s="348" t="s">
        <v>335</v>
      </c>
      <c r="D23" s="214"/>
      <c r="E23" s="212"/>
      <c r="F23" s="297"/>
      <c r="G23" s="354">
        <v>456.20100000000002</v>
      </c>
      <c r="H23" s="354">
        <v>4172200</v>
      </c>
      <c r="I23" s="354">
        <v>6350000973</v>
      </c>
      <c r="J23" s="354">
        <v>9456201</v>
      </c>
      <c r="K23" s="356" t="s">
        <v>253</v>
      </c>
      <c r="L23" s="22"/>
    </row>
    <row r="24" spans="1:12" ht="15" thickBot="1">
      <c r="A24" s="348" t="s">
        <v>336</v>
      </c>
      <c r="E24" s="228"/>
      <c r="F24" s="300"/>
      <c r="G24" s="358">
        <v>456.21100000000001</v>
      </c>
      <c r="H24" s="358">
        <v>4172200</v>
      </c>
      <c r="I24" s="358">
        <v>6350000926</v>
      </c>
      <c r="J24" s="358">
        <v>9456211</v>
      </c>
      <c r="K24" s="359" t="s">
        <v>254</v>
      </c>
      <c r="L24" s="22"/>
    </row>
    <row r="25" spans="1:12" ht="14.4">
      <c r="A25" s="348" t="s">
        <v>335</v>
      </c>
      <c r="E25" s="212"/>
      <c r="F25" s="297"/>
      <c r="G25" s="361">
        <v>456.21300000000002</v>
      </c>
      <c r="H25" s="361">
        <v>4172200</v>
      </c>
      <c r="I25" s="361">
        <v>6350000927</v>
      </c>
      <c r="J25" s="361">
        <v>9456213</v>
      </c>
      <c r="K25" s="362" t="s">
        <v>255</v>
      </c>
      <c r="L25" s="363"/>
    </row>
    <row r="26" spans="1:12" ht="14.4">
      <c r="A26" s="348" t="s">
        <v>337</v>
      </c>
      <c r="F26" s="297"/>
      <c r="G26" s="354">
        <v>456.221</v>
      </c>
      <c r="H26" s="354">
        <v>4172200</v>
      </c>
      <c r="I26" s="354">
        <v>6350000929</v>
      </c>
      <c r="J26" s="354">
        <v>9456221</v>
      </c>
      <c r="K26" s="356" t="s">
        <v>256</v>
      </c>
      <c r="L26" s="22"/>
    </row>
    <row r="27" spans="1:12" ht="14.4">
      <c r="A27" s="348" t="s">
        <v>338</v>
      </c>
      <c r="F27" s="297"/>
      <c r="G27" s="354">
        <v>456.22199999999998</v>
      </c>
      <c r="H27" s="354">
        <v>4172200</v>
      </c>
      <c r="I27" s="354">
        <v>6350000930</v>
      </c>
      <c r="J27" s="354">
        <v>9456222</v>
      </c>
      <c r="K27" s="356" t="s">
        <v>257</v>
      </c>
      <c r="L27" s="22"/>
    </row>
    <row r="28" spans="1:12" ht="14.4">
      <c r="G28" s="361">
        <v>456.22300000000001</v>
      </c>
      <c r="H28" s="361">
        <v>4172200</v>
      </c>
      <c r="I28" s="361">
        <v>6350000931</v>
      </c>
      <c r="J28" s="361">
        <v>9456223</v>
      </c>
      <c r="K28" s="362" t="s">
        <v>258</v>
      </c>
      <c r="L28" s="363"/>
    </row>
    <row r="29" spans="1:12" ht="14.4">
      <c r="G29" s="354">
        <v>456.22399999999999</v>
      </c>
      <c r="H29" s="354">
        <v>4172200</v>
      </c>
      <c r="I29" s="354">
        <v>6350000932</v>
      </c>
      <c r="J29" s="354">
        <v>9456224</v>
      </c>
      <c r="K29" s="356" t="s">
        <v>259</v>
      </c>
      <c r="L29" s="22"/>
    </row>
    <row r="30" spans="1:12" ht="14.4">
      <c r="G30" s="358">
        <v>456.22500000000002</v>
      </c>
      <c r="H30" s="358">
        <v>4172210</v>
      </c>
      <c r="I30" s="358">
        <v>6350000933</v>
      </c>
      <c r="J30" s="358">
        <v>9456225</v>
      </c>
      <c r="K30" s="359" t="s">
        <v>260</v>
      </c>
      <c r="L30" s="22"/>
    </row>
    <row r="31" spans="1:12" ht="14.4">
      <c r="G31" s="358">
        <v>456.226</v>
      </c>
      <c r="H31" s="358">
        <v>4172200</v>
      </c>
      <c r="I31" s="358">
        <v>6350000974</v>
      </c>
      <c r="J31" s="358">
        <v>9456226</v>
      </c>
      <c r="K31" s="359" t="s">
        <v>261</v>
      </c>
      <c r="L31" s="22"/>
    </row>
    <row r="32" spans="1:12" ht="14.4">
      <c r="G32" s="358">
        <v>456.22699999999998</v>
      </c>
      <c r="H32" s="358">
        <v>4172200</v>
      </c>
      <c r="I32" s="358">
        <v>6350000975</v>
      </c>
      <c r="J32" s="358">
        <v>9456227</v>
      </c>
      <c r="K32" s="359" t="s">
        <v>262</v>
      </c>
      <c r="L32" s="22"/>
    </row>
    <row r="33" spans="7:12" ht="14.4">
      <c r="G33" s="358">
        <v>456.23</v>
      </c>
      <c r="H33" s="358">
        <v>4172210</v>
      </c>
      <c r="I33" s="358">
        <v>6350000934</v>
      </c>
      <c r="J33" s="358">
        <v>9456230</v>
      </c>
      <c r="K33" s="359" t="s">
        <v>263</v>
      </c>
      <c r="L33" s="22"/>
    </row>
    <row r="34" spans="7:12" ht="14.4">
      <c r="G34" s="358">
        <v>456.23099999999999</v>
      </c>
      <c r="H34" s="358">
        <v>4172210</v>
      </c>
      <c r="I34" s="358">
        <v>6350000935</v>
      </c>
      <c r="J34" s="358">
        <v>9456231</v>
      </c>
      <c r="K34" s="359" t="s">
        <v>264</v>
      </c>
      <c r="L34" s="22"/>
    </row>
    <row r="35" spans="7:12" ht="14.4">
      <c r="G35" s="358">
        <v>456.23200000000003</v>
      </c>
      <c r="H35" s="358">
        <v>4172200</v>
      </c>
      <c r="I35" s="358">
        <v>6350000936</v>
      </c>
      <c r="J35" s="358">
        <v>9456232</v>
      </c>
      <c r="K35" s="359" t="s">
        <v>265</v>
      </c>
      <c r="L35" s="22"/>
    </row>
    <row r="36" spans="7:12" ht="14.4">
      <c r="G36" s="358">
        <v>456.233</v>
      </c>
      <c r="H36" s="358">
        <v>4172200</v>
      </c>
      <c r="I36" s="358">
        <v>6350000937</v>
      </c>
      <c r="J36" s="358">
        <v>9456233</v>
      </c>
      <c r="K36" s="359" t="s">
        <v>266</v>
      </c>
      <c r="L36" s="22"/>
    </row>
    <row r="37" spans="7:12" ht="14.4">
      <c r="G37" s="358">
        <v>456.24900000000002</v>
      </c>
      <c r="H37" s="358">
        <v>4172200</v>
      </c>
      <c r="I37" s="358">
        <v>6350000939</v>
      </c>
      <c r="J37" s="358">
        <v>9456249</v>
      </c>
      <c r="K37" s="359" t="s">
        <v>267</v>
      </c>
      <c r="L37" s="22"/>
    </row>
    <row r="38" spans="7:12" ht="14.4">
      <c r="G38" s="360"/>
      <c r="H38" s="358">
        <v>4172200</v>
      </c>
      <c r="I38" s="358">
        <v>6350001111</v>
      </c>
      <c r="J38" s="360"/>
      <c r="K38" s="359" t="s">
        <v>268</v>
      </c>
      <c r="L38" s="22"/>
    </row>
  </sheetData>
  <phoneticPr fontId="23" type="noConversion"/>
  <printOptions horizontalCentered="1"/>
  <pageMargins left="0.18" right="0.18" top="1.1299999999999999" bottom="1" header="0.62" footer="0.5"/>
  <pageSetup scale="67" orientation="landscape" r:id="rId1"/>
  <headerFooter alignWithMargins="0">
    <oddHeader>&amp;A</oddHeader>
    <oddFooter>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R101"/>
  <sheetViews>
    <sheetView zoomScale="75" zoomScaleNormal="75" workbookViewId="0">
      <selection activeCell="A2" sqref="A1:A2"/>
    </sheetView>
  </sheetViews>
  <sheetFormatPr defaultColWidth="9" defaultRowHeight="13.2"/>
  <cols>
    <col min="1" max="1" width="33.44140625" style="68" customWidth="1"/>
    <col min="2" max="2" width="10.44140625" style="68" customWidth="1"/>
    <col min="3" max="3" width="11" style="68" customWidth="1"/>
    <col min="4" max="4" width="9.88671875" style="68" customWidth="1"/>
    <col min="5" max="5" width="10.21875" style="68" customWidth="1"/>
    <col min="6" max="6" width="10.109375" style="68" customWidth="1"/>
    <col min="7" max="12" width="9.77734375" style="68" customWidth="1"/>
    <col min="13" max="13" width="10" style="68" customWidth="1"/>
    <col min="14" max="14" width="9.77734375" style="68" customWidth="1"/>
    <col min="15" max="15" width="9" style="68"/>
    <col min="16" max="16" width="17.109375" style="68" customWidth="1"/>
    <col min="17" max="16384" width="9" style="68"/>
  </cols>
  <sheetData>
    <row r="1" spans="1:18">
      <c r="A1" s="480" t="s">
        <v>483</v>
      </c>
    </row>
    <row r="2" spans="1:18">
      <c r="A2" s="480" t="s">
        <v>473</v>
      </c>
    </row>
    <row r="3" spans="1:18">
      <c r="B3" s="149">
        <f ca="1">TRUNC(NOW())</f>
        <v>42475</v>
      </c>
      <c r="D3" s="319" t="s">
        <v>220</v>
      </c>
      <c r="E3" s="150"/>
      <c r="P3" s="328" t="s">
        <v>225</v>
      </c>
      <c r="Q3" s="327" t="s">
        <v>224</v>
      </c>
      <c r="R3" s="326"/>
    </row>
    <row r="4" spans="1:18">
      <c r="A4" s="148"/>
      <c r="B4" s="151">
        <f ca="1">NOW()</f>
        <v>42475.808831944443</v>
      </c>
      <c r="P4" s="325"/>
      <c r="Q4" s="327" t="s">
        <v>226</v>
      </c>
      <c r="R4" s="325"/>
    </row>
    <row r="5" spans="1:18">
      <c r="A5" s="320" t="s">
        <v>353</v>
      </c>
    </row>
    <row r="6" spans="1:18">
      <c r="A6" s="148"/>
      <c r="G6" s="152"/>
      <c r="H6" s="152"/>
      <c r="I6" s="152"/>
      <c r="J6" s="152"/>
      <c r="K6" s="152"/>
      <c r="L6" s="152"/>
      <c r="M6" s="152"/>
      <c r="N6" s="152"/>
      <c r="P6" s="320" t="s">
        <v>227</v>
      </c>
    </row>
    <row r="7" spans="1:18">
      <c r="A7" s="324">
        <v>2014</v>
      </c>
      <c r="B7" s="153" t="s">
        <v>95</v>
      </c>
      <c r="C7" s="153" t="s">
        <v>96</v>
      </c>
      <c r="D7" s="153" t="s">
        <v>97</v>
      </c>
      <c r="E7" s="153" t="s">
        <v>98</v>
      </c>
      <c r="F7" s="153" t="s">
        <v>99</v>
      </c>
      <c r="G7" s="153" t="s">
        <v>100</v>
      </c>
      <c r="H7" s="153" t="s">
        <v>101</v>
      </c>
      <c r="I7" s="153" t="s">
        <v>102</v>
      </c>
      <c r="J7" s="153" t="s">
        <v>103</v>
      </c>
      <c r="K7" s="153" t="s">
        <v>104</v>
      </c>
      <c r="L7" s="153" t="s">
        <v>105</v>
      </c>
      <c r="M7" s="153" t="s">
        <v>106</v>
      </c>
      <c r="N7" s="153" t="s">
        <v>12</v>
      </c>
      <c r="P7" s="329" t="s">
        <v>228</v>
      </c>
    </row>
    <row r="8" spans="1:18">
      <c r="A8" s="148" t="s">
        <v>194</v>
      </c>
      <c r="B8" s="154"/>
      <c r="C8" s="154"/>
      <c r="D8" s="154"/>
      <c r="E8" s="155"/>
      <c r="F8" s="155"/>
      <c r="G8" s="155"/>
      <c r="H8" s="155"/>
      <c r="I8" s="155"/>
      <c r="J8" s="154"/>
      <c r="K8" s="154"/>
      <c r="L8" s="154"/>
      <c r="M8" s="154"/>
      <c r="N8" s="154"/>
    </row>
    <row r="9" spans="1:18">
      <c r="A9" s="455" t="s">
        <v>107</v>
      </c>
      <c r="B9" s="156">
        <v>4400</v>
      </c>
      <c r="C9" s="156">
        <v>4400</v>
      </c>
      <c r="D9" s="156">
        <v>4400</v>
      </c>
      <c r="E9" s="156">
        <v>4400</v>
      </c>
      <c r="F9" s="156">
        <v>4400</v>
      </c>
      <c r="G9" s="156">
        <v>4400</v>
      </c>
      <c r="H9" s="156">
        <v>4400</v>
      </c>
      <c r="I9" s="156">
        <v>4400</v>
      </c>
      <c r="J9" s="156">
        <v>4400</v>
      </c>
      <c r="K9" s="156">
        <v>4400</v>
      </c>
      <c r="L9" s="156">
        <v>4400</v>
      </c>
      <c r="M9" s="156">
        <v>4400</v>
      </c>
      <c r="N9" s="156">
        <f>SUM(B9:M9)</f>
        <v>52800</v>
      </c>
    </row>
    <row r="10" spans="1:18">
      <c r="A10" s="455" t="s">
        <v>108</v>
      </c>
      <c r="B10" s="156">
        <v>4900</v>
      </c>
      <c r="C10" s="156">
        <v>4900</v>
      </c>
      <c r="D10" s="156">
        <v>4900</v>
      </c>
      <c r="E10" s="156">
        <v>4900</v>
      </c>
      <c r="F10" s="156">
        <v>4900</v>
      </c>
      <c r="G10" s="156">
        <v>4900</v>
      </c>
      <c r="H10" s="156">
        <v>4900</v>
      </c>
      <c r="I10" s="156">
        <v>4900</v>
      </c>
      <c r="J10" s="156">
        <v>4900</v>
      </c>
      <c r="K10" s="156">
        <v>4900</v>
      </c>
      <c r="L10" s="156">
        <v>4900</v>
      </c>
      <c r="M10" s="156">
        <v>4900</v>
      </c>
      <c r="N10" s="156">
        <f>SUM(B10:M10)</f>
        <v>58800</v>
      </c>
    </row>
    <row r="11" spans="1:18">
      <c r="A11" s="456" t="s">
        <v>342</v>
      </c>
      <c r="B11" s="156">
        <v>1514.1</v>
      </c>
      <c r="C11" s="156">
        <v>1514.1</v>
      </c>
      <c r="D11" s="156">
        <v>1514.1</v>
      </c>
      <c r="E11" s="156">
        <v>1514.1</v>
      </c>
      <c r="F11" s="156">
        <v>1514.1</v>
      </c>
      <c r="G11" s="156">
        <v>1514.1</v>
      </c>
      <c r="H11" s="156">
        <v>1514.1</v>
      </c>
      <c r="I11" s="156">
        <v>1514.1</v>
      </c>
      <c r="J11" s="156">
        <v>1514.1</v>
      </c>
      <c r="K11" s="156">
        <v>1514.1</v>
      </c>
      <c r="L11" s="156">
        <v>1514.1</v>
      </c>
      <c r="M11" s="156">
        <v>1514.1</v>
      </c>
      <c r="N11" s="156">
        <f t="shared" ref="N11:N15" si="0">SUM(B11:M11)</f>
        <v>18169.2</v>
      </c>
    </row>
    <row r="12" spans="1:18">
      <c r="A12" s="455" t="s">
        <v>182</v>
      </c>
      <c r="B12" s="281">
        <f>4280.96</f>
        <v>4280.96</v>
      </c>
      <c r="C12" s="281">
        <f t="shared" ref="C12:M12" si="1">4280.96</f>
        <v>4280.96</v>
      </c>
      <c r="D12" s="281">
        <f t="shared" si="1"/>
        <v>4280.96</v>
      </c>
      <c r="E12" s="281">
        <f t="shared" si="1"/>
        <v>4280.96</v>
      </c>
      <c r="F12" s="281">
        <f t="shared" si="1"/>
        <v>4280.96</v>
      </c>
      <c r="G12" s="281">
        <f t="shared" si="1"/>
        <v>4280.96</v>
      </c>
      <c r="H12" s="281">
        <f t="shared" si="1"/>
        <v>4280.96</v>
      </c>
      <c r="I12" s="281">
        <f t="shared" si="1"/>
        <v>4280.96</v>
      </c>
      <c r="J12" s="281">
        <f t="shared" si="1"/>
        <v>4280.96</v>
      </c>
      <c r="K12" s="281">
        <f t="shared" si="1"/>
        <v>4280.96</v>
      </c>
      <c r="L12" s="281">
        <f t="shared" si="1"/>
        <v>4280.96</v>
      </c>
      <c r="M12" s="281">
        <f t="shared" si="1"/>
        <v>4280.96</v>
      </c>
      <c r="N12" s="156">
        <f t="shared" si="0"/>
        <v>51371.519999999997</v>
      </c>
    </row>
    <row r="13" spans="1:18">
      <c r="A13" s="456" t="s">
        <v>344</v>
      </c>
      <c r="B13" s="281">
        <v>3241.7</v>
      </c>
      <c r="C13" s="281">
        <v>3241.7</v>
      </c>
      <c r="D13" s="281">
        <v>3241.7</v>
      </c>
      <c r="E13" s="281">
        <v>3241.7</v>
      </c>
      <c r="F13" s="281">
        <v>3241.7</v>
      </c>
      <c r="G13" s="281">
        <v>3241.7</v>
      </c>
      <c r="H13" s="281">
        <v>3241.7</v>
      </c>
      <c r="I13" s="281">
        <v>3241.7</v>
      </c>
      <c r="J13" s="281">
        <v>3241.7</v>
      </c>
      <c r="K13" s="281">
        <v>3241.7</v>
      </c>
      <c r="L13" s="281">
        <v>3241.7</v>
      </c>
      <c r="M13" s="281">
        <v>3241.7</v>
      </c>
      <c r="N13" s="156">
        <f t="shared" si="0"/>
        <v>38900.400000000001</v>
      </c>
    </row>
    <row r="14" spans="1:18">
      <c r="A14" s="456" t="s">
        <v>221</v>
      </c>
      <c r="B14" s="334">
        <v>17455.669999999998</v>
      </c>
      <c r="C14" s="334">
        <v>16658.169999999998</v>
      </c>
      <c r="D14" s="334">
        <v>16658.169999999998</v>
      </c>
      <c r="E14" s="334">
        <v>16658.169999999998</v>
      </c>
      <c r="F14" s="334">
        <v>16658.169999999998</v>
      </c>
      <c r="G14" s="334">
        <v>16658.169999999998</v>
      </c>
      <c r="H14" s="334">
        <v>16658.169999999998</v>
      </c>
      <c r="I14" s="334">
        <v>16658.169999999998</v>
      </c>
      <c r="J14" s="334">
        <v>16658.169999999998</v>
      </c>
      <c r="K14" s="334">
        <v>16658.169999999998</v>
      </c>
      <c r="L14" s="334">
        <v>16658.169999999998</v>
      </c>
      <c r="M14" s="334">
        <v>16658.169999999998</v>
      </c>
      <c r="N14" s="156">
        <f t="shared" si="0"/>
        <v>200695.53999999992</v>
      </c>
    </row>
    <row r="15" spans="1:18">
      <c r="A15" s="456" t="s">
        <v>222</v>
      </c>
      <c r="B15" s="333">
        <v>4666.17</v>
      </c>
      <c r="C15" s="333">
        <v>4449.5</v>
      </c>
      <c r="D15" s="333">
        <v>4449.5</v>
      </c>
      <c r="E15" s="333">
        <v>4449.5</v>
      </c>
      <c r="F15" s="333">
        <v>4449.5</v>
      </c>
      <c r="G15" s="333">
        <v>4449.5</v>
      </c>
      <c r="H15" s="333">
        <v>4449.5</v>
      </c>
      <c r="I15" s="333">
        <v>4449.5</v>
      </c>
      <c r="J15" s="333">
        <v>4449.5</v>
      </c>
      <c r="K15" s="333">
        <v>4449.5</v>
      </c>
      <c r="L15" s="333">
        <v>4449.5</v>
      </c>
      <c r="M15" s="333">
        <v>4449.5</v>
      </c>
      <c r="N15" s="156">
        <f t="shared" si="0"/>
        <v>53610.67</v>
      </c>
    </row>
    <row r="16" spans="1:18"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</row>
    <row r="19" spans="1:15">
      <c r="A19" s="320" t="s">
        <v>229</v>
      </c>
      <c r="B19" s="174">
        <f t="shared" ref="B19:N19" si="2">SUM(B9:B15)</f>
        <v>40458.6</v>
      </c>
      <c r="C19" s="174">
        <f t="shared" si="2"/>
        <v>39444.43</v>
      </c>
      <c r="D19" s="174">
        <f t="shared" si="2"/>
        <v>39444.43</v>
      </c>
      <c r="E19" s="174">
        <f t="shared" si="2"/>
        <v>39444.43</v>
      </c>
      <c r="F19" s="174">
        <f t="shared" si="2"/>
        <v>39444.43</v>
      </c>
      <c r="G19" s="174">
        <f t="shared" si="2"/>
        <v>39444.43</v>
      </c>
      <c r="H19" s="174">
        <f t="shared" si="2"/>
        <v>39444.43</v>
      </c>
      <c r="I19" s="174">
        <f t="shared" si="2"/>
        <v>39444.43</v>
      </c>
      <c r="J19" s="174">
        <f t="shared" si="2"/>
        <v>39444.43</v>
      </c>
      <c r="K19" s="174">
        <f t="shared" si="2"/>
        <v>39444.43</v>
      </c>
      <c r="L19" s="174">
        <f t="shared" si="2"/>
        <v>39444.43</v>
      </c>
      <c r="M19" s="174">
        <f t="shared" si="2"/>
        <v>39444.43</v>
      </c>
      <c r="N19" s="156">
        <f t="shared" si="2"/>
        <v>474347.3299999999</v>
      </c>
    </row>
    <row r="22" spans="1:15">
      <c r="A22" s="320"/>
      <c r="C22" s="321"/>
    </row>
    <row r="23" spans="1:15">
      <c r="A23" s="324">
        <f>A7+1</f>
        <v>2015</v>
      </c>
      <c r="B23" s="153" t="s">
        <v>95</v>
      </c>
      <c r="C23" s="153" t="s">
        <v>96</v>
      </c>
      <c r="D23" s="153" t="s">
        <v>97</v>
      </c>
      <c r="E23" s="153" t="s">
        <v>98</v>
      </c>
      <c r="F23" s="153" t="s">
        <v>99</v>
      </c>
      <c r="G23" s="153" t="s">
        <v>100</v>
      </c>
      <c r="H23" s="153" t="s">
        <v>101</v>
      </c>
      <c r="I23" s="153" t="s">
        <v>102</v>
      </c>
      <c r="J23" s="153" t="s">
        <v>103</v>
      </c>
      <c r="K23" s="153" t="s">
        <v>104</v>
      </c>
      <c r="L23" s="153" t="s">
        <v>105</v>
      </c>
      <c r="M23" s="153" t="s">
        <v>106</v>
      </c>
      <c r="N23" s="153" t="s">
        <v>12</v>
      </c>
    </row>
    <row r="24" spans="1:15">
      <c r="A24" s="148" t="s">
        <v>194</v>
      </c>
      <c r="B24" s="154"/>
      <c r="C24" s="154"/>
      <c r="D24" s="154"/>
      <c r="E24" s="155"/>
      <c r="F24" s="155"/>
      <c r="G24" s="155"/>
      <c r="H24" s="155"/>
      <c r="I24" s="155"/>
      <c r="J24" s="154"/>
      <c r="K24" s="154"/>
      <c r="L24" s="154"/>
      <c r="M24" s="154"/>
      <c r="N24" s="154"/>
    </row>
    <row r="25" spans="1:15">
      <c r="A25" s="68" t="s">
        <v>107</v>
      </c>
      <c r="B25" s="156">
        <v>4400</v>
      </c>
      <c r="C25" s="156">
        <v>4400</v>
      </c>
      <c r="D25" s="156">
        <v>4400</v>
      </c>
      <c r="E25" s="156">
        <v>4400</v>
      </c>
      <c r="F25" s="156">
        <v>4400</v>
      </c>
      <c r="G25" s="156">
        <v>4400</v>
      </c>
      <c r="H25" s="156">
        <v>4400</v>
      </c>
      <c r="I25" s="156">
        <v>4400</v>
      </c>
      <c r="J25" s="156">
        <v>4400</v>
      </c>
      <c r="K25" s="156">
        <v>4400</v>
      </c>
      <c r="L25" s="156">
        <v>4400</v>
      </c>
      <c r="M25" s="156">
        <v>4400</v>
      </c>
      <c r="N25" s="156">
        <f>SUM(B25:M25)</f>
        <v>52800</v>
      </c>
    </row>
    <row r="26" spans="1:15">
      <c r="A26" s="68" t="s">
        <v>108</v>
      </c>
      <c r="B26" s="156">
        <v>4900</v>
      </c>
      <c r="C26" s="156">
        <v>4900</v>
      </c>
      <c r="D26" s="156">
        <v>4900</v>
      </c>
      <c r="E26" s="156">
        <v>4900</v>
      </c>
      <c r="F26" s="156">
        <v>4900</v>
      </c>
      <c r="G26" s="156">
        <v>4900</v>
      </c>
      <c r="H26" s="156">
        <v>4900</v>
      </c>
      <c r="I26" s="156">
        <v>4900</v>
      </c>
      <c r="J26" s="156">
        <v>4900</v>
      </c>
      <c r="K26" s="156">
        <v>4900</v>
      </c>
      <c r="L26" s="156">
        <v>4900</v>
      </c>
      <c r="M26" s="156">
        <v>4900</v>
      </c>
      <c r="N26" s="156">
        <f t="shared" ref="N26:N31" si="3">SUM(B26:M26)</f>
        <v>58800</v>
      </c>
    </row>
    <row r="27" spans="1:15">
      <c r="A27" s="320" t="s">
        <v>342</v>
      </c>
      <c r="B27" s="156">
        <v>1514.1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>
        <f t="shared" si="3"/>
        <v>1514.1</v>
      </c>
      <c r="O27" s="332" t="s">
        <v>343</v>
      </c>
    </row>
    <row r="28" spans="1:15">
      <c r="A28" s="68" t="s">
        <v>182</v>
      </c>
      <c r="B28" s="281">
        <f>4280.96</f>
        <v>4280.96</v>
      </c>
      <c r="C28" s="281">
        <f t="shared" ref="C28:M28" si="4">4280.96</f>
        <v>4280.96</v>
      </c>
      <c r="D28" s="281">
        <f t="shared" si="4"/>
        <v>4280.96</v>
      </c>
      <c r="E28" s="281">
        <f t="shared" si="4"/>
        <v>4280.96</v>
      </c>
      <c r="F28" s="281">
        <f t="shared" si="4"/>
        <v>4280.96</v>
      </c>
      <c r="G28" s="281">
        <f t="shared" si="4"/>
        <v>4280.96</v>
      </c>
      <c r="H28" s="281">
        <f t="shared" si="4"/>
        <v>4280.96</v>
      </c>
      <c r="I28" s="281">
        <f t="shared" si="4"/>
        <v>4280.96</v>
      </c>
      <c r="J28" s="281">
        <f t="shared" si="4"/>
        <v>4280.96</v>
      </c>
      <c r="K28" s="281">
        <f t="shared" si="4"/>
        <v>4280.96</v>
      </c>
      <c r="L28" s="281">
        <f t="shared" si="4"/>
        <v>4280.96</v>
      </c>
      <c r="M28" s="281">
        <f t="shared" si="4"/>
        <v>4280.96</v>
      </c>
      <c r="N28" s="156">
        <f t="shared" si="3"/>
        <v>51371.519999999997</v>
      </c>
    </row>
    <row r="29" spans="1:15">
      <c r="A29" s="320" t="s">
        <v>344</v>
      </c>
      <c r="B29" s="281">
        <v>3241.7</v>
      </c>
      <c r="C29" s="281">
        <v>3241.7</v>
      </c>
      <c r="D29" s="281">
        <v>3241.7</v>
      </c>
      <c r="E29" s="281">
        <v>3241.7</v>
      </c>
      <c r="F29" s="281">
        <v>3241.7</v>
      </c>
      <c r="G29" s="281">
        <v>3241.7</v>
      </c>
      <c r="H29" s="281">
        <v>3241.7</v>
      </c>
      <c r="I29" s="281">
        <v>3241.7</v>
      </c>
      <c r="J29" s="281">
        <v>3241.7</v>
      </c>
      <c r="K29" s="281">
        <v>3241.7</v>
      </c>
      <c r="L29" s="281">
        <v>3241.7</v>
      </c>
      <c r="M29" s="281">
        <v>3241.7</v>
      </c>
      <c r="N29" s="156">
        <f t="shared" si="3"/>
        <v>38900.400000000001</v>
      </c>
    </row>
    <row r="30" spans="1:15">
      <c r="A30" s="320" t="s">
        <v>221</v>
      </c>
      <c r="B30" s="334">
        <v>16658.169999999998</v>
      </c>
      <c r="C30" s="334">
        <v>15860.87</v>
      </c>
      <c r="D30" s="334">
        <v>15860.87</v>
      </c>
      <c r="E30" s="334">
        <v>15860.87</v>
      </c>
      <c r="F30" s="334">
        <v>15860.87</v>
      </c>
      <c r="G30" s="334">
        <v>15860.87</v>
      </c>
      <c r="H30" s="334">
        <v>15860.87</v>
      </c>
      <c r="I30" s="334">
        <v>15860.87</v>
      </c>
      <c r="J30" s="334">
        <v>15860.87</v>
      </c>
      <c r="K30" s="334">
        <v>15860.87</v>
      </c>
      <c r="L30" s="334">
        <v>15860.87</v>
      </c>
      <c r="M30" s="334">
        <v>15860.87</v>
      </c>
      <c r="N30" s="156">
        <f t="shared" si="3"/>
        <v>191127.74</v>
      </c>
      <c r="O30" s="332" t="s">
        <v>379</v>
      </c>
    </row>
    <row r="31" spans="1:15">
      <c r="A31" s="320" t="s">
        <v>222</v>
      </c>
      <c r="B31" s="333">
        <v>4449.5</v>
      </c>
      <c r="C31" s="333">
        <v>4232.83</v>
      </c>
      <c r="D31" s="333">
        <v>4232.83</v>
      </c>
      <c r="E31" s="333">
        <v>4232.83</v>
      </c>
      <c r="F31" s="333">
        <v>4232.83</v>
      </c>
      <c r="G31" s="333">
        <v>4232.83</v>
      </c>
      <c r="H31" s="333">
        <v>4232.83</v>
      </c>
      <c r="I31" s="333">
        <v>4232.83</v>
      </c>
      <c r="J31" s="333">
        <v>4232.83</v>
      </c>
      <c r="K31" s="333">
        <v>4232.83</v>
      </c>
      <c r="L31" s="333">
        <v>4232.83</v>
      </c>
      <c r="M31" s="333">
        <v>4232.83</v>
      </c>
      <c r="N31" s="156">
        <f t="shared" si="3"/>
        <v>51010.630000000012</v>
      </c>
    </row>
    <row r="35" spans="1:14">
      <c r="A35" s="320" t="s">
        <v>229</v>
      </c>
      <c r="B35" s="174">
        <f>SUM(B25:B31)</f>
        <v>39444.43</v>
      </c>
      <c r="C35" s="174">
        <f t="shared" ref="C35:M35" si="5">SUM(C25:C31)</f>
        <v>36916.36</v>
      </c>
      <c r="D35" s="174">
        <f t="shared" si="5"/>
        <v>36916.36</v>
      </c>
      <c r="E35" s="174">
        <f t="shared" si="5"/>
        <v>36916.36</v>
      </c>
      <c r="F35" s="174">
        <f t="shared" si="5"/>
        <v>36916.36</v>
      </c>
      <c r="G35" s="174">
        <f t="shared" si="5"/>
        <v>36916.36</v>
      </c>
      <c r="H35" s="174">
        <f t="shared" si="5"/>
        <v>36916.36</v>
      </c>
      <c r="I35" s="174">
        <f t="shared" si="5"/>
        <v>36916.36</v>
      </c>
      <c r="J35" s="174">
        <f t="shared" si="5"/>
        <v>36916.36</v>
      </c>
      <c r="K35" s="174">
        <f t="shared" si="5"/>
        <v>36916.36</v>
      </c>
      <c r="L35" s="174">
        <f t="shared" si="5"/>
        <v>36916.36</v>
      </c>
      <c r="M35" s="174">
        <f t="shared" si="5"/>
        <v>36916.36</v>
      </c>
      <c r="N35" s="156">
        <f>SUM(N25:N31)</f>
        <v>445524.39</v>
      </c>
    </row>
    <row r="38" spans="1:14">
      <c r="A38" s="324">
        <f>A23+1</f>
        <v>2016</v>
      </c>
      <c r="B38" s="153" t="s">
        <v>95</v>
      </c>
      <c r="C38" s="153" t="s">
        <v>96</v>
      </c>
      <c r="D38" s="153" t="s">
        <v>97</v>
      </c>
      <c r="E38" s="153" t="s">
        <v>98</v>
      </c>
      <c r="F38" s="153" t="s">
        <v>99</v>
      </c>
      <c r="G38" s="153" t="s">
        <v>100</v>
      </c>
      <c r="H38" s="153" t="s">
        <v>101</v>
      </c>
      <c r="I38" s="153" t="s">
        <v>102</v>
      </c>
      <c r="J38" s="153" t="s">
        <v>103</v>
      </c>
      <c r="K38" s="153" t="s">
        <v>104</v>
      </c>
      <c r="L38" s="153" t="s">
        <v>105</v>
      </c>
      <c r="M38" s="153" t="s">
        <v>106</v>
      </c>
      <c r="N38" s="153" t="s">
        <v>12</v>
      </c>
    </row>
    <row r="39" spans="1:14">
      <c r="A39" s="148" t="s">
        <v>194</v>
      </c>
      <c r="B39" s="154"/>
      <c r="C39" s="154"/>
      <c r="D39" s="154"/>
      <c r="E39" s="155"/>
      <c r="F39" s="155"/>
      <c r="G39" s="155"/>
      <c r="H39" s="155"/>
      <c r="I39" s="155"/>
      <c r="J39" s="154"/>
      <c r="K39" s="154"/>
      <c r="L39" s="154"/>
      <c r="M39" s="154"/>
      <c r="N39" s="154"/>
    </row>
    <row r="40" spans="1:14">
      <c r="A40" s="68" t="s">
        <v>107</v>
      </c>
      <c r="B40" s="156">
        <v>4400</v>
      </c>
      <c r="C40" s="156">
        <v>4400</v>
      </c>
      <c r="D40" s="156">
        <v>4400</v>
      </c>
      <c r="E40" s="156">
        <v>4400</v>
      </c>
      <c r="F40" s="156">
        <v>4400</v>
      </c>
      <c r="G40" s="156">
        <v>4400</v>
      </c>
      <c r="H40" s="156">
        <v>4400</v>
      </c>
      <c r="I40" s="156">
        <v>4400</v>
      </c>
      <c r="J40" s="156">
        <v>4400</v>
      </c>
      <c r="K40" s="156">
        <v>4400</v>
      </c>
      <c r="L40" s="156">
        <v>4400</v>
      </c>
      <c r="M40" s="156">
        <v>4400</v>
      </c>
      <c r="N40" s="156">
        <f>SUM(B40:M40)</f>
        <v>52800</v>
      </c>
    </row>
    <row r="41" spans="1:14">
      <c r="A41" s="68" t="s">
        <v>108</v>
      </c>
      <c r="B41" s="156">
        <v>4900</v>
      </c>
      <c r="C41" s="156">
        <v>4900</v>
      </c>
      <c r="D41" s="156">
        <v>4900</v>
      </c>
      <c r="E41" s="156">
        <v>4900</v>
      </c>
      <c r="F41" s="156">
        <v>4900</v>
      </c>
      <c r="G41" s="156">
        <v>4900</v>
      </c>
      <c r="H41" s="156">
        <v>4900</v>
      </c>
      <c r="I41" s="156">
        <v>4900</v>
      </c>
      <c r="J41" s="156">
        <v>4900</v>
      </c>
      <c r="K41" s="156">
        <v>4900</v>
      </c>
      <c r="L41" s="156">
        <v>4900</v>
      </c>
      <c r="M41" s="156">
        <v>4900</v>
      </c>
      <c r="N41" s="156">
        <f>SUM(B41:M41)</f>
        <v>58800</v>
      </c>
    </row>
    <row r="42" spans="1:14">
      <c r="A42" s="68" t="s">
        <v>182</v>
      </c>
      <c r="B42" s="281">
        <f>4280.96</f>
        <v>4280.96</v>
      </c>
      <c r="C42" s="281">
        <f t="shared" ref="C42:M42" si="6">4280.96</f>
        <v>4280.96</v>
      </c>
      <c r="D42" s="281">
        <f t="shared" si="6"/>
        <v>4280.96</v>
      </c>
      <c r="E42" s="281">
        <f t="shared" si="6"/>
        <v>4280.96</v>
      </c>
      <c r="F42" s="281">
        <f t="shared" si="6"/>
        <v>4280.96</v>
      </c>
      <c r="G42" s="281">
        <f t="shared" si="6"/>
        <v>4280.96</v>
      </c>
      <c r="H42" s="281">
        <f t="shared" si="6"/>
        <v>4280.96</v>
      </c>
      <c r="I42" s="281">
        <f t="shared" si="6"/>
        <v>4280.96</v>
      </c>
      <c r="J42" s="281">
        <f t="shared" si="6"/>
        <v>4280.96</v>
      </c>
      <c r="K42" s="281">
        <f t="shared" si="6"/>
        <v>4280.96</v>
      </c>
      <c r="L42" s="281">
        <f t="shared" si="6"/>
        <v>4280.96</v>
      </c>
      <c r="M42" s="281">
        <f t="shared" si="6"/>
        <v>4280.96</v>
      </c>
      <c r="N42" s="156">
        <f t="shared" ref="N42:N45" si="7">SUM(B42:M42)</f>
        <v>51371.519999999997</v>
      </c>
    </row>
    <row r="43" spans="1:14">
      <c r="A43" s="320" t="s">
        <v>344</v>
      </c>
      <c r="B43" s="281">
        <v>3241.7</v>
      </c>
      <c r="C43" s="281">
        <v>3241.7</v>
      </c>
      <c r="D43" s="281">
        <v>3241.7</v>
      </c>
      <c r="E43" s="281">
        <v>3241.7</v>
      </c>
      <c r="F43" s="281">
        <v>3241.7</v>
      </c>
      <c r="G43" s="281">
        <v>3241.7</v>
      </c>
      <c r="H43" s="281">
        <v>3241.7</v>
      </c>
      <c r="I43" s="281">
        <v>3241.7</v>
      </c>
      <c r="J43" s="281">
        <v>3241.7</v>
      </c>
      <c r="K43" s="281">
        <v>3241.7</v>
      </c>
      <c r="L43" s="281">
        <v>3241.7</v>
      </c>
      <c r="M43" s="281">
        <v>3241.7</v>
      </c>
      <c r="N43" s="156">
        <f t="shared" si="7"/>
        <v>38900.400000000001</v>
      </c>
    </row>
    <row r="44" spans="1:14">
      <c r="A44" s="320" t="s">
        <v>221</v>
      </c>
      <c r="B44" s="281">
        <v>15860.67</v>
      </c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281">
        <v>0</v>
      </c>
      <c r="K44" s="281">
        <v>0</v>
      </c>
      <c r="L44" s="281">
        <v>0</v>
      </c>
      <c r="M44" s="281">
        <v>0</v>
      </c>
      <c r="N44" s="156">
        <f t="shared" si="7"/>
        <v>15860.67</v>
      </c>
    </row>
    <row r="45" spans="1:14">
      <c r="A45" s="320" t="s">
        <v>222</v>
      </c>
      <c r="B45" s="333">
        <v>4232.83</v>
      </c>
      <c r="C45" s="333">
        <f>[7]LT_TR_Forecast!$G$77</f>
        <v>4016.17</v>
      </c>
      <c r="D45" s="333">
        <f>[7]LT_TR_Forecast!$G$77</f>
        <v>4016.17</v>
      </c>
      <c r="E45" s="333">
        <f>[7]LT_TR_Forecast!$G$77</f>
        <v>4016.17</v>
      </c>
      <c r="F45" s="333">
        <f>[7]LT_TR_Forecast!$G$77</f>
        <v>4016.17</v>
      </c>
      <c r="G45" s="333">
        <f>[7]LT_TR_Forecast!$G$77</f>
        <v>4016.17</v>
      </c>
      <c r="H45" s="333">
        <f>[7]LT_TR_Forecast!$G$77</f>
        <v>4016.17</v>
      </c>
      <c r="I45" s="333">
        <f>[7]LT_TR_Forecast!$G$77</f>
        <v>4016.17</v>
      </c>
      <c r="J45" s="333">
        <f>[7]LT_TR_Forecast!$G$77</f>
        <v>4016.17</v>
      </c>
      <c r="K45" s="333">
        <f>[7]LT_TR_Forecast!$G$77</f>
        <v>4016.17</v>
      </c>
      <c r="L45" s="333">
        <f>[7]LT_TR_Forecast!$G$77</f>
        <v>4016.17</v>
      </c>
      <c r="M45" s="333">
        <f>[7]LT_TR_Forecast!$G$77</f>
        <v>4016.17</v>
      </c>
      <c r="N45" s="156">
        <f t="shared" si="7"/>
        <v>48410.69999999999</v>
      </c>
    </row>
    <row r="49" spans="1:15">
      <c r="A49" s="320" t="s">
        <v>230</v>
      </c>
      <c r="B49" s="174">
        <f t="shared" ref="B49:N49" si="8">SUM(B40:B45)</f>
        <v>36916.160000000003</v>
      </c>
      <c r="C49" s="174">
        <f t="shared" si="8"/>
        <v>20838.830000000002</v>
      </c>
      <c r="D49" s="174">
        <f t="shared" si="8"/>
        <v>20838.830000000002</v>
      </c>
      <c r="E49" s="174">
        <f t="shared" si="8"/>
        <v>20838.830000000002</v>
      </c>
      <c r="F49" s="174">
        <f t="shared" si="8"/>
        <v>20838.830000000002</v>
      </c>
      <c r="G49" s="174">
        <f t="shared" si="8"/>
        <v>20838.830000000002</v>
      </c>
      <c r="H49" s="174">
        <f t="shared" si="8"/>
        <v>20838.830000000002</v>
      </c>
      <c r="I49" s="174">
        <f t="shared" si="8"/>
        <v>20838.830000000002</v>
      </c>
      <c r="J49" s="174">
        <f t="shared" si="8"/>
        <v>20838.830000000002</v>
      </c>
      <c r="K49" s="174">
        <f t="shared" si="8"/>
        <v>20838.830000000002</v>
      </c>
      <c r="L49" s="174">
        <f t="shared" si="8"/>
        <v>20838.830000000002</v>
      </c>
      <c r="M49" s="174">
        <f t="shared" si="8"/>
        <v>20838.830000000002</v>
      </c>
      <c r="N49" s="156">
        <f t="shared" si="8"/>
        <v>266143.28999999998</v>
      </c>
    </row>
    <row r="52" spans="1:15">
      <c r="A52" s="324">
        <f>A38+1</f>
        <v>2017</v>
      </c>
      <c r="B52" s="153" t="s">
        <v>95</v>
      </c>
      <c r="C52" s="153" t="s">
        <v>96</v>
      </c>
      <c r="D52" s="153" t="s">
        <v>97</v>
      </c>
      <c r="E52" s="153" t="s">
        <v>98</v>
      </c>
      <c r="F52" s="153" t="s">
        <v>99</v>
      </c>
      <c r="G52" s="153" t="s">
        <v>100</v>
      </c>
      <c r="H52" s="153" t="s">
        <v>101</v>
      </c>
      <c r="I52" s="153" t="s">
        <v>102</v>
      </c>
      <c r="J52" s="153" t="s">
        <v>103</v>
      </c>
      <c r="K52" s="153" t="s">
        <v>104</v>
      </c>
      <c r="L52" s="153" t="s">
        <v>105</v>
      </c>
      <c r="M52" s="153" t="s">
        <v>106</v>
      </c>
      <c r="N52" s="153" t="s">
        <v>12</v>
      </c>
    </row>
    <row r="53" spans="1:15">
      <c r="A53" s="148" t="s">
        <v>194</v>
      </c>
      <c r="B53" s="154"/>
      <c r="C53" s="154"/>
      <c r="D53" s="154"/>
      <c r="E53" s="155"/>
      <c r="F53" s="155"/>
      <c r="G53" s="155"/>
      <c r="H53" s="155"/>
      <c r="I53" s="155"/>
      <c r="J53" s="154"/>
      <c r="K53" s="154"/>
      <c r="L53" s="154"/>
      <c r="M53" s="154"/>
      <c r="N53" s="154"/>
    </row>
    <row r="54" spans="1:15">
      <c r="A54" s="68" t="s">
        <v>107</v>
      </c>
      <c r="B54" s="156">
        <v>4400</v>
      </c>
      <c r="C54" s="156">
        <v>4400</v>
      </c>
      <c r="D54" s="156">
        <v>4400</v>
      </c>
      <c r="E54" s="156">
        <v>4400</v>
      </c>
      <c r="F54" s="156">
        <v>4400</v>
      </c>
      <c r="G54" s="156">
        <v>4400</v>
      </c>
      <c r="H54" s="156">
        <v>4400</v>
      </c>
      <c r="I54" s="156">
        <v>4400</v>
      </c>
      <c r="J54" s="156">
        <v>4400</v>
      </c>
      <c r="K54" s="156">
        <v>4400</v>
      </c>
      <c r="L54" s="156">
        <v>4400</v>
      </c>
      <c r="M54" s="156">
        <v>4400</v>
      </c>
      <c r="N54" s="156">
        <f>SUM(B54:M54)</f>
        <v>52800</v>
      </c>
    </row>
    <row r="55" spans="1:15">
      <c r="A55" s="68" t="s">
        <v>108</v>
      </c>
      <c r="B55" s="156">
        <v>4900</v>
      </c>
      <c r="C55" s="156">
        <v>4900</v>
      </c>
      <c r="D55" s="156">
        <v>4900</v>
      </c>
      <c r="E55" s="156">
        <v>4900</v>
      </c>
      <c r="F55" s="156">
        <v>4900</v>
      </c>
      <c r="G55" s="156">
        <v>4900</v>
      </c>
      <c r="H55" s="156">
        <v>4900</v>
      </c>
      <c r="I55" s="156">
        <v>4900</v>
      </c>
      <c r="J55" s="156">
        <v>4900</v>
      </c>
      <c r="K55" s="156">
        <v>4900</v>
      </c>
      <c r="L55" s="156">
        <v>4900</v>
      </c>
      <c r="M55" s="156">
        <v>4900</v>
      </c>
      <c r="N55" s="156">
        <f>SUM(B55:M55)</f>
        <v>58800</v>
      </c>
    </row>
    <row r="56" spans="1:15">
      <c r="A56" s="68" t="s">
        <v>182</v>
      </c>
      <c r="B56" s="281">
        <f>4280.96</f>
        <v>4280.96</v>
      </c>
      <c r="C56" s="281">
        <f t="shared" ref="C56:M56" si="9">4280.96</f>
        <v>4280.96</v>
      </c>
      <c r="D56" s="281">
        <f t="shared" si="9"/>
        <v>4280.96</v>
      </c>
      <c r="E56" s="281">
        <f t="shared" si="9"/>
        <v>4280.96</v>
      </c>
      <c r="F56" s="281">
        <f t="shared" si="9"/>
        <v>4280.96</v>
      </c>
      <c r="G56" s="281">
        <f t="shared" si="9"/>
        <v>4280.96</v>
      </c>
      <c r="H56" s="281">
        <f t="shared" si="9"/>
        <v>4280.96</v>
      </c>
      <c r="I56" s="281">
        <f t="shared" si="9"/>
        <v>4280.96</v>
      </c>
      <c r="J56" s="281">
        <f t="shared" si="9"/>
        <v>4280.96</v>
      </c>
      <c r="K56" s="281">
        <f t="shared" si="9"/>
        <v>4280.96</v>
      </c>
      <c r="L56" s="281">
        <f t="shared" si="9"/>
        <v>4280.96</v>
      </c>
      <c r="M56" s="281">
        <f t="shared" si="9"/>
        <v>4280.96</v>
      </c>
      <c r="N56" s="156">
        <f t="shared" ref="N56:N59" si="10">SUM(B56:M56)</f>
        <v>51371.519999999997</v>
      </c>
    </row>
    <row r="57" spans="1:15">
      <c r="A57" s="320" t="s">
        <v>344</v>
      </c>
      <c r="B57" s="281">
        <v>3241.7</v>
      </c>
      <c r="C57" s="281">
        <v>3241.7</v>
      </c>
      <c r="D57" s="281">
        <v>3241.7</v>
      </c>
      <c r="E57" s="281">
        <v>3241.7</v>
      </c>
      <c r="F57" s="281">
        <v>3241.7</v>
      </c>
      <c r="G57" s="281">
        <v>3241.7</v>
      </c>
      <c r="H57" s="281">
        <v>3241.7</v>
      </c>
      <c r="I57" s="281">
        <v>3241.7</v>
      </c>
      <c r="J57" s="281">
        <v>3241.7</v>
      </c>
      <c r="K57" s="281">
        <v>3241.7</v>
      </c>
      <c r="L57" s="281">
        <v>3241.7</v>
      </c>
      <c r="M57" s="281">
        <v>3241.7</v>
      </c>
      <c r="N57" s="156">
        <f t="shared" si="10"/>
        <v>38900.400000000001</v>
      </c>
    </row>
    <row r="58" spans="1:15">
      <c r="A58" s="320" t="s">
        <v>221</v>
      </c>
      <c r="B58" s="281">
        <v>0</v>
      </c>
      <c r="C58" s="281">
        <v>0</v>
      </c>
      <c r="D58" s="281">
        <v>0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J58" s="281">
        <v>0</v>
      </c>
      <c r="K58" s="281">
        <v>0</v>
      </c>
      <c r="L58" s="281">
        <v>0</v>
      </c>
      <c r="M58" s="281">
        <v>0</v>
      </c>
      <c r="N58" s="156">
        <f t="shared" si="10"/>
        <v>0</v>
      </c>
    </row>
    <row r="59" spans="1:15">
      <c r="A59" s="320" t="s">
        <v>222</v>
      </c>
      <c r="B59" s="333">
        <f>[7]LT_TR_Forecast!$G$77</f>
        <v>4016.17</v>
      </c>
      <c r="C59" s="333">
        <v>3799.5</v>
      </c>
      <c r="D59" s="333">
        <v>3799.5</v>
      </c>
      <c r="E59" s="333">
        <v>3799.5</v>
      </c>
      <c r="F59" s="333">
        <v>3799.5</v>
      </c>
      <c r="G59" s="333">
        <v>3799.5</v>
      </c>
      <c r="H59" s="333">
        <v>3799.5</v>
      </c>
      <c r="I59" s="333">
        <v>3799.5</v>
      </c>
      <c r="J59" s="333">
        <v>3799.5</v>
      </c>
      <c r="K59" s="333">
        <v>3799.5</v>
      </c>
      <c r="L59" s="333">
        <v>3799.5</v>
      </c>
      <c r="M59" s="333">
        <v>3799.5</v>
      </c>
      <c r="N59" s="156">
        <f t="shared" si="10"/>
        <v>45810.67</v>
      </c>
      <c r="O59" s="332"/>
    </row>
    <row r="63" spans="1:15">
      <c r="A63" s="320" t="s">
        <v>340</v>
      </c>
      <c r="B63" s="174">
        <f t="shared" ref="B63:N63" si="11">SUM(B54:B59)</f>
        <v>20838.830000000002</v>
      </c>
      <c r="C63" s="174">
        <f t="shared" si="11"/>
        <v>20622.16</v>
      </c>
      <c r="D63" s="174">
        <f t="shared" si="11"/>
        <v>20622.16</v>
      </c>
      <c r="E63" s="174">
        <f t="shared" si="11"/>
        <v>20622.16</v>
      </c>
      <c r="F63" s="174">
        <f t="shared" si="11"/>
        <v>20622.16</v>
      </c>
      <c r="G63" s="174">
        <f t="shared" si="11"/>
        <v>20622.16</v>
      </c>
      <c r="H63" s="174">
        <f t="shared" si="11"/>
        <v>20622.16</v>
      </c>
      <c r="I63" s="174">
        <f t="shared" si="11"/>
        <v>20622.16</v>
      </c>
      <c r="J63" s="174">
        <f t="shared" si="11"/>
        <v>20622.16</v>
      </c>
      <c r="K63" s="174">
        <f t="shared" si="11"/>
        <v>20622.16</v>
      </c>
      <c r="L63" s="174">
        <f t="shared" si="11"/>
        <v>20622.16</v>
      </c>
      <c r="M63" s="174">
        <f t="shared" si="11"/>
        <v>20622.16</v>
      </c>
      <c r="N63" s="156">
        <f t="shared" si="11"/>
        <v>247682.58999999997</v>
      </c>
    </row>
    <row r="66" spans="1:14">
      <c r="A66" s="324">
        <f>A52+1</f>
        <v>2018</v>
      </c>
      <c r="B66" s="153" t="s">
        <v>95</v>
      </c>
      <c r="C66" s="153" t="s">
        <v>96</v>
      </c>
      <c r="D66" s="153" t="s">
        <v>97</v>
      </c>
      <c r="E66" s="153" t="s">
        <v>98</v>
      </c>
      <c r="F66" s="153" t="s">
        <v>99</v>
      </c>
      <c r="G66" s="153" t="s">
        <v>100</v>
      </c>
      <c r="H66" s="153" t="s">
        <v>101</v>
      </c>
      <c r="I66" s="153" t="s">
        <v>102</v>
      </c>
      <c r="J66" s="153" t="s">
        <v>103</v>
      </c>
      <c r="K66" s="153" t="s">
        <v>104</v>
      </c>
      <c r="L66" s="153" t="s">
        <v>105</v>
      </c>
      <c r="M66" s="153" t="s">
        <v>106</v>
      </c>
      <c r="N66" s="153" t="s">
        <v>12</v>
      </c>
    </row>
    <row r="67" spans="1:14">
      <c r="A67" s="148" t="s">
        <v>194</v>
      </c>
      <c r="B67" s="154"/>
      <c r="C67" s="154"/>
      <c r="D67" s="154"/>
      <c r="E67" s="155"/>
      <c r="F67" s="155"/>
      <c r="G67" s="155"/>
      <c r="H67" s="155"/>
      <c r="I67" s="155"/>
      <c r="J67" s="154"/>
      <c r="K67" s="154"/>
      <c r="L67" s="154"/>
      <c r="M67" s="154"/>
      <c r="N67" s="154"/>
    </row>
    <row r="68" spans="1:14">
      <c r="A68" s="68" t="s">
        <v>107</v>
      </c>
      <c r="B68" s="156">
        <v>4400</v>
      </c>
      <c r="C68" s="156">
        <v>4400</v>
      </c>
      <c r="D68" s="156">
        <v>4400</v>
      </c>
      <c r="E68" s="156">
        <v>4400</v>
      </c>
      <c r="F68" s="156">
        <v>4400</v>
      </c>
      <c r="G68" s="156">
        <v>4400</v>
      </c>
      <c r="H68" s="156">
        <v>4400</v>
      </c>
      <c r="I68" s="156">
        <v>4400</v>
      </c>
      <c r="J68" s="156">
        <v>4400</v>
      </c>
      <c r="K68" s="156">
        <v>4400</v>
      </c>
      <c r="L68" s="156">
        <v>4400</v>
      </c>
      <c r="M68" s="156">
        <v>4400</v>
      </c>
      <c r="N68" s="156">
        <f>SUM(B68:M68)</f>
        <v>52800</v>
      </c>
    </row>
    <row r="69" spans="1:14">
      <c r="A69" s="68" t="s">
        <v>108</v>
      </c>
      <c r="B69" s="156">
        <v>4900</v>
      </c>
      <c r="C69" s="156">
        <v>4900</v>
      </c>
      <c r="D69" s="156">
        <v>4900</v>
      </c>
      <c r="E69" s="156">
        <v>4900</v>
      </c>
      <c r="F69" s="156">
        <v>4900</v>
      </c>
      <c r="G69" s="156">
        <v>4900</v>
      </c>
      <c r="H69" s="156">
        <v>4900</v>
      </c>
      <c r="I69" s="156">
        <v>4900</v>
      </c>
      <c r="J69" s="156">
        <v>4900</v>
      </c>
      <c r="K69" s="156">
        <v>4900</v>
      </c>
      <c r="L69" s="156">
        <v>4900</v>
      </c>
      <c r="M69" s="156">
        <v>4900</v>
      </c>
      <c r="N69" s="156">
        <f>SUM(B69:M69)</f>
        <v>58800</v>
      </c>
    </row>
    <row r="70" spans="1:14">
      <c r="A70" s="68" t="s">
        <v>182</v>
      </c>
      <c r="B70" s="281">
        <f>4280.96</f>
        <v>4280.96</v>
      </c>
      <c r="C70" s="281">
        <f t="shared" ref="C70:M70" si="12">4280.96</f>
        <v>4280.96</v>
      </c>
      <c r="D70" s="281">
        <f t="shared" si="12"/>
        <v>4280.96</v>
      </c>
      <c r="E70" s="281">
        <f t="shared" si="12"/>
        <v>4280.96</v>
      </c>
      <c r="F70" s="281">
        <f t="shared" si="12"/>
        <v>4280.96</v>
      </c>
      <c r="G70" s="281">
        <f t="shared" si="12"/>
        <v>4280.96</v>
      </c>
      <c r="H70" s="281">
        <f t="shared" si="12"/>
        <v>4280.96</v>
      </c>
      <c r="I70" s="281">
        <f t="shared" si="12"/>
        <v>4280.96</v>
      </c>
      <c r="J70" s="281">
        <f t="shared" si="12"/>
        <v>4280.96</v>
      </c>
      <c r="K70" s="281">
        <f t="shared" si="12"/>
        <v>4280.96</v>
      </c>
      <c r="L70" s="281">
        <f t="shared" si="12"/>
        <v>4280.96</v>
      </c>
      <c r="M70" s="281">
        <f t="shared" si="12"/>
        <v>4280.96</v>
      </c>
      <c r="N70" s="156">
        <f t="shared" ref="N70:N73" si="13">SUM(B70:M70)</f>
        <v>51371.519999999997</v>
      </c>
    </row>
    <row r="71" spans="1:14">
      <c r="A71" s="320" t="s">
        <v>344</v>
      </c>
      <c r="B71" s="281">
        <v>3241.7</v>
      </c>
      <c r="C71" s="281">
        <v>3241.7</v>
      </c>
      <c r="D71" s="281">
        <v>3241.7</v>
      </c>
      <c r="E71" s="281">
        <v>3241.7</v>
      </c>
      <c r="F71" s="281">
        <v>3241.7</v>
      </c>
      <c r="G71" s="281">
        <v>3241.7</v>
      </c>
      <c r="H71" s="281">
        <v>3241.7</v>
      </c>
      <c r="I71" s="281">
        <v>3241.7</v>
      </c>
      <c r="J71" s="281">
        <v>3241.7</v>
      </c>
      <c r="K71" s="281">
        <v>3241.7</v>
      </c>
      <c r="L71" s="281">
        <v>3241.7</v>
      </c>
      <c r="M71" s="281">
        <v>3241.7</v>
      </c>
      <c r="N71" s="156">
        <f t="shared" si="13"/>
        <v>38900.400000000001</v>
      </c>
    </row>
    <row r="72" spans="1:14">
      <c r="A72" s="320" t="s">
        <v>221</v>
      </c>
      <c r="B72" s="281">
        <v>0</v>
      </c>
      <c r="C72" s="281">
        <v>0</v>
      </c>
      <c r="D72" s="281">
        <v>0</v>
      </c>
      <c r="E72" s="281">
        <v>0</v>
      </c>
      <c r="F72" s="281">
        <v>0</v>
      </c>
      <c r="G72" s="281">
        <v>0</v>
      </c>
      <c r="H72" s="281">
        <v>0</v>
      </c>
      <c r="I72" s="281">
        <v>0</v>
      </c>
      <c r="J72" s="281">
        <v>0</v>
      </c>
      <c r="K72" s="281">
        <v>0</v>
      </c>
      <c r="L72" s="281">
        <v>0</v>
      </c>
      <c r="M72" s="281">
        <v>0</v>
      </c>
      <c r="N72" s="156">
        <f t="shared" si="13"/>
        <v>0</v>
      </c>
    </row>
    <row r="73" spans="1:14">
      <c r="A73" s="320" t="s">
        <v>222</v>
      </c>
      <c r="B73" s="333">
        <v>3799.5</v>
      </c>
      <c r="C73" s="384">
        <v>3582.83</v>
      </c>
      <c r="D73" s="384">
        <v>3582.83</v>
      </c>
      <c r="E73" s="384">
        <v>3582.83</v>
      </c>
      <c r="F73" s="384">
        <v>3582.83</v>
      </c>
      <c r="G73" s="384">
        <v>3582.83</v>
      </c>
      <c r="H73" s="384">
        <v>3582.83</v>
      </c>
      <c r="I73" s="384">
        <v>3582.83</v>
      </c>
      <c r="J73" s="384">
        <v>3582.83</v>
      </c>
      <c r="K73" s="384">
        <v>3582.83</v>
      </c>
      <c r="L73" s="384">
        <v>3582.83</v>
      </c>
      <c r="M73" s="384">
        <v>3582.83</v>
      </c>
      <c r="N73" s="156">
        <f t="shared" si="13"/>
        <v>43210.630000000012</v>
      </c>
    </row>
    <row r="77" spans="1:14">
      <c r="A77" s="320" t="s">
        <v>231</v>
      </c>
      <c r="B77" s="174">
        <f t="shared" ref="B77:N77" si="14">SUM(B68:B73)</f>
        <v>20622.16</v>
      </c>
      <c r="C77" s="174">
        <f t="shared" si="14"/>
        <v>20405.489999999998</v>
      </c>
      <c r="D77" s="174">
        <f t="shared" si="14"/>
        <v>20405.489999999998</v>
      </c>
      <c r="E77" s="174">
        <f t="shared" si="14"/>
        <v>20405.489999999998</v>
      </c>
      <c r="F77" s="174">
        <f t="shared" si="14"/>
        <v>20405.489999999998</v>
      </c>
      <c r="G77" s="174">
        <f t="shared" si="14"/>
        <v>20405.489999999998</v>
      </c>
      <c r="H77" s="174">
        <f t="shared" si="14"/>
        <v>20405.489999999998</v>
      </c>
      <c r="I77" s="174">
        <f t="shared" si="14"/>
        <v>20405.489999999998</v>
      </c>
      <c r="J77" s="174">
        <f t="shared" si="14"/>
        <v>20405.489999999998</v>
      </c>
      <c r="K77" s="174">
        <f t="shared" si="14"/>
        <v>20405.489999999998</v>
      </c>
      <c r="L77" s="174">
        <f t="shared" si="14"/>
        <v>20405.489999999998</v>
      </c>
      <c r="M77" s="174">
        <f t="shared" si="14"/>
        <v>20405.489999999998</v>
      </c>
      <c r="N77" s="156">
        <f t="shared" si="14"/>
        <v>245082.55</v>
      </c>
    </row>
    <row r="79" spans="1:14">
      <c r="A79" s="324">
        <f>A66+1</f>
        <v>2019</v>
      </c>
      <c r="B79" s="153" t="s">
        <v>95</v>
      </c>
      <c r="C79" s="153" t="s">
        <v>96</v>
      </c>
      <c r="D79" s="153" t="s">
        <v>97</v>
      </c>
      <c r="E79" s="153" t="s">
        <v>98</v>
      </c>
      <c r="F79" s="153" t="s">
        <v>99</v>
      </c>
      <c r="G79" s="153" t="s">
        <v>100</v>
      </c>
      <c r="H79" s="153" t="s">
        <v>101</v>
      </c>
      <c r="I79" s="153" t="s">
        <v>102</v>
      </c>
      <c r="J79" s="153" t="s">
        <v>103</v>
      </c>
      <c r="K79" s="153" t="s">
        <v>104</v>
      </c>
      <c r="L79" s="153" t="s">
        <v>105</v>
      </c>
      <c r="M79" s="153" t="s">
        <v>106</v>
      </c>
      <c r="N79" s="153" t="s">
        <v>12</v>
      </c>
    </row>
    <row r="80" spans="1:14">
      <c r="A80" s="148" t="s">
        <v>194</v>
      </c>
      <c r="B80" s="154"/>
      <c r="C80" s="154"/>
      <c r="D80" s="154"/>
      <c r="E80" s="155"/>
      <c r="F80" s="155"/>
      <c r="G80" s="155"/>
      <c r="H80" s="155"/>
      <c r="I80" s="155"/>
      <c r="J80" s="154"/>
      <c r="K80" s="154"/>
      <c r="L80" s="154"/>
      <c r="M80" s="154"/>
      <c r="N80" s="154"/>
    </row>
    <row r="81" spans="1:14">
      <c r="A81" s="68" t="s">
        <v>107</v>
      </c>
      <c r="B81" s="156">
        <v>4400</v>
      </c>
      <c r="C81" s="156">
        <v>4400</v>
      </c>
      <c r="D81" s="156">
        <v>4400</v>
      </c>
      <c r="E81" s="156">
        <v>4400</v>
      </c>
      <c r="F81" s="156">
        <v>4400</v>
      </c>
      <c r="G81" s="156">
        <v>4400</v>
      </c>
      <c r="H81" s="156">
        <v>4400</v>
      </c>
      <c r="I81" s="156">
        <v>4400</v>
      </c>
      <c r="J81" s="156">
        <v>4400</v>
      </c>
      <c r="K81" s="156">
        <v>4400</v>
      </c>
      <c r="L81" s="156">
        <v>4400</v>
      </c>
      <c r="M81" s="156">
        <v>4400</v>
      </c>
      <c r="N81" s="156">
        <f>SUM(B81:M81)</f>
        <v>52800</v>
      </c>
    </row>
    <row r="82" spans="1:14">
      <c r="A82" s="68" t="s">
        <v>108</v>
      </c>
      <c r="B82" s="156">
        <v>4900</v>
      </c>
      <c r="C82" s="156">
        <v>4900</v>
      </c>
      <c r="D82" s="156">
        <v>4900</v>
      </c>
      <c r="E82" s="156">
        <v>4900</v>
      </c>
      <c r="F82" s="156">
        <v>4900</v>
      </c>
      <c r="G82" s="156">
        <v>4900</v>
      </c>
      <c r="H82" s="156">
        <v>4900</v>
      </c>
      <c r="I82" s="156">
        <v>4900</v>
      </c>
      <c r="J82" s="156">
        <v>4900</v>
      </c>
      <c r="K82" s="156">
        <v>4900</v>
      </c>
      <c r="L82" s="156">
        <v>4900</v>
      </c>
      <c r="M82" s="156">
        <v>4900</v>
      </c>
      <c r="N82" s="156">
        <f>SUM(B82:M82)</f>
        <v>58800</v>
      </c>
    </row>
    <row r="83" spans="1:14">
      <c r="A83" s="68" t="s">
        <v>182</v>
      </c>
      <c r="B83" s="281">
        <f>4280.96</f>
        <v>4280.96</v>
      </c>
      <c r="C83" s="281">
        <f t="shared" ref="C83:M83" si="15">4280.96</f>
        <v>4280.96</v>
      </c>
      <c r="D83" s="281">
        <f t="shared" si="15"/>
        <v>4280.96</v>
      </c>
      <c r="E83" s="281">
        <f t="shared" si="15"/>
        <v>4280.96</v>
      </c>
      <c r="F83" s="281">
        <f t="shared" si="15"/>
        <v>4280.96</v>
      </c>
      <c r="G83" s="281">
        <f t="shared" si="15"/>
        <v>4280.96</v>
      </c>
      <c r="H83" s="281">
        <f t="shared" si="15"/>
        <v>4280.96</v>
      </c>
      <c r="I83" s="281">
        <f t="shared" si="15"/>
        <v>4280.96</v>
      </c>
      <c r="J83" s="281">
        <f t="shared" si="15"/>
        <v>4280.96</v>
      </c>
      <c r="K83" s="281">
        <f t="shared" si="15"/>
        <v>4280.96</v>
      </c>
      <c r="L83" s="281">
        <f t="shared" si="15"/>
        <v>4280.96</v>
      </c>
      <c r="M83" s="281">
        <f t="shared" si="15"/>
        <v>4280.96</v>
      </c>
      <c r="N83" s="156">
        <f t="shared" ref="N83:N86" si="16">SUM(B83:M83)</f>
        <v>51371.519999999997</v>
      </c>
    </row>
    <row r="84" spans="1:14">
      <c r="A84" s="320" t="s">
        <v>344</v>
      </c>
      <c r="B84" s="281">
        <v>3241.7</v>
      </c>
      <c r="C84" s="281">
        <v>3241.7</v>
      </c>
      <c r="D84" s="281">
        <v>3241.7</v>
      </c>
      <c r="E84" s="281">
        <v>3241.7</v>
      </c>
      <c r="F84" s="281">
        <v>3241.7</v>
      </c>
      <c r="G84" s="281">
        <v>3241.7</v>
      </c>
      <c r="H84" s="281">
        <v>3241.7</v>
      </c>
      <c r="I84" s="281">
        <v>3241.7</v>
      </c>
      <c r="J84" s="281">
        <v>3241.7</v>
      </c>
      <c r="K84" s="281">
        <v>3241.7</v>
      </c>
      <c r="L84" s="281">
        <v>3241.7</v>
      </c>
      <c r="M84" s="281">
        <v>3241.7</v>
      </c>
      <c r="N84" s="156">
        <f t="shared" si="16"/>
        <v>38900.400000000001</v>
      </c>
    </row>
    <row r="85" spans="1:14">
      <c r="A85" s="320" t="s">
        <v>221</v>
      </c>
      <c r="B85" s="281">
        <v>0</v>
      </c>
      <c r="C85" s="281">
        <v>0</v>
      </c>
      <c r="D85" s="281">
        <v>0</v>
      </c>
      <c r="E85" s="281">
        <v>0</v>
      </c>
      <c r="F85" s="281">
        <v>0</v>
      </c>
      <c r="G85" s="281">
        <v>0</v>
      </c>
      <c r="H85" s="281">
        <v>0</v>
      </c>
      <c r="I85" s="281">
        <v>0</v>
      </c>
      <c r="J85" s="281">
        <v>0</v>
      </c>
      <c r="K85" s="281">
        <v>0</v>
      </c>
      <c r="L85" s="281">
        <v>0</v>
      </c>
      <c r="M85" s="281">
        <v>0</v>
      </c>
      <c r="N85" s="156">
        <f t="shared" si="16"/>
        <v>0</v>
      </c>
    </row>
    <row r="86" spans="1:14">
      <c r="A86" s="320" t="s">
        <v>222</v>
      </c>
      <c r="B86" s="384">
        <v>3582.83</v>
      </c>
      <c r="C86" s="383">
        <v>3366.17</v>
      </c>
      <c r="D86" s="383">
        <v>3366.17</v>
      </c>
      <c r="E86" s="383">
        <v>3366.17</v>
      </c>
      <c r="F86" s="383">
        <v>3366.17</v>
      </c>
      <c r="G86" s="383">
        <v>3366.17</v>
      </c>
      <c r="H86" s="383">
        <v>3366.17</v>
      </c>
      <c r="I86" s="383">
        <v>3366.17</v>
      </c>
      <c r="J86" s="383">
        <v>3366.17</v>
      </c>
      <c r="K86" s="383">
        <v>3366.17</v>
      </c>
      <c r="L86" s="383">
        <v>3366.17</v>
      </c>
      <c r="M86" s="383">
        <v>3366.17</v>
      </c>
      <c r="N86" s="156">
        <f t="shared" si="16"/>
        <v>40610.69999999999</v>
      </c>
    </row>
    <row r="89" spans="1:14">
      <c r="A89" s="320" t="s">
        <v>341</v>
      </c>
      <c r="B89" s="174">
        <f>SUM(B81:B86)</f>
        <v>20405.489999999998</v>
      </c>
      <c r="C89" s="174">
        <f t="shared" ref="C89:N89" si="17">SUM(C81:C86)</f>
        <v>20188.830000000002</v>
      </c>
      <c r="D89" s="174">
        <f t="shared" si="17"/>
        <v>20188.830000000002</v>
      </c>
      <c r="E89" s="174">
        <f t="shared" si="17"/>
        <v>20188.830000000002</v>
      </c>
      <c r="F89" s="174">
        <f t="shared" si="17"/>
        <v>20188.830000000002</v>
      </c>
      <c r="G89" s="174">
        <f t="shared" si="17"/>
        <v>20188.830000000002</v>
      </c>
      <c r="H89" s="174">
        <f t="shared" si="17"/>
        <v>20188.830000000002</v>
      </c>
      <c r="I89" s="174">
        <f t="shared" si="17"/>
        <v>20188.830000000002</v>
      </c>
      <c r="J89" s="174">
        <f t="shared" si="17"/>
        <v>20188.830000000002</v>
      </c>
      <c r="K89" s="174">
        <f t="shared" si="17"/>
        <v>20188.830000000002</v>
      </c>
      <c r="L89" s="174">
        <f t="shared" si="17"/>
        <v>20188.830000000002</v>
      </c>
      <c r="M89" s="174">
        <f t="shared" si="17"/>
        <v>20188.830000000002</v>
      </c>
      <c r="N89" s="156">
        <f t="shared" si="17"/>
        <v>242482.61999999997</v>
      </c>
    </row>
    <row r="91" spans="1:14">
      <c r="A91" s="324">
        <f>A79+1</f>
        <v>2020</v>
      </c>
      <c r="B91" s="153" t="s">
        <v>95</v>
      </c>
      <c r="C91" s="153" t="s">
        <v>96</v>
      </c>
      <c r="D91" s="153" t="s">
        <v>97</v>
      </c>
      <c r="E91" s="153" t="s">
        <v>98</v>
      </c>
      <c r="F91" s="153" t="s">
        <v>99</v>
      </c>
      <c r="G91" s="153" t="s">
        <v>100</v>
      </c>
      <c r="H91" s="153" t="s">
        <v>101</v>
      </c>
      <c r="I91" s="153" t="s">
        <v>102</v>
      </c>
      <c r="J91" s="153" t="s">
        <v>103</v>
      </c>
      <c r="K91" s="153" t="s">
        <v>104</v>
      </c>
      <c r="L91" s="153" t="s">
        <v>105</v>
      </c>
      <c r="M91" s="153" t="s">
        <v>106</v>
      </c>
      <c r="N91" s="153" t="s">
        <v>12</v>
      </c>
    </row>
    <row r="92" spans="1:14">
      <c r="A92" s="148" t="s">
        <v>194</v>
      </c>
      <c r="B92" s="154"/>
      <c r="C92" s="154"/>
      <c r="D92" s="154"/>
      <c r="E92" s="155"/>
      <c r="F92" s="155"/>
      <c r="G92" s="155"/>
      <c r="H92" s="155"/>
      <c r="I92" s="155"/>
      <c r="J92" s="154"/>
      <c r="K92" s="154"/>
      <c r="L92" s="154"/>
      <c r="M92" s="154"/>
      <c r="N92" s="154"/>
    </row>
    <row r="93" spans="1:14">
      <c r="A93" s="68" t="s">
        <v>107</v>
      </c>
      <c r="B93" s="156">
        <v>4400</v>
      </c>
      <c r="C93" s="156">
        <v>4400</v>
      </c>
      <c r="D93" s="156">
        <v>4400</v>
      </c>
      <c r="E93" s="156">
        <v>4400</v>
      </c>
      <c r="F93" s="156">
        <v>4400</v>
      </c>
      <c r="G93" s="156">
        <v>4400</v>
      </c>
      <c r="H93" s="156">
        <v>4400</v>
      </c>
      <c r="I93" s="156">
        <v>4400</v>
      </c>
      <c r="J93" s="156">
        <v>4400</v>
      </c>
      <c r="K93" s="156">
        <v>4400</v>
      </c>
      <c r="L93" s="156">
        <v>4400</v>
      </c>
      <c r="M93" s="156">
        <v>4400</v>
      </c>
      <c r="N93" s="156">
        <f>SUM(B93:M93)</f>
        <v>52800</v>
      </c>
    </row>
    <row r="94" spans="1:14">
      <c r="A94" s="68" t="s">
        <v>108</v>
      </c>
      <c r="B94" s="156">
        <v>4900</v>
      </c>
      <c r="C94" s="156">
        <v>4900</v>
      </c>
      <c r="D94" s="156">
        <v>4900</v>
      </c>
      <c r="E94" s="156">
        <v>4900</v>
      </c>
      <c r="F94" s="156">
        <v>4900</v>
      </c>
      <c r="G94" s="156">
        <v>4900</v>
      </c>
      <c r="H94" s="156">
        <v>4900</v>
      </c>
      <c r="I94" s="156">
        <v>4900</v>
      </c>
      <c r="J94" s="156">
        <v>4900</v>
      </c>
      <c r="K94" s="156">
        <v>4900</v>
      </c>
      <c r="L94" s="156">
        <v>4900</v>
      </c>
      <c r="M94" s="156">
        <v>4900</v>
      </c>
      <c r="N94" s="156">
        <f>SUM(B94:M94)</f>
        <v>58800</v>
      </c>
    </row>
    <row r="95" spans="1:14">
      <c r="A95" s="68" t="s">
        <v>182</v>
      </c>
      <c r="B95" s="281">
        <f>4280.96</f>
        <v>4280.96</v>
      </c>
      <c r="C95" s="281">
        <f t="shared" ref="C95:M95" si="18">4280.96</f>
        <v>4280.96</v>
      </c>
      <c r="D95" s="281">
        <f t="shared" si="18"/>
        <v>4280.96</v>
      </c>
      <c r="E95" s="281">
        <f t="shared" si="18"/>
        <v>4280.96</v>
      </c>
      <c r="F95" s="281">
        <f t="shared" si="18"/>
        <v>4280.96</v>
      </c>
      <c r="G95" s="281">
        <f t="shared" si="18"/>
        <v>4280.96</v>
      </c>
      <c r="H95" s="281">
        <f t="shared" si="18"/>
        <v>4280.96</v>
      </c>
      <c r="I95" s="281">
        <f t="shared" si="18"/>
        <v>4280.96</v>
      </c>
      <c r="J95" s="281">
        <f t="shared" si="18"/>
        <v>4280.96</v>
      </c>
      <c r="K95" s="281">
        <f t="shared" si="18"/>
        <v>4280.96</v>
      </c>
      <c r="L95" s="281">
        <f t="shared" si="18"/>
        <v>4280.96</v>
      </c>
      <c r="M95" s="281">
        <f t="shared" si="18"/>
        <v>4280.96</v>
      </c>
      <c r="N95" s="156">
        <f t="shared" ref="N95:N98" si="19">SUM(B95:M95)</f>
        <v>51371.519999999997</v>
      </c>
    </row>
    <row r="96" spans="1:14">
      <c r="A96" s="320" t="s">
        <v>344</v>
      </c>
      <c r="B96" s="281">
        <v>3241.7</v>
      </c>
      <c r="C96" s="281">
        <v>3241.7</v>
      </c>
      <c r="D96" s="281">
        <v>3241.7</v>
      </c>
      <c r="E96" s="281">
        <v>3241.7</v>
      </c>
      <c r="F96" s="281">
        <v>3241.7</v>
      </c>
      <c r="G96" s="281">
        <v>3241.7</v>
      </c>
      <c r="H96" s="281">
        <v>3241.7</v>
      </c>
      <c r="I96" s="281">
        <v>3241.7</v>
      </c>
      <c r="J96" s="281">
        <v>3241.7</v>
      </c>
      <c r="K96" s="281">
        <v>3241.7</v>
      </c>
      <c r="L96" s="281">
        <v>3241.7</v>
      </c>
      <c r="M96" s="281">
        <v>3241.7</v>
      </c>
      <c r="N96" s="156">
        <f t="shared" si="19"/>
        <v>38900.400000000001</v>
      </c>
    </row>
    <row r="97" spans="1:14">
      <c r="A97" s="320" t="s">
        <v>221</v>
      </c>
      <c r="B97" s="281">
        <v>0</v>
      </c>
      <c r="C97" s="281">
        <v>0</v>
      </c>
      <c r="D97" s="281">
        <v>0</v>
      </c>
      <c r="E97" s="281">
        <v>0</v>
      </c>
      <c r="F97" s="281">
        <v>0</v>
      </c>
      <c r="G97" s="281">
        <v>0</v>
      </c>
      <c r="H97" s="281">
        <v>0</v>
      </c>
      <c r="I97" s="281">
        <v>0</v>
      </c>
      <c r="J97" s="281">
        <v>0</v>
      </c>
      <c r="K97" s="281">
        <v>0</v>
      </c>
      <c r="L97" s="281">
        <v>0</v>
      </c>
      <c r="M97" s="281">
        <v>0</v>
      </c>
      <c r="N97" s="156">
        <f t="shared" si="19"/>
        <v>0</v>
      </c>
    </row>
    <row r="98" spans="1:14">
      <c r="A98" s="320" t="s">
        <v>222</v>
      </c>
      <c r="B98" s="384">
        <v>3582.83</v>
      </c>
      <c r="C98" s="383">
        <v>3149.5</v>
      </c>
      <c r="D98" s="383">
        <v>3149.5</v>
      </c>
      <c r="E98" s="383">
        <v>3149.5</v>
      </c>
      <c r="F98" s="383">
        <v>3149.5</v>
      </c>
      <c r="G98" s="383">
        <v>3149.5</v>
      </c>
      <c r="H98" s="383">
        <v>3149.5</v>
      </c>
      <c r="I98" s="383">
        <v>3149.5</v>
      </c>
      <c r="J98" s="383">
        <v>3149.5</v>
      </c>
      <c r="K98" s="383">
        <v>3149.5</v>
      </c>
      <c r="L98" s="383">
        <v>3149.5</v>
      </c>
      <c r="M98" s="383">
        <v>3149.5</v>
      </c>
      <c r="N98" s="156">
        <f t="shared" si="19"/>
        <v>38227.33</v>
      </c>
    </row>
    <row r="101" spans="1:14">
      <c r="A101" s="320" t="s">
        <v>371</v>
      </c>
      <c r="B101" s="174">
        <f>SUM(B93:B98)</f>
        <v>20405.489999999998</v>
      </c>
      <c r="C101" s="174">
        <f t="shared" ref="C101:N101" si="20">SUM(C93:C98)</f>
        <v>19972.16</v>
      </c>
      <c r="D101" s="174">
        <f t="shared" si="20"/>
        <v>19972.16</v>
      </c>
      <c r="E101" s="174">
        <f t="shared" si="20"/>
        <v>19972.16</v>
      </c>
      <c r="F101" s="174">
        <f t="shared" si="20"/>
        <v>19972.16</v>
      </c>
      <c r="G101" s="174">
        <f t="shared" si="20"/>
        <v>19972.16</v>
      </c>
      <c r="H101" s="174">
        <f t="shared" si="20"/>
        <v>19972.16</v>
      </c>
      <c r="I101" s="174">
        <f t="shared" si="20"/>
        <v>19972.16</v>
      </c>
      <c r="J101" s="174">
        <f t="shared" si="20"/>
        <v>19972.16</v>
      </c>
      <c r="K101" s="174">
        <f t="shared" si="20"/>
        <v>19972.16</v>
      </c>
      <c r="L101" s="174">
        <f t="shared" si="20"/>
        <v>19972.16</v>
      </c>
      <c r="M101" s="174">
        <f t="shared" si="20"/>
        <v>19972.16</v>
      </c>
      <c r="N101" s="156">
        <f t="shared" si="20"/>
        <v>240099.25</v>
      </c>
    </row>
  </sheetData>
  <phoneticPr fontId="23" type="noConversion"/>
  <hyperlinks>
    <hyperlink ref="Q3" r:id="rId1"/>
    <hyperlink ref="Q4" r:id="rId2"/>
  </hyperlinks>
  <pageMargins left="0.32" right="0.2" top="0.95" bottom="0.46" header="0.64" footer="0.18"/>
  <pageSetup scale="88" pageOrder="overThenDown" orientation="landscape" r:id="rId3"/>
  <headerFooter alignWithMargins="0">
    <oddHeader>&amp;A</oddHeader>
    <oddFooter>&amp;Z&amp;F</oddFooter>
  </headerFooter>
  <rowBreaks count="3" manualBreakCount="3">
    <brk id="125" max="65535" man="1"/>
    <brk id="155" max="65535" man="1"/>
    <brk id="203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O16"/>
  <sheetViews>
    <sheetView workbookViewId="0">
      <selection activeCell="E16" sqref="E16:E18"/>
    </sheetView>
  </sheetViews>
  <sheetFormatPr defaultColWidth="9" defaultRowHeight="13.2"/>
  <cols>
    <col min="1" max="1" width="23.88671875" style="68" customWidth="1"/>
    <col min="2" max="3" width="9.6640625" style="68" customWidth="1"/>
    <col min="4" max="4" width="8.77734375" style="68" customWidth="1"/>
    <col min="5" max="5" width="8.44140625" style="68" customWidth="1"/>
    <col min="6" max="6" width="8.109375" style="68" customWidth="1"/>
    <col min="7" max="7" width="8" style="68" customWidth="1"/>
    <col min="8" max="9" width="8.21875" style="68" customWidth="1"/>
    <col min="10" max="10" width="8" style="68" customWidth="1"/>
    <col min="11" max="11" width="8.109375" style="68" customWidth="1"/>
    <col min="12" max="12" width="8.21875" style="68" customWidth="1"/>
    <col min="13" max="13" width="8.6640625" style="68" customWidth="1"/>
    <col min="14" max="14" width="9.77734375" style="68" customWidth="1"/>
    <col min="15" max="16384" width="9" style="68"/>
  </cols>
  <sheetData>
    <row r="1" spans="1:15">
      <c r="A1" s="480" t="s">
        <v>484</v>
      </c>
    </row>
    <row r="2" spans="1:15">
      <c r="A2" s="480" t="s">
        <v>473</v>
      </c>
    </row>
    <row r="4" spans="1:15">
      <c r="A4" s="320" t="s">
        <v>329</v>
      </c>
      <c r="B4" s="149"/>
      <c r="D4" s="148" t="s">
        <v>15</v>
      </c>
      <c r="E4" s="150"/>
    </row>
    <row r="5" spans="1:15">
      <c r="A5" s="148"/>
      <c r="B5" s="151"/>
    </row>
    <row r="7" spans="1:15">
      <c r="A7" s="148"/>
      <c r="G7" s="152"/>
      <c r="H7" s="152"/>
      <c r="I7" s="152"/>
      <c r="J7" s="152"/>
      <c r="K7" s="152"/>
      <c r="L7" s="152"/>
      <c r="M7" s="152"/>
      <c r="N7" s="152"/>
    </row>
    <row r="8" spans="1:15">
      <c r="A8" s="320" t="s">
        <v>372</v>
      </c>
      <c r="B8" s="153" t="s">
        <v>95</v>
      </c>
      <c r="C8" s="153" t="s">
        <v>96</v>
      </c>
      <c r="D8" s="153" t="s">
        <v>97</v>
      </c>
      <c r="E8" s="153" t="s">
        <v>98</v>
      </c>
      <c r="F8" s="153" t="s">
        <v>99</v>
      </c>
      <c r="G8" s="153" t="s">
        <v>100</v>
      </c>
      <c r="H8" s="153" t="s">
        <v>101</v>
      </c>
      <c r="I8" s="153" t="s">
        <v>102</v>
      </c>
      <c r="J8" s="153" t="s">
        <v>103</v>
      </c>
      <c r="K8" s="153" t="s">
        <v>104</v>
      </c>
      <c r="L8" s="153" t="s">
        <v>105</v>
      </c>
      <c r="M8" s="153" t="s">
        <v>106</v>
      </c>
      <c r="N8" s="153" t="s">
        <v>12</v>
      </c>
    </row>
    <row r="9" spans="1:15">
      <c r="A9" s="175" t="s">
        <v>118</v>
      </c>
      <c r="B9" s="154"/>
      <c r="C9" s="154"/>
      <c r="D9" s="154"/>
      <c r="E9" s="155"/>
      <c r="F9" s="155"/>
      <c r="G9" s="155"/>
      <c r="H9" s="155"/>
      <c r="I9" s="155"/>
      <c r="J9" s="154"/>
      <c r="K9" s="154"/>
      <c r="L9" s="154"/>
      <c r="M9" s="154"/>
      <c r="N9" s="154"/>
    </row>
    <row r="10" spans="1:15">
      <c r="A10" s="68" t="s">
        <v>119</v>
      </c>
      <c r="B10" s="156">
        <v>2400</v>
      </c>
      <c r="C10" s="156">
        <f>B10</f>
        <v>2400</v>
      </c>
      <c r="D10" s="156">
        <f t="shared" ref="D10:M10" si="0">C10</f>
        <v>2400</v>
      </c>
      <c r="E10" s="156">
        <f t="shared" si="0"/>
        <v>2400</v>
      </c>
      <c r="F10" s="156">
        <f t="shared" si="0"/>
        <v>2400</v>
      </c>
      <c r="G10" s="156">
        <f t="shared" si="0"/>
        <v>2400</v>
      </c>
      <c r="H10" s="156">
        <f t="shared" si="0"/>
        <v>2400</v>
      </c>
      <c r="I10" s="156">
        <f t="shared" si="0"/>
        <v>2400</v>
      </c>
      <c r="J10" s="156">
        <f t="shared" si="0"/>
        <v>2400</v>
      </c>
      <c r="K10" s="156">
        <f t="shared" si="0"/>
        <v>2400</v>
      </c>
      <c r="L10" s="156">
        <f t="shared" si="0"/>
        <v>2400</v>
      </c>
      <c r="M10" s="156">
        <f t="shared" si="0"/>
        <v>2400</v>
      </c>
      <c r="N10" s="156">
        <f t="shared" ref="N10:N14" si="1">SUM(B10:M10)</f>
        <v>28800</v>
      </c>
    </row>
    <row r="11" spans="1:15">
      <c r="A11" s="68" t="s">
        <v>189</v>
      </c>
      <c r="B11" s="156">
        <v>1200</v>
      </c>
      <c r="C11" s="156">
        <f>B11</f>
        <v>1200</v>
      </c>
      <c r="D11" s="156">
        <f t="shared" ref="D11:M11" si="2">C11</f>
        <v>1200</v>
      </c>
      <c r="E11" s="156">
        <f t="shared" si="2"/>
        <v>1200</v>
      </c>
      <c r="F11" s="156">
        <f t="shared" si="2"/>
        <v>1200</v>
      </c>
      <c r="G11" s="156">
        <f t="shared" si="2"/>
        <v>1200</v>
      </c>
      <c r="H11" s="156">
        <f t="shared" si="2"/>
        <v>1200</v>
      </c>
      <c r="I11" s="156">
        <f t="shared" si="2"/>
        <v>1200</v>
      </c>
      <c r="J11" s="156">
        <f t="shared" si="2"/>
        <v>1200</v>
      </c>
      <c r="K11" s="156">
        <f t="shared" si="2"/>
        <v>1200</v>
      </c>
      <c r="L11" s="156">
        <f t="shared" si="2"/>
        <v>1200</v>
      </c>
      <c r="M11" s="156">
        <f t="shared" si="2"/>
        <v>1200</v>
      </c>
      <c r="N11" s="156">
        <f t="shared" si="1"/>
        <v>14400</v>
      </c>
      <c r="O11" s="332" t="s">
        <v>235</v>
      </c>
    </row>
    <row r="12" spans="1:15">
      <c r="A12" s="68" t="s">
        <v>120</v>
      </c>
      <c r="B12" s="156">
        <v>1200</v>
      </c>
      <c r="C12" s="156">
        <f>B12</f>
        <v>1200</v>
      </c>
      <c r="D12" s="156">
        <f t="shared" ref="D12:M12" si="3">C12</f>
        <v>1200</v>
      </c>
      <c r="E12" s="156">
        <f t="shared" si="3"/>
        <v>1200</v>
      </c>
      <c r="F12" s="156">
        <f t="shared" si="3"/>
        <v>1200</v>
      </c>
      <c r="G12" s="156">
        <f t="shared" si="3"/>
        <v>1200</v>
      </c>
      <c r="H12" s="156">
        <f t="shared" si="3"/>
        <v>1200</v>
      </c>
      <c r="I12" s="156">
        <f t="shared" si="3"/>
        <v>1200</v>
      </c>
      <c r="J12" s="156">
        <f t="shared" si="3"/>
        <v>1200</v>
      </c>
      <c r="K12" s="156">
        <f t="shared" si="3"/>
        <v>1200</v>
      </c>
      <c r="L12" s="156">
        <f t="shared" si="3"/>
        <v>1200</v>
      </c>
      <c r="M12" s="156">
        <f t="shared" si="3"/>
        <v>1200</v>
      </c>
      <c r="N12" s="156">
        <f t="shared" si="1"/>
        <v>14400</v>
      </c>
    </row>
    <row r="13" spans="1:15">
      <c r="A13" s="68" t="s">
        <v>121</v>
      </c>
      <c r="B13" s="156">
        <v>1200</v>
      </c>
      <c r="C13" s="156">
        <f t="shared" ref="C13:M13" si="4">B13</f>
        <v>1200</v>
      </c>
      <c r="D13" s="156">
        <f t="shared" si="4"/>
        <v>1200</v>
      </c>
      <c r="E13" s="156">
        <f t="shared" si="4"/>
        <v>1200</v>
      </c>
      <c r="F13" s="156">
        <f t="shared" si="4"/>
        <v>1200</v>
      </c>
      <c r="G13" s="156">
        <f t="shared" si="4"/>
        <v>1200</v>
      </c>
      <c r="H13" s="156">
        <f t="shared" si="4"/>
        <v>1200</v>
      </c>
      <c r="I13" s="156">
        <f t="shared" si="4"/>
        <v>1200</v>
      </c>
      <c r="J13" s="156">
        <f t="shared" si="4"/>
        <v>1200</v>
      </c>
      <c r="K13" s="156">
        <f t="shared" si="4"/>
        <v>1200</v>
      </c>
      <c r="L13" s="156">
        <f t="shared" si="4"/>
        <v>1200</v>
      </c>
      <c r="M13" s="156">
        <f t="shared" si="4"/>
        <v>1200</v>
      </c>
      <c r="N13" s="156">
        <f t="shared" si="1"/>
        <v>14400</v>
      </c>
    </row>
    <row r="14" spans="1:15">
      <c r="A14" s="68" t="s">
        <v>122</v>
      </c>
      <c r="B14" s="156">
        <v>1200</v>
      </c>
      <c r="C14" s="156">
        <f t="shared" ref="C14:M14" si="5">B14</f>
        <v>1200</v>
      </c>
      <c r="D14" s="156">
        <f t="shared" si="5"/>
        <v>1200</v>
      </c>
      <c r="E14" s="156">
        <f t="shared" si="5"/>
        <v>1200</v>
      </c>
      <c r="F14" s="156">
        <f t="shared" si="5"/>
        <v>1200</v>
      </c>
      <c r="G14" s="156">
        <f t="shared" si="5"/>
        <v>1200</v>
      </c>
      <c r="H14" s="156">
        <f t="shared" si="5"/>
        <v>1200</v>
      </c>
      <c r="I14" s="156">
        <f t="shared" si="5"/>
        <v>1200</v>
      </c>
      <c r="J14" s="156">
        <f t="shared" si="5"/>
        <v>1200</v>
      </c>
      <c r="K14" s="156">
        <f t="shared" si="5"/>
        <v>1200</v>
      </c>
      <c r="L14" s="156">
        <f t="shared" si="5"/>
        <v>1200</v>
      </c>
      <c r="M14" s="156">
        <f t="shared" si="5"/>
        <v>1200</v>
      </c>
      <c r="N14" s="156">
        <f t="shared" si="1"/>
        <v>14400</v>
      </c>
    </row>
    <row r="15" spans="1:15"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pans="1:15">
      <c r="A16" s="173" t="s">
        <v>123</v>
      </c>
      <c r="B16" s="174">
        <f>SUM(B10:B14)</f>
        <v>7200</v>
      </c>
      <c r="C16" s="174">
        <f t="shared" ref="C16:N16" si="6">SUM(C10:C14)</f>
        <v>7200</v>
      </c>
      <c r="D16" s="174">
        <f t="shared" si="6"/>
        <v>7200</v>
      </c>
      <c r="E16" s="174">
        <f t="shared" si="6"/>
        <v>7200</v>
      </c>
      <c r="F16" s="174">
        <f t="shared" si="6"/>
        <v>7200</v>
      </c>
      <c r="G16" s="174">
        <f t="shared" si="6"/>
        <v>7200</v>
      </c>
      <c r="H16" s="174">
        <f t="shared" si="6"/>
        <v>7200</v>
      </c>
      <c r="I16" s="174">
        <f t="shared" si="6"/>
        <v>7200</v>
      </c>
      <c r="J16" s="174">
        <f t="shared" si="6"/>
        <v>7200</v>
      </c>
      <c r="K16" s="174">
        <f t="shared" si="6"/>
        <v>7200</v>
      </c>
      <c r="L16" s="174">
        <f t="shared" si="6"/>
        <v>7200</v>
      </c>
      <c r="M16" s="174">
        <f t="shared" si="6"/>
        <v>7200</v>
      </c>
      <c r="N16" s="174">
        <f t="shared" si="6"/>
        <v>86400</v>
      </c>
    </row>
  </sheetData>
  <phoneticPr fontId="23" type="noConversion"/>
  <pageMargins left="0.32" right="0.2" top="0.95" bottom="0.46" header="0.64" footer="0.18"/>
  <pageSetup scale="90" pageOrder="overThenDown" orientation="landscape" horizontalDpi="4294967292" verticalDpi="300" r:id="rId1"/>
  <headerFooter alignWithMargins="0">
    <oddHeader>&amp;A</oddHeader>
    <oddFooter>&amp;Z&amp;F</oddFooter>
  </headerFooter>
  <rowBreaks count="3" manualBreakCount="3">
    <brk id="125" max="65535" man="1"/>
    <brk id="155" max="65535" man="1"/>
    <brk id="203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5" width="9" style="277"/>
    <col min="16" max="16" width="5.88671875" style="277" customWidth="1"/>
    <col min="17" max="16384" width="9" style="22"/>
  </cols>
  <sheetData>
    <row r="1" spans="1:18" ht="13.2">
      <c r="A1" s="480" t="s">
        <v>485</v>
      </c>
    </row>
    <row r="2" spans="1:18" ht="13.2">
      <c r="A2" s="480" t="s">
        <v>473</v>
      </c>
    </row>
    <row r="4" spans="1:18" s="16" customFormat="1" ht="13.8">
      <c r="A4" s="250" t="s">
        <v>308</v>
      </c>
      <c r="B4" s="14"/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274"/>
      <c r="P4" s="274"/>
      <c r="Q4" s="15"/>
      <c r="R4" s="15"/>
    </row>
    <row r="5" spans="1:18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74"/>
      <c r="P5" s="274"/>
      <c r="Q5" s="15"/>
      <c r="R5" s="15"/>
    </row>
    <row r="6" spans="1:18" s="16" customFormat="1" ht="13.8">
      <c r="A6" s="252" t="s">
        <v>304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274"/>
      <c r="P6" s="274"/>
      <c r="Q6" s="15"/>
      <c r="R6" s="15"/>
    </row>
    <row r="7" spans="1:18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  <c r="O7" s="275"/>
      <c r="P7" s="275"/>
    </row>
    <row r="8" spans="1:18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  <c r="O8" s="276"/>
      <c r="P8" s="276"/>
    </row>
    <row r="9" spans="1:18" s="20" customFormat="1" ht="10.199999999999999">
      <c r="A9" s="254"/>
      <c r="O9" s="492"/>
      <c r="P9" s="492"/>
    </row>
    <row r="10" spans="1:18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76"/>
      <c r="P10" s="276"/>
    </row>
    <row r="11" spans="1:18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8">
      <c r="A12" s="255">
        <v>2013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8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8">
      <c r="A14" s="256" t="s">
        <v>47</v>
      </c>
      <c r="B14" s="239">
        <f>'Lake Worth Forecast'!E10</f>
        <v>72000</v>
      </c>
      <c r="C14" s="239">
        <f>'Lake Worth Forecast'!F10</f>
        <v>72000</v>
      </c>
      <c r="D14" s="239">
        <f>'Lake Worth Forecast'!G10</f>
        <v>72000</v>
      </c>
      <c r="E14" s="239">
        <f>'Lake Worth Forecast'!H10</f>
        <v>72000</v>
      </c>
      <c r="F14" s="239">
        <f>'Lake Worth Forecast'!I10</f>
        <v>85000</v>
      </c>
      <c r="G14" s="239">
        <f>'Lake Worth Forecast'!J10</f>
        <v>85000</v>
      </c>
      <c r="H14" s="239">
        <f>'Lake Worth Forecast'!K10</f>
        <v>85000</v>
      </c>
      <c r="I14" s="239">
        <f>'Lake Worth Forecast'!L10</f>
        <v>85000</v>
      </c>
      <c r="J14" s="239">
        <f>'Lake Worth Forecast'!M10</f>
        <v>85000</v>
      </c>
      <c r="K14" s="239">
        <f>'Lake Worth Forecast'!N10</f>
        <v>72000</v>
      </c>
      <c r="L14" s="239">
        <f>'Lake Worth Forecast'!O10</f>
        <v>72000</v>
      </c>
      <c r="M14" s="239">
        <f>'Lake Worth Forecast'!P10</f>
        <v>72000</v>
      </c>
      <c r="N14" s="21">
        <f>SUM(B14:M14)</f>
        <v>929000</v>
      </c>
      <c r="O14" s="279"/>
      <c r="P14" s="278"/>
    </row>
    <row r="15" spans="1:18">
      <c r="A15" s="256" t="s">
        <v>45</v>
      </c>
      <c r="B15" s="28">
        <f>ROUND(B14*'Transmission Formula Rate (7)'!$B$27,0)</f>
        <v>1332</v>
      </c>
      <c r="C15" s="28">
        <f>ROUND(C14*'Transmission Formula Rate (7)'!$B$27,0)</f>
        <v>1332</v>
      </c>
      <c r="D15" s="28">
        <f>ROUND(D14*'Transmission Formula Rate (7)'!$B$27,0)</f>
        <v>1332</v>
      </c>
      <c r="E15" s="28">
        <f>ROUND(E14*'Transmission Formula Rate (7)'!$B$27,0)</f>
        <v>1332</v>
      </c>
      <c r="F15" s="28">
        <f>ROUND(F14*'Transmission Formula Rate (7)'!$B$27,0)</f>
        <v>1573</v>
      </c>
      <c r="G15" s="28">
        <f>ROUND(G14*'Transmission Formula Rate (7)'!$B$27,0)</f>
        <v>1573</v>
      </c>
      <c r="H15" s="28">
        <f>ROUND(H14*'Transmission Formula Rate (7)'!$B$27,0)</f>
        <v>1573</v>
      </c>
      <c r="I15" s="28">
        <f>ROUND(I14*'Transmission Formula Rate (7)'!$B$27,0)</f>
        <v>1573</v>
      </c>
      <c r="J15" s="28">
        <f>ROUND(J14*'Transmission Formula Rate (7)'!$B$27,0)</f>
        <v>1573</v>
      </c>
      <c r="K15" s="28">
        <f>ROUND(K14*'Transmission Formula Rate (7)'!$B$27,0)</f>
        <v>1332</v>
      </c>
      <c r="L15" s="28">
        <f>ROUND(L14*'Transmission Formula Rate (7)'!$B$27,0)</f>
        <v>1332</v>
      </c>
      <c r="M15" s="28">
        <f>ROUND(M14*'Transmission Formula Rate (7)'!$B$27,0)</f>
        <v>1332</v>
      </c>
      <c r="N15" s="21">
        <f>SUM(B15:M15)</f>
        <v>17189</v>
      </c>
    </row>
    <row r="16" spans="1:18">
      <c r="A16" s="256" t="s">
        <v>305</v>
      </c>
      <c r="B16" s="28">
        <f t="shared" ref="B16:M16" si="1">B14+B15</f>
        <v>73332</v>
      </c>
      <c r="C16" s="28">
        <f t="shared" si="1"/>
        <v>73332</v>
      </c>
      <c r="D16" s="28">
        <f t="shared" si="1"/>
        <v>73332</v>
      </c>
      <c r="E16" s="28">
        <f t="shared" si="1"/>
        <v>73332</v>
      </c>
      <c r="F16" s="28">
        <f t="shared" si="1"/>
        <v>86573</v>
      </c>
      <c r="G16" s="28">
        <f t="shared" si="1"/>
        <v>86573</v>
      </c>
      <c r="H16" s="28">
        <f t="shared" si="1"/>
        <v>86573</v>
      </c>
      <c r="I16" s="28">
        <f t="shared" si="1"/>
        <v>86573</v>
      </c>
      <c r="J16" s="28">
        <f t="shared" si="1"/>
        <v>86573</v>
      </c>
      <c r="K16" s="28">
        <f t="shared" si="1"/>
        <v>73332</v>
      </c>
      <c r="L16" s="28">
        <f t="shared" si="1"/>
        <v>73332</v>
      </c>
      <c r="M16" s="28">
        <f t="shared" si="1"/>
        <v>73332</v>
      </c>
      <c r="N16" s="124">
        <f>SUM(B16:M16)</f>
        <v>946189</v>
      </c>
    </row>
    <row r="17" spans="1:16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6">
      <c r="A18" s="254" t="s">
        <v>17</v>
      </c>
      <c r="B18" s="21">
        <f t="shared" ref="B18:M18" si="2">B16*B17</f>
        <v>116597.88</v>
      </c>
      <c r="C18" s="21">
        <f t="shared" si="2"/>
        <v>116597.88</v>
      </c>
      <c r="D18" s="21">
        <f t="shared" si="2"/>
        <v>116597.88</v>
      </c>
      <c r="E18" s="21">
        <f t="shared" si="2"/>
        <v>116597.88</v>
      </c>
      <c r="F18" s="21">
        <f t="shared" si="2"/>
        <v>137651.07</v>
      </c>
      <c r="G18" s="21">
        <f t="shared" si="2"/>
        <v>137651.07</v>
      </c>
      <c r="H18" s="21">
        <f t="shared" si="2"/>
        <v>137651.07</v>
      </c>
      <c r="I18" s="21">
        <f t="shared" si="2"/>
        <v>137651.07</v>
      </c>
      <c r="J18" s="21">
        <f t="shared" si="2"/>
        <v>137651.07</v>
      </c>
      <c r="K18" s="21">
        <f t="shared" si="2"/>
        <v>116597.88</v>
      </c>
      <c r="L18" s="21">
        <f t="shared" si="2"/>
        <v>116597.88</v>
      </c>
      <c r="M18" s="21">
        <f t="shared" si="2"/>
        <v>116597.88</v>
      </c>
      <c r="N18" s="21">
        <f>SUM(B18:M18)</f>
        <v>1504440.5100000002</v>
      </c>
    </row>
    <row r="19" spans="1:16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6">
      <c r="A20" s="254" t="s">
        <v>141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6">
      <c r="A21" s="256" t="s">
        <v>47</v>
      </c>
      <c r="B21" s="239">
        <f>B14</f>
        <v>72000</v>
      </c>
      <c r="C21" s="239">
        <f t="shared" ref="C21:M21" si="3">C14</f>
        <v>72000</v>
      </c>
      <c r="D21" s="239">
        <f t="shared" si="3"/>
        <v>72000</v>
      </c>
      <c r="E21" s="239">
        <f t="shared" si="3"/>
        <v>72000</v>
      </c>
      <c r="F21" s="239">
        <f t="shared" si="3"/>
        <v>85000</v>
      </c>
      <c r="G21" s="239">
        <f t="shared" si="3"/>
        <v>85000</v>
      </c>
      <c r="H21" s="239">
        <f t="shared" si="3"/>
        <v>85000</v>
      </c>
      <c r="I21" s="239">
        <f t="shared" si="3"/>
        <v>85000</v>
      </c>
      <c r="J21" s="239">
        <f t="shared" si="3"/>
        <v>85000</v>
      </c>
      <c r="K21" s="239">
        <f t="shared" si="3"/>
        <v>72000</v>
      </c>
      <c r="L21" s="239">
        <f t="shared" si="3"/>
        <v>72000</v>
      </c>
      <c r="M21" s="239">
        <f t="shared" si="3"/>
        <v>72000</v>
      </c>
      <c r="N21" s="21">
        <f>SUM(B21:M21)</f>
        <v>929000</v>
      </c>
      <c r="O21" s="279"/>
      <c r="P21" s="278"/>
    </row>
    <row r="22" spans="1:16">
      <c r="A22" s="256" t="s">
        <v>45</v>
      </c>
      <c r="B22" s="28">
        <f>ROUND(B21*'Transmission Formula Rate (7)'!$B$27,0)</f>
        <v>1332</v>
      </c>
      <c r="C22" s="28">
        <f>ROUND(C21*'Transmission Formula Rate (7)'!$B$27,0)</f>
        <v>1332</v>
      </c>
      <c r="D22" s="28">
        <f>ROUND(D21*'Transmission Formula Rate (7)'!$B$27,0)</f>
        <v>1332</v>
      </c>
      <c r="E22" s="28">
        <f>ROUND(E21*'Transmission Formula Rate (7)'!$B$27,0)</f>
        <v>1332</v>
      </c>
      <c r="F22" s="28">
        <f>ROUND(F21*'Transmission Formula Rate (7)'!$B$27,0)</f>
        <v>1573</v>
      </c>
      <c r="G22" s="28">
        <f>ROUND(G21*'Transmission Formula Rate (7)'!$B$27,0)</f>
        <v>1573</v>
      </c>
      <c r="H22" s="28">
        <f>ROUND(H21*'Transmission Formula Rate (7)'!$B$27,0)</f>
        <v>1573</v>
      </c>
      <c r="I22" s="28">
        <f>ROUND(I21*'Transmission Formula Rate (7)'!$B$27,0)</f>
        <v>1573</v>
      </c>
      <c r="J22" s="28">
        <f>ROUND(J21*'Transmission Formula Rate (7)'!$B$27,0)</f>
        <v>1573</v>
      </c>
      <c r="K22" s="28">
        <f>ROUND(K21*'Transmission Formula Rate (7)'!$B$27,0)</f>
        <v>1332</v>
      </c>
      <c r="L22" s="28">
        <f>ROUND(L21*'Transmission Formula Rate (7)'!$B$27,0)</f>
        <v>1332</v>
      </c>
      <c r="M22" s="28">
        <f>ROUND(M21*'Transmission Formula Rate (7)'!$B$27,0)</f>
        <v>1332</v>
      </c>
      <c r="N22" s="21">
        <f>SUM(B22:M22)</f>
        <v>17189</v>
      </c>
    </row>
    <row r="23" spans="1:16">
      <c r="A23" s="256" t="s">
        <v>305</v>
      </c>
      <c r="B23" s="28">
        <f>B21+B22</f>
        <v>73332</v>
      </c>
      <c r="C23" s="28">
        <f t="shared" ref="C23:M23" si="4">C21+C22</f>
        <v>73332</v>
      </c>
      <c r="D23" s="28">
        <f t="shared" si="4"/>
        <v>73332</v>
      </c>
      <c r="E23" s="28">
        <f t="shared" si="4"/>
        <v>73332</v>
      </c>
      <c r="F23" s="28">
        <f t="shared" si="4"/>
        <v>86573</v>
      </c>
      <c r="G23" s="28">
        <f t="shared" si="4"/>
        <v>86573</v>
      </c>
      <c r="H23" s="28">
        <f t="shared" si="4"/>
        <v>86573</v>
      </c>
      <c r="I23" s="28">
        <f t="shared" si="4"/>
        <v>86573</v>
      </c>
      <c r="J23" s="28">
        <f t="shared" si="4"/>
        <v>86573</v>
      </c>
      <c r="K23" s="28">
        <f t="shared" si="4"/>
        <v>73332</v>
      </c>
      <c r="L23" s="28">
        <f t="shared" si="4"/>
        <v>73332</v>
      </c>
      <c r="M23" s="28">
        <f t="shared" si="4"/>
        <v>73332</v>
      </c>
      <c r="N23" s="124">
        <f>SUM(B23:M23)</f>
        <v>946189</v>
      </c>
    </row>
    <row r="24" spans="1:16">
      <c r="A24" s="254" t="s">
        <v>149</v>
      </c>
      <c r="B24" s="32">
        <f>'charges (1 &amp; 2)'!E33</f>
        <v>1.274E-2</v>
      </c>
      <c r="C24" s="32">
        <f>B24</f>
        <v>1.274E-2</v>
      </c>
      <c r="D24" s="32">
        <f t="shared" ref="D24:M24" si="5">C24</f>
        <v>1.274E-2</v>
      </c>
      <c r="E24" s="32">
        <f t="shared" si="5"/>
        <v>1.274E-2</v>
      </c>
      <c r="F24" s="32">
        <f t="shared" si="5"/>
        <v>1.274E-2</v>
      </c>
      <c r="G24" s="32">
        <f t="shared" si="5"/>
        <v>1.274E-2</v>
      </c>
      <c r="H24" s="32">
        <f t="shared" si="5"/>
        <v>1.274E-2</v>
      </c>
      <c r="I24" s="32">
        <f t="shared" si="5"/>
        <v>1.274E-2</v>
      </c>
      <c r="J24" s="32">
        <f t="shared" si="5"/>
        <v>1.274E-2</v>
      </c>
      <c r="K24" s="32">
        <f t="shared" si="5"/>
        <v>1.274E-2</v>
      </c>
      <c r="L24" s="32">
        <f t="shared" si="5"/>
        <v>1.274E-2</v>
      </c>
      <c r="M24" s="32">
        <f t="shared" si="5"/>
        <v>1.274E-2</v>
      </c>
      <c r="N24" s="20"/>
    </row>
    <row r="25" spans="1:16">
      <c r="A25" s="254" t="s">
        <v>17</v>
      </c>
      <c r="B25" s="21">
        <f t="shared" ref="B25:M25" si="6">B23*B24</f>
        <v>934.24968000000001</v>
      </c>
      <c r="C25" s="21">
        <f t="shared" si="6"/>
        <v>934.24968000000001</v>
      </c>
      <c r="D25" s="21">
        <f t="shared" si="6"/>
        <v>934.24968000000001</v>
      </c>
      <c r="E25" s="21">
        <f t="shared" si="6"/>
        <v>934.24968000000001</v>
      </c>
      <c r="F25" s="21">
        <f t="shared" si="6"/>
        <v>1102.94002</v>
      </c>
      <c r="G25" s="21">
        <f t="shared" si="6"/>
        <v>1102.94002</v>
      </c>
      <c r="H25" s="21">
        <f t="shared" si="6"/>
        <v>1102.94002</v>
      </c>
      <c r="I25" s="21">
        <f t="shared" si="6"/>
        <v>1102.94002</v>
      </c>
      <c r="J25" s="21">
        <f t="shared" si="6"/>
        <v>1102.94002</v>
      </c>
      <c r="K25" s="21">
        <f t="shared" si="6"/>
        <v>934.24968000000001</v>
      </c>
      <c r="L25" s="21">
        <f t="shared" si="6"/>
        <v>934.24968000000001</v>
      </c>
      <c r="M25" s="21">
        <f t="shared" si="6"/>
        <v>934.24968000000001</v>
      </c>
      <c r="N25" s="21">
        <f>SUM(B25:M25)</f>
        <v>12054.447860000002</v>
      </c>
    </row>
    <row r="26" spans="1:16">
      <c r="A26" s="25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6">
      <c r="A27" s="257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6"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6">
      <c r="A29" s="255">
        <f>+A12+1</f>
        <v>2014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6">
      <c r="A30" s="254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6">
      <c r="A31" s="256" t="s">
        <v>47</v>
      </c>
      <c r="B31" s="239">
        <f>'Lake Worth Forecast'!E11</f>
        <v>72000</v>
      </c>
      <c r="C31" s="239">
        <f>'Lake Worth Forecast'!F11</f>
        <v>72000</v>
      </c>
      <c r="D31" s="239">
        <f>'Lake Worth Forecast'!G11</f>
        <v>72000</v>
      </c>
      <c r="E31" s="239">
        <f>'Lake Worth Forecast'!H11</f>
        <v>72000</v>
      </c>
      <c r="F31" s="239">
        <f>'Lake Worth Forecast'!I11</f>
        <v>85000</v>
      </c>
      <c r="G31" s="239">
        <f>'Lake Worth Forecast'!J11</f>
        <v>85000</v>
      </c>
      <c r="H31" s="239">
        <f>'Lake Worth Forecast'!K11</f>
        <v>85000</v>
      </c>
      <c r="I31" s="239">
        <f>'Lake Worth Forecast'!L11</f>
        <v>85000</v>
      </c>
      <c r="J31" s="239">
        <f>'Lake Worth Forecast'!M11</f>
        <v>85000</v>
      </c>
      <c r="K31" s="239">
        <f>'Lake Worth Forecast'!N11</f>
        <v>72000</v>
      </c>
      <c r="L31" s="239">
        <f>'Lake Worth Forecast'!O11</f>
        <v>72000</v>
      </c>
      <c r="M31" s="239">
        <f>'Lake Worth Forecast'!P11</f>
        <v>72000</v>
      </c>
      <c r="N31" s="21">
        <f>SUM(B31:M31)</f>
        <v>929000</v>
      </c>
      <c r="O31" s="279"/>
      <c r="P31" s="278"/>
    </row>
    <row r="32" spans="1:16">
      <c r="A32" s="256" t="s">
        <v>45</v>
      </c>
      <c r="B32" s="28">
        <f>ROUND(B31*'Transmission Formula Rate (7)'!$B$27,0)</f>
        <v>1332</v>
      </c>
      <c r="C32" s="28">
        <f>ROUND(C31*'Transmission Formula Rate (7)'!$B$27,0)</f>
        <v>1332</v>
      </c>
      <c r="D32" s="28">
        <f>ROUND(D31*'Transmission Formula Rate (7)'!$B$27,0)</f>
        <v>1332</v>
      </c>
      <c r="E32" s="28">
        <f>ROUND(E31*'Transmission Formula Rate (7)'!$B$27,0)</f>
        <v>1332</v>
      </c>
      <c r="F32" s="28">
        <f>ROUND(F31*'Transmission Formula Rate (7)'!$B$27,0)</f>
        <v>1573</v>
      </c>
      <c r="G32" s="28">
        <f>ROUND(G31*'Transmission Formula Rate (7)'!$B$27,0)</f>
        <v>1573</v>
      </c>
      <c r="H32" s="28">
        <f>ROUND(H31*'Transmission Formula Rate (7)'!$B$27,0)</f>
        <v>1573</v>
      </c>
      <c r="I32" s="28">
        <f>ROUND(I31*'Transmission Formula Rate (7)'!$B$27,0)</f>
        <v>1573</v>
      </c>
      <c r="J32" s="28">
        <f>ROUND(J31*'Transmission Formula Rate (7)'!$B$27,0)</f>
        <v>1573</v>
      </c>
      <c r="K32" s="28">
        <f>ROUND(K31*'Transmission Formula Rate (7)'!$B$27,0)</f>
        <v>1332</v>
      </c>
      <c r="L32" s="28">
        <f>ROUND(L31*'Transmission Formula Rate (7)'!$B$27,0)</f>
        <v>1332</v>
      </c>
      <c r="M32" s="28">
        <f>ROUND(M31*'Transmission Formula Rate (7)'!$B$27,0)</f>
        <v>1332</v>
      </c>
      <c r="N32" s="21">
        <f>SUM(B32:M32)</f>
        <v>17189</v>
      </c>
    </row>
    <row r="33" spans="1:16">
      <c r="A33" s="256" t="s">
        <v>305</v>
      </c>
      <c r="B33" s="28">
        <f t="shared" ref="B33:M33" si="7">B31+B32</f>
        <v>73332</v>
      </c>
      <c r="C33" s="28">
        <f t="shared" si="7"/>
        <v>73332</v>
      </c>
      <c r="D33" s="28">
        <f t="shared" si="7"/>
        <v>73332</v>
      </c>
      <c r="E33" s="28">
        <f t="shared" si="7"/>
        <v>73332</v>
      </c>
      <c r="F33" s="28">
        <f t="shared" si="7"/>
        <v>86573</v>
      </c>
      <c r="G33" s="28">
        <f t="shared" si="7"/>
        <v>86573</v>
      </c>
      <c r="H33" s="28">
        <f t="shared" si="7"/>
        <v>86573</v>
      </c>
      <c r="I33" s="28">
        <f t="shared" si="7"/>
        <v>86573</v>
      </c>
      <c r="J33" s="28">
        <f t="shared" si="7"/>
        <v>86573</v>
      </c>
      <c r="K33" s="28">
        <f t="shared" si="7"/>
        <v>73332</v>
      </c>
      <c r="L33" s="28">
        <f t="shared" si="7"/>
        <v>73332</v>
      </c>
      <c r="M33" s="28">
        <f t="shared" si="7"/>
        <v>73332</v>
      </c>
      <c r="N33" s="124">
        <f>SUM(B33:M33)</f>
        <v>946189</v>
      </c>
    </row>
    <row r="34" spans="1:16">
      <c r="A34" s="254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  <c r="N34" s="20"/>
    </row>
    <row r="35" spans="1:16">
      <c r="A35" s="254" t="s">
        <v>17</v>
      </c>
      <c r="B35" s="21">
        <f t="shared" ref="B35:M35" si="8">B33*B34</f>
        <v>116597.88</v>
      </c>
      <c r="C35" s="21">
        <f t="shared" si="8"/>
        <v>116597.88</v>
      </c>
      <c r="D35" s="21">
        <f t="shared" si="8"/>
        <v>116597.88</v>
      </c>
      <c r="E35" s="21">
        <f t="shared" si="8"/>
        <v>116597.88</v>
      </c>
      <c r="F35" s="21">
        <f t="shared" si="8"/>
        <v>137651.07</v>
      </c>
      <c r="G35" s="21">
        <f t="shared" si="8"/>
        <v>137651.07</v>
      </c>
      <c r="H35" s="21">
        <f t="shared" si="8"/>
        <v>137651.07</v>
      </c>
      <c r="I35" s="21">
        <f t="shared" si="8"/>
        <v>137651.07</v>
      </c>
      <c r="J35" s="21">
        <f t="shared" si="8"/>
        <v>137651.07</v>
      </c>
      <c r="K35" s="21">
        <f>K33*K34</f>
        <v>116597.88</v>
      </c>
      <c r="L35" s="21">
        <f t="shared" si="8"/>
        <v>116597.88</v>
      </c>
      <c r="M35" s="21">
        <f t="shared" si="8"/>
        <v>116597.88</v>
      </c>
      <c r="N35" s="21">
        <f>SUM(B35:M35)</f>
        <v>1504440.5100000002</v>
      </c>
    </row>
    <row r="36" spans="1:16">
      <c r="A36" s="25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6">
      <c r="A37" s="254" t="s">
        <v>141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6">
      <c r="A38" s="256" t="s">
        <v>47</v>
      </c>
      <c r="B38" s="239">
        <f>B31</f>
        <v>72000</v>
      </c>
      <c r="C38" s="239">
        <f t="shared" ref="C38:M38" si="9">C31</f>
        <v>72000</v>
      </c>
      <c r="D38" s="239">
        <f t="shared" si="9"/>
        <v>72000</v>
      </c>
      <c r="E38" s="239">
        <f t="shared" si="9"/>
        <v>72000</v>
      </c>
      <c r="F38" s="239">
        <f t="shared" si="9"/>
        <v>85000</v>
      </c>
      <c r="G38" s="239">
        <f t="shared" si="9"/>
        <v>85000</v>
      </c>
      <c r="H38" s="239">
        <f t="shared" si="9"/>
        <v>85000</v>
      </c>
      <c r="I38" s="239">
        <f t="shared" si="9"/>
        <v>85000</v>
      </c>
      <c r="J38" s="239">
        <f t="shared" si="9"/>
        <v>85000</v>
      </c>
      <c r="K38" s="239">
        <f t="shared" si="9"/>
        <v>72000</v>
      </c>
      <c r="L38" s="239">
        <f t="shared" si="9"/>
        <v>72000</v>
      </c>
      <c r="M38" s="239">
        <f t="shared" si="9"/>
        <v>72000</v>
      </c>
      <c r="N38" s="21">
        <f>SUM(B38:M38)</f>
        <v>929000</v>
      </c>
    </row>
    <row r="39" spans="1:16">
      <c r="A39" s="256" t="s">
        <v>45</v>
      </c>
      <c r="B39" s="28">
        <f>ROUND(B38*'Transmission Formula Rate (7)'!$B$27,0)</f>
        <v>1332</v>
      </c>
      <c r="C39" s="28">
        <f>ROUND(C38*'Transmission Formula Rate (7)'!$B$27,0)</f>
        <v>1332</v>
      </c>
      <c r="D39" s="28">
        <f>ROUND(D38*'Transmission Formula Rate (7)'!$B$27,0)</f>
        <v>1332</v>
      </c>
      <c r="E39" s="28">
        <f>ROUND(E38*'Transmission Formula Rate (7)'!$B$27,0)</f>
        <v>1332</v>
      </c>
      <c r="F39" s="28">
        <f>ROUND(F38*'Transmission Formula Rate (7)'!$B$27,0)</f>
        <v>1573</v>
      </c>
      <c r="G39" s="28">
        <f>ROUND(G38*'Transmission Formula Rate (7)'!$B$27,0)</f>
        <v>1573</v>
      </c>
      <c r="H39" s="28">
        <f>ROUND(H38*'Transmission Formula Rate (7)'!$B$27,0)</f>
        <v>1573</v>
      </c>
      <c r="I39" s="28">
        <f>ROUND(I38*'Transmission Formula Rate (7)'!$B$27,0)</f>
        <v>1573</v>
      </c>
      <c r="J39" s="28">
        <f>ROUND(J38*'Transmission Formula Rate (7)'!$B$27,0)</f>
        <v>1573</v>
      </c>
      <c r="K39" s="28">
        <f>ROUND(K38*'Transmission Formula Rate (7)'!$B$27,0)</f>
        <v>1332</v>
      </c>
      <c r="L39" s="28">
        <f>ROUND(L38*'Transmission Formula Rate (7)'!$B$27,0)</f>
        <v>1332</v>
      </c>
      <c r="M39" s="28">
        <f>ROUND(M38*'Transmission Formula Rate (7)'!$B$27,0)</f>
        <v>1332</v>
      </c>
      <c r="N39" s="21">
        <f>SUM(B39:M39)</f>
        <v>17189</v>
      </c>
    </row>
    <row r="40" spans="1:16">
      <c r="A40" s="256" t="s">
        <v>305</v>
      </c>
      <c r="B40" s="28">
        <f t="shared" ref="B40:M40" si="10">B38+B39</f>
        <v>73332</v>
      </c>
      <c r="C40" s="28">
        <f t="shared" si="10"/>
        <v>73332</v>
      </c>
      <c r="D40" s="28">
        <f t="shared" si="10"/>
        <v>73332</v>
      </c>
      <c r="E40" s="28">
        <f t="shared" si="10"/>
        <v>73332</v>
      </c>
      <c r="F40" s="28">
        <f t="shared" si="10"/>
        <v>86573</v>
      </c>
      <c r="G40" s="28">
        <f t="shared" si="10"/>
        <v>86573</v>
      </c>
      <c r="H40" s="28">
        <f t="shared" si="10"/>
        <v>86573</v>
      </c>
      <c r="I40" s="28">
        <f t="shared" si="10"/>
        <v>86573</v>
      </c>
      <c r="J40" s="28">
        <f t="shared" si="10"/>
        <v>86573</v>
      </c>
      <c r="K40" s="28">
        <f t="shared" si="10"/>
        <v>73332</v>
      </c>
      <c r="L40" s="28">
        <f t="shared" si="10"/>
        <v>73332</v>
      </c>
      <c r="M40" s="28">
        <f t="shared" si="10"/>
        <v>73332</v>
      </c>
      <c r="N40" s="124">
        <f>SUM(B40:M40)</f>
        <v>946189</v>
      </c>
    </row>
    <row r="41" spans="1:16">
      <c r="A41" s="254" t="s">
        <v>149</v>
      </c>
      <c r="B41" s="32">
        <f>'charges (1 &amp; 2)'!F33</f>
        <v>1.274E-2</v>
      </c>
      <c r="C41" s="32">
        <f>B41</f>
        <v>1.274E-2</v>
      </c>
      <c r="D41" s="32">
        <f t="shared" ref="D41:M41" si="11">C41</f>
        <v>1.274E-2</v>
      </c>
      <c r="E41" s="32">
        <f t="shared" si="11"/>
        <v>1.274E-2</v>
      </c>
      <c r="F41" s="32">
        <f t="shared" si="11"/>
        <v>1.274E-2</v>
      </c>
      <c r="G41" s="32">
        <f t="shared" si="11"/>
        <v>1.274E-2</v>
      </c>
      <c r="H41" s="32">
        <f t="shared" si="11"/>
        <v>1.274E-2</v>
      </c>
      <c r="I41" s="32">
        <f t="shared" si="11"/>
        <v>1.274E-2</v>
      </c>
      <c r="J41" s="32">
        <f t="shared" si="11"/>
        <v>1.274E-2</v>
      </c>
      <c r="K41" s="32">
        <f t="shared" si="11"/>
        <v>1.274E-2</v>
      </c>
      <c r="L41" s="32">
        <f t="shared" si="11"/>
        <v>1.274E-2</v>
      </c>
      <c r="M41" s="32">
        <f t="shared" si="11"/>
        <v>1.274E-2</v>
      </c>
      <c r="N41" s="20"/>
    </row>
    <row r="42" spans="1:16">
      <c r="A42" s="254" t="s">
        <v>17</v>
      </c>
      <c r="B42" s="21">
        <f t="shared" ref="B42:M42" si="12">B40*B41</f>
        <v>934.24968000000001</v>
      </c>
      <c r="C42" s="21">
        <f t="shared" si="12"/>
        <v>934.24968000000001</v>
      </c>
      <c r="D42" s="21">
        <f t="shared" si="12"/>
        <v>934.24968000000001</v>
      </c>
      <c r="E42" s="21">
        <f t="shared" si="12"/>
        <v>934.24968000000001</v>
      </c>
      <c r="F42" s="21">
        <f t="shared" si="12"/>
        <v>1102.94002</v>
      </c>
      <c r="G42" s="21">
        <f t="shared" si="12"/>
        <v>1102.94002</v>
      </c>
      <c r="H42" s="21">
        <f t="shared" si="12"/>
        <v>1102.94002</v>
      </c>
      <c r="I42" s="21">
        <f t="shared" si="12"/>
        <v>1102.94002</v>
      </c>
      <c r="J42" s="21">
        <f t="shared" si="12"/>
        <v>1102.94002</v>
      </c>
      <c r="K42" s="21">
        <f t="shared" si="12"/>
        <v>934.24968000000001</v>
      </c>
      <c r="L42" s="21">
        <f t="shared" si="12"/>
        <v>934.24968000000001</v>
      </c>
      <c r="M42" s="21">
        <f t="shared" si="12"/>
        <v>934.24968000000001</v>
      </c>
      <c r="N42" s="21">
        <f>SUM(B42:M42)</f>
        <v>12054.447860000002</v>
      </c>
    </row>
    <row r="43" spans="1:16">
      <c r="A43" s="25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6">
      <c r="A44" s="25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6"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</row>
    <row r="46" spans="1:16">
      <c r="A46" s="255">
        <f>+A29+1</f>
        <v>2015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>
      <c r="A47" s="254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6">
      <c r="A48" s="256" t="s">
        <v>47</v>
      </c>
      <c r="B48" s="239">
        <f>'Lake Worth Forecast'!E12</f>
        <v>68926.315071512086</v>
      </c>
      <c r="C48" s="239">
        <f>'Lake Worth Forecast'!F12</f>
        <v>67308.563800946999</v>
      </c>
      <c r="D48" s="239">
        <f>'Lake Worth Forecast'!G12</f>
        <v>70321.625542374401</v>
      </c>
      <c r="E48" s="239">
        <f>'Lake Worth Forecast'!H12</f>
        <v>73587.460919827601</v>
      </c>
      <c r="F48" s="239">
        <f>'Lake Worth Forecast'!I12</f>
        <v>82333.428726319893</v>
      </c>
      <c r="G48" s="239">
        <f>'Lake Worth Forecast'!J12</f>
        <v>86478.916357142822</v>
      </c>
      <c r="H48" s="239">
        <f>'Lake Worth Forecast'!K12</f>
        <v>89926.748752534579</v>
      </c>
      <c r="I48" s="239">
        <f>'Lake Worth Forecast'!L12</f>
        <v>90452.517915468212</v>
      </c>
      <c r="J48" s="239">
        <f>'Lake Worth Forecast'!M12</f>
        <v>87318.124828748434</v>
      </c>
      <c r="K48" s="239">
        <f>'Lake Worth Forecast'!N12</f>
        <v>81969.434690442737</v>
      </c>
      <c r="L48" s="239">
        <f>'Lake Worth Forecast'!O12</f>
        <v>73102.135538658069</v>
      </c>
      <c r="M48" s="239">
        <f>'Lake Worth Forecast'!P12</f>
        <v>69401.529507240542</v>
      </c>
      <c r="N48" s="21">
        <f>SUM(B48:M48)</f>
        <v>941126.80165121634</v>
      </c>
      <c r="O48" s="279"/>
      <c r="P48" s="278"/>
    </row>
    <row r="49" spans="1:14">
      <c r="A49" s="256" t="s">
        <v>45</v>
      </c>
      <c r="B49" s="28">
        <f>ROUND(B48*'Transmission Formula Rate (7)'!$B$27,0)</f>
        <v>1275</v>
      </c>
      <c r="C49" s="28">
        <f>ROUND(C48*'Transmission Formula Rate (7)'!$B$27,0)</f>
        <v>1245</v>
      </c>
      <c r="D49" s="28">
        <f>ROUND(D48*'Transmission Formula Rate (7)'!$B$27,0)</f>
        <v>1301</v>
      </c>
      <c r="E49" s="28">
        <f>ROUND(E48*'Transmission Formula Rate (7)'!$B$27,0)</f>
        <v>1361</v>
      </c>
      <c r="F49" s="28">
        <f>ROUND(F48*'Transmission Formula Rate (7)'!$B$27,0)</f>
        <v>1523</v>
      </c>
      <c r="G49" s="28">
        <f>ROUND(G48*'Transmission Formula Rate (7)'!$B$27,0)</f>
        <v>1600</v>
      </c>
      <c r="H49" s="28">
        <f>ROUND(H48*'Transmission Formula Rate (7)'!$B$27,0)</f>
        <v>1664</v>
      </c>
      <c r="I49" s="28">
        <f>ROUND(I48*'Transmission Formula Rate (7)'!$B$27,0)</f>
        <v>1673</v>
      </c>
      <c r="J49" s="28">
        <f>ROUND(J48*'Transmission Formula Rate (7)'!$B$27,0)</f>
        <v>1615</v>
      </c>
      <c r="K49" s="28">
        <f>ROUND(K48*'Transmission Formula Rate (7)'!$B$27,0)</f>
        <v>1516</v>
      </c>
      <c r="L49" s="28">
        <f>ROUND(L48*'Transmission Formula Rate (7)'!$B$27,0)</f>
        <v>1352</v>
      </c>
      <c r="M49" s="28">
        <f>ROUND(M48*'Transmission Formula Rate (7)'!$B$27,0)</f>
        <v>1284</v>
      </c>
      <c r="N49" s="21">
        <f>SUM(B49:M49)</f>
        <v>17409</v>
      </c>
    </row>
    <row r="50" spans="1:14">
      <c r="A50" s="256" t="s">
        <v>305</v>
      </c>
      <c r="B50" s="28">
        <f t="shared" ref="B50:M50" si="13">B48+B49</f>
        <v>70201.315071512086</v>
      </c>
      <c r="C50" s="28">
        <f t="shared" si="13"/>
        <v>68553.563800946999</v>
      </c>
      <c r="D50" s="28">
        <f t="shared" si="13"/>
        <v>71622.625542374401</v>
      </c>
      <c r="E50" s="28">
        <f t="shared" si="13"/>
        <v>74948.460919827601</v>
      </c>
      <c r="F50" s="28">
        <f t="shared" si="13"/>
        <v>83856.428726319893</v>
      </c>
      <c r="G50" s="28">
        <f t="shared" si="13"/>
        <v>88078.916357142822</v>
      </c>
      <c r="H50" s="28">
        <f t="shared" si="13"/>
        <v>91590.748752534579</v>
      </c>
      <c r="I50" s="28">
        <f t="shared" si="13"/>
        <v>92125.517915468212</v>
      </c>
      <c r="J50" s="28">
        <f t="shared" si="13"/>
        <v>88933.124828748434</v>
      </c>
      <c r="K50" s="28">
        <f t="shared" si="13"/>
        <v>83485.434690442737</v>
      </c>
      <c r="L50" s="28">
        <f t="shared" si="13"/>
        <v>74454.135538658069</v>
      </c>
      <c r="M50" s="28">
        <f t="shared" si="13"/>
        <v>70685.529507240542</v>
      </c>
      <c r="N50" s="124">
        <f>SUM(B50:M50)</f>
        <v>958535.80165121634</v>
      </c>
    </row>
    <row r="51" spans="1:14">
      <c r="A51" s="254" t="s">
        <v>20</v>
      </c>
      <c r="B51" s="30">
        <f>'Transmission Formula Rate (7)'!B12</f>
        <v>1.59</v>
      </c>
      <c r="C51" s="30">
        <f>'Transmission Formula Rate (7)'!C12</f>
        <v>1.59</v>
      </c>
      <c r="D51" s="30">
        <f>'Transmission Formula Rate (7)'!D12</f>
        <v>1.59</v>
      </c>
      <c r="E51" s="30">
        <f>'Transmission Formula Rate (7)'!E12</f>
        <v>1.59</v>
      </c>
      <c r="F51" s="30">
        <f>'Transmission Formula Rate (7)'!F12</f>
        <v>1.59</v>
      </c>
      <c r="G51" s="30">
        <f>'Transmission Formula Rate (7)'!G12</f>
        <v>1.59</v>
      </c>
      <c r="H51" s="30">
        <f>'Transmission Formula Rate (7)'!H12</f>
        <v>1.59</v>
      </c>
      <c r="I51" s="30">
        <f>'Transmission Formula Rate (7)'!I12</f>
        <v>1.59</v>
      </c>
      <c r="J51" s="30">
        <f>'Transmission Formula Rate (7)'!J12</f>
        <v>1.59</v>
      </c>
      <c r="K51" s="30">
        <f>'Transmission Formula Rate (7)'!K12</f>
        <v>1.59</v>
      </c>
      <c r="L51" s="30">
        <f>'Transmission Formula Rate (7)'!L12</f>
        <v>1.59</v>
      </c>
      <c r="M51" s="30">
        <f>'Transmission Formula Rate (7)'!M12</f>
        <v>1.59</v>
      </c>
      <c r="N51" s="20"/>
    </row>
    <row r="52" spans="1:14">
      <c r="A52" s="254" t="s">
        <v>17</v>
      </c>
      <c r="B52" s="21">
        <f t="shared" ref="B52:M52" si="14">B50*B51</f>
        <v>111620.09096370422</v>
      </c>
      <c r="C52" s="21">
        <f t="shared" si="14"/>
        <v>109000.16644350573</v>
      </c>
      <c r="D52" s="21">
        <f t="shared" si="14"/>
        <v>113879.9746123753</v>
      </c>
      <c r="E52" s="21">
        <f t="shared" si="14"/>
        <v>119168.05286252589</v>
      </c>
      <c r="F52" s="21">
        <f t="shared" si="14"/>
        <v>133331.72167484864</v>
      </c>
      <c r="G52" s="21">
        <f t="shared" si="14"/>
        <v>140045.47700785709</v>
      </c>
      <c r="H52" s="21">
        <f t="shared" si="14"/>
        <v>145629.29051652999</v>
      </c>
      <c r="I52" s="21">
        <f t="shared" si="14"/>
        <v>146479.57348559448</v>
      </c>
      <c r="J52" s="21">
        <f t="shared" si="14"/>
        <v>141403.66847771002</v>
      </c>
      <c r="K52" s="21">
        <f t="shared" si="14"/>
        <v>132741.84115780395</v>
      </c>
      <c r="L52" s="21">
        <f t="shared" si="14"/>
        <v>118382.07550646634</v>
      </c>
      <c r="M52" s="21">
        <f t="shared" si="14"/>
        <v>112389.99191651247</v>
      </c>
      <c r="N52" s="21">
        <f>SUM(B52:M52)</f>
        <v>1524071.9246254342</v>
      </c>
    </row>
    <row r="54" spans="1:14">
      <c r="A54" s="254" t="s">
        <v>141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56" t="s">
        <v>47</v>
      </c>
      <c r="B55" s="239">
        <f>B48</f>
        <v>68926.315071512086</v>
      </c>
      <c r="C55" s="239">
        <f t="shared" ref="C55:M55" si="15">C48</f>
        <v>67308.563800946999</v>
      </c>
      <c r="D55" s="239">
        <f t="shared" si="15"/>
        <v>70321.625542374401</v>
      </c>
      <c r="E55" s="239">
        <f t="shared" si="15"/>
        <v>73587.460919827601</v>
      </c>
      <c r="F55" s="239">
        <f t="shared" si="15"/>
        <v>82333.428726319893</v>
      </c>
      <c r="G55" s="239">
        <f t="shared" si="15"/>
        <v>86478.916357142822</v>
      </c>
      <c r="H55" s="239">
        <f t="shared" si="15"/>
        <v>89926.748752534579</v>
      </c>
      <c r="I55" s="239">
        <f t="shared" si="15"/>
        <v>90452.517915468212</v>
      </c>
      <c r="J55" s="239">
        <f t="shared" si="15"/>
        <v>87318.124828748434</v>
      </c>
      <c r="K55" s="239">
        <f t="shared" si="15"/>
        <v>81969.434690442737</v>
      </c>
      <c r="L55" s="239">
        <f t="shared" si="15"/>
        <v>73102.135538658069</v>
      </c>
      <c r="M55" s="239">
        <f t="shared" si="15"/>
        <v>69401.529507240542</v>
      </c>
      <c r="N55" s="21">
        <f>SUM(B55:M55)</f>
        <v>941126.80165121634</v>
      </c>
    </row>
    <row r="56" spans="1:14">
      <c r="A56" s="256" t="s">
        <v>45</v>
      </c>
      <c r="B56" s="28">
        <f>ROUND(B55*'Transmission Formula Rate (7)'!$B$27,0)</f>
        <v>1275</v>
      </c>
      <c r="C56" s="28">
        <f>ROUND(C55*'Transmission Formula Rate (7)'!$B$27,0)</f>
        <v>1245</v>
      </c>
      <c r="D56" s="28">
        <f>ROUND(D55*'Transmission Formula Rate (7)'!$B$27,0)</f>
        <v>1301</v>
      </c>
      <c r="E56" s="28">
        <f>ROUND(E55*'Transmission Formula Rate (7)'!$B$27,0)</f>
        <v>1361</v>
      </c>
      <c r="F56" s="28">
        <f>ROUND(F55*'Transmission Formula Rate (7)'!$B$27,0)</f>
        <v>1523</v>
      </c>
      <c r="G56" s="28">
        <f>ROUND(G55*'Transmission Formula Rate (7)'!$B$27,0)</f>
        <v>1600</v>
      </c>
      <c r="H56" s="28">
        <f>ROUND(H55*'Transmission Formula Rate (7)'!$B$27,0)</f>
        <v>1664</v>
      </c>
      <c r="I56" s="28">
        <f>ROUND(I55*'Transmission Formula Rate (7)'!$B$27,0)</f>
        <v>1673</v>
      </c>
      <c r="J56" s="28">
        <f>ROUND(J55*'Transmission Formula Rate (7)'!$B$27,0)</f>
        <v>1615</v>
      </c>
      <c r="K56" s="28">
        <f>ROUND(K55*'Transmission Formula Rate (7)'!$B$27,0)</f>
        <v>1516</v>
      </c>
      <c r="L56" s="28">
        <f>ROUND(L55*'Transmission Formula Rate (7)'!$B$27,0)</f>
        <v>1352</v>
      </c>
      <c r="M56" s="28">
        <f>ROUND(M55*'Transmission Formula Rate (7)'!$B$27,0)</f>
        <v>1284</v>
      </c>
      <c r="N56" s="21">
        <f>SUM(B56:M56)</f>
        <v>17409</v>
      </c>
    </row>
    <row r="57" spans="1:14">
      <c r="A57" s="256" t="s">
        <v>305</v>
      </c>
      <c r="B57" s="28">
        <f t="shared" ref="B57:M57" si="16">B55+B56</f>
        <v>70201.315071512086</v>
      </c>
      <c r="C57" s="28">
        <f t="shared" si="16"/>
        <v>68553.563800946999</v>
      </c>
      <c r="D57" s="28">
        <f t="shared" si="16"/>
        <v>71622.625542374401</v>
      </c>
      <c r="E57" s="28">
        <f t="shared" si="16"/>
        <v>74948.460919827601</v>
      </c>
      <c r="F57" s="28">
        <f t="shared" si="16"/>
        <v>83856.428726319893</v>
      </c>
      <c r="G57" s="28">
        <f t="shared" si="16"/>
        <v>88078.916357142822</v>
      </c>
      <c r="H57" s="28">
        <f t="shared" si="16"/>
        <v>91590.748752534579</v>
      </c>
      <c r="I57" s="28">
        <f t="shared" si="16"/>
        <v>92125.517915468212</v>
      </c>
      <c r="J57" s="28">
        <f t="shared" si="16"/>
        <v>88933.124828748434</v>
      </c>
      <c r="K57" s="28">
        <f t="shared" si="16"/>
        <v>83485.434690442737</v>
      </c>
      <c r="L57" s="28">
        <f t="shared" si="16"/>
        <v>74454.135538658069</v>
      </c>
      <c r="M57" s="28">
        <f t="shared" si="16"/>
        <v>70685.529507240542</v>
      </c>
      <c r="N57" s="124">
        <f>SUM(B57:M57)</f>
        <v>958535.80165121634</v>
      </c>
    </row>
    <row r="58" spans="1:14">
      <c r="A58" s="254" t="s">
        <v>149</v>
      </c>
      <c r="B58" s="32">
        <f>'charges (1 &amp; 2)'!G33</f>
        <v>1.274E-2</v>
      </c>
      <c r="C58" s="32">
        <f>B58</f>
        <v>1.274E-2</v>
      </c>
      <c r="D58" s="32">
        <f t="shared" ref="D58:M58" si="17">C58</f>
        <v>1.274E-2</v>
      </c>
      <c r="E58" s="32">
        <f t="shared" si="17"/>
        <v>1.274E-2</v>
      </c>
      <c r="F58" s="32">
        <f t="shared" si="17"/>
        <v>1.274E-2</v>
      </c>
      <c r="G58" s="32">
        <f t="shared" si="17"/>
        <v>1.274E-2</v>
      </c>
      <c r="H58" s="32">
        <f t="shared" si="17"/>
        <v>1.274E-2</v>
      </c>
      <c r="I58" s="32">
        <f t="shared" si="17"/>
        <v>1.274E-2</v>
      </c>
      <c r="J58" s="32">
        <f t="shared" si="17"/>
        <v>1.274E-2</v>
      </c>
      <c r="K58" s="32">
        <f t="shared" si="17"/>
        <v>1.274E-2</v>
      </c>
      <c r="L58" s="32">
        <f t="shared" si="17"/>
        <v>1.274E-2</v>
      </c>
      <c r="M58" s="32">
        <f t="shared" si="17"/>
        <v>1.274E-2</v>
      </c>
      <c r="N58" s="20"/>
    </row>
    <row r="59" spans="1:14">
      <c r="A59" s="254" t="s">
        <v>17</v>
      </c>
      <c r="B59" s="21">
        <f t="shared" ref="B59:M59" si="18">B57*B58</f>
        <v>894.36475401106395</v>
      </c>
      <c r="C59" s="21">
        <f t="shared" si="18"/>
        <v>873.37240282406469</v>
      </c>
      <c r="D59" s="21">
        <f t="shared" si="18"/>
        <v>912.47224940984984</v>
      </c>
      <c r="E59" s="21">
        <f t="shared" si="18"/>
        <v>954.84339211860356</v>
      </c>
      <c r="F59" s="21">
        <f t="shared" si="18"/>
        <v>1068.3309019733153</v>
      </c>
      <c r="G59" s="21">
        <f t="shared" si="18"/>
        <v>1122.1253943899994</v>
      </c>
      <c r="H59" s="21">
        <f t="shared" si="18"/>
        <v>1166.8661391072906</v>
      </c>
      <c r="I59" s="21">
        <f t="shared" si="18"/>
        <v>1173.679098243065</v>
      </c>
      <c r="J59" s="21">
        <f t="shared" si="18"/>
        <v>1133.0080103182549</v>
      </c>
      <c r="K59" s="21">
        <f t="shared" si="18"/>
        <v>1063.6044379562404</v>
      </c>
      <c r="L59" s="21">
        <f t="shared" si="18"/>
        <v>948.54568676250381</v>
      </c>
      <c r="M59" s="21">
        <f t="shared" si="18"/>
        <v>900.53364592224443</v>
      </c>
      <c r="N59" s="21">
        <f>SUM(B59:M59)</f>
        <v>12211.746113036497</v>
      </c>
    </row>
    <row r="62" spans="1:14"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</row>
    <row r="63" spans="1:14">
      <c r="A63" s="255">
        <f>+A46+1</f>
        <v>2016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>
      <c r="A64" s="254" t="s">
        <v>37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7">
      <c r="A65" s="256" t="s">
        <v>47</v>
      </c>
      <c r="B65" s="239">
        <f>'Lake Worth Forecast'!E13</f>
        <v>69383.549041638515</v>
      </c>
      <c r="C65" s="239">
        <f>'Lake Worth Forecast'!F13</f>
        <v>67764.130167225085</v>
      </c>
      <c r="D65" s="239">
        <f>'Lake Worth Forecast'!G13</f>
        <v>70751.505357913207</v>
      </c>
      <c r="E65" s="239">
        <f>'Lake Worth Forecast'!H13</f>
        <v>73980.284604414512</v>
      </c>
      <c r="F65" s="239">
        <f>'Lake Worth Forecast'!I13</f>
        <v>82660.772111363491</v>
      </c>
      <c r="G65" s="239">
        <f>'Lake Worth Forecast'!J13</f>
        <v>86784.75806483865</v>
      </c>
      <c r="H65" s="239">
        <f>'Lake Worth Forecast'!K13</f>
        <v>90204.648855525404</v>
      </c>
      <c r="I65" s="239">
        <f>'Lake Worth Forecast'!L13</f>
        <v>90727.69097645396</v>
      </c>
      <c r="J65" s="239">
        <f>'Lake Worth Forecast'!M13</f>
        <v>87589.438250882595</v>
      </c>
      <c r="K65" s="239">
        <f>'Lake Worth Forecast'!N13</f>
        <v>82258.432018341511</v>
      </c>
      <c r="L65" s="239">
        <f>'Lake Worth Forecast'!O13</f>
        <v>73447.183981160386</v>
      </c>
      <c r="M65" s="239">
        <f>'Lake Worth Forecast'!P13</f>
        <v>69765.772130009384</v>
      </c>
      <c r="N65" s="21">
        <f>SUM(B65:M65)</f>
        <v>945318.16555976658</v>
      </c>
      <c r="O65" s="279"/>
      <c r="P65" s="278"/>
    </row>
    <row r="66" spans="1:17">
      <c r="A66" s="256" t="s">
        <v>45</v>
      </c>
      <c r="B66" s="28">
        <f>ROUND(B65*'Transmission Formula Rate (7)'!$B$27,0)</f>
        <v>1284</v>
      </c>
      <c r="C66" s="28">
        <f>ROUND(C65*'Transmission Formula Rate (7)'!$B$27,0)</f>
        <v>1254</v>
      </c>
      <c r="D66" s="28">
        <f>ROUND(D65*'Transmission Formula Rate (7)'!$B$27,0)</f>
        <v>1309</v>
      </c>
      <c r="E66" s="28">
        <f>ROUND(E65*'Transmission Formula Rate (7)'!$B$27,0)</f>
        <v>1369</v>
      </c>
      <c r="F66" s="28">
        <f>ROUND(F65*'Transmission Formula Rate (7)'!$B$27,0)</f>
        <v>1529</v>
      </c>
      <c r="G66" s="28">
        <f>ROUND(G65*'Transmission Formula Rate (7)'!$B$27,0)</f>
        <v>1606</v>
      </c>
      <c r="H66" s="28">
        <f>ROUND(H65*'Transmission Formula Rate (7)'!$B$27,0)</f>
        <v>1669</v>
      </c>
      <c r="I66" s="28">
        <f>ROUND(I65*'Transmission Formula Rate (7)'!$B$27,0)</f>
        <v>1678</v>
      </c>
      <c r="J66" s="28">
        <f>ROUND(J65*'Transmission Formula Rate (7)'!$B$27,0)</f>
        <v>1620</v>
      </c>
      <c r="K66" s="28">
        <f>ROUND(K65*'Transmission Formula Rate (7)'!$B$27,0)</f>
        <v>1522</v>
      </c>
      <c r="L66" s="28">
        <f>ROUND(L65*'Transmission Formula Rate (7)'!$B$27,0)</f>
        <v>1359</v>
      </c>
      <c r="M66" s="28">
        <f>ROUND(M65*'Transmission Formula Rate (7)'!$B$27,0)</f>
        <v>1291</v>
      </c>
      <c r="N66" s="21">
        <f>SUM(B66:M66)</f>
        <v>17490</v>
      </c>
    </row>
    <row r="67" spans="1:17">
      <c r="A67" s="256" t="s">
        <v>305</v>
      </c>
      <c r="B67" s="28">
        <f t="shared" ref="B67:M67" si="19">B65+B66</f>
        <v>70667.549041638515</v>
      </c>
      <c r="C67" s="28">
        <f t="shared" si="19"/>
        <v>69018.130167225085</v>
      </c>
      <c r="D67" s="28">
        <f t="shared" si="19"/>
        <v>72060.505357913207</v>
      </c>
      <c r="E67" s="28">
        <f t="shared" si="19"/>
        <v>75349.284604414512</v>
      </c>
      <c r="F67" s="28">
        <f t="shared" si="19"/>
        <v>84189.772111363491</v>
      </c>
      <c r="G67" s="28">
        <f t="shared" si="19"/>
        <v>88390.75806483865</v>
      </c>
      <c r="H67" s="28">
        <f t="shared" si="19"/>
        <v>91873.648855525404</v>
      </c>
      <c r="I67" s="28">
        <f t="shared" si="19"/>
        <v>92405.69097645396</v>
      </c>
      <c r="J67" s="28">
        <f t="shared" si="19"/>
        <v>89209.438250882595</v>
      </c>
      <c r="K67" s="28">
        <f t="shared" si="19"/>
        <v>83780.432018341511</v>
      </c>
      <c r="L67" s="28">
        <f t="shared" si="19"/>
        <v>74806.183981160386</v>
      </c>
      <c r="M67" s="28">
        <f t="shared" si="19"/>
        <v>71056.772130009384</v>
      </c>
      <c r="N67" s="124">
        <f>SUM(B67:M67)</f>
        <v>962808.16555976658</v>
      </c>
    </row>
    <row r="68" spans="1:17">
      <c r="A68" s="254" t="s">
        <v>20</v>
      </c>
      <c r="B68" s="30">
        <f>'Transmission Formula Rate (7)'!B14</f>
        <v>1.59</v>
      </c>
      <c r="C68" s="30">
        <f>'Transmission Formula Rate (7)'!C14</f>
        <v>1.59</v>
      </c>
      <c r="D68" s="30">
        <f>'Transmission Formula Rate (7)'!D14</f>
        <v>1.59</v>
      </c>
      <c r="E68" s="30">
        <f>'Transmission Formula Rate (7)'!E14</f>
        <v>1.59</v>
      </c>
      <c r="F68" s="30">
        <f>'Transmission Formula Rate (7)'!F14</f>
        <v>1.59</v>
      </c>
      <c r="G68" s="30">
        <f>'Transmission Formula Rate (7)'!G14</f>
        <v>1.59</v>
      </c>
      <c r="H68" s="30">
        <f>'Transmission Formula Rate (7)'!H14</f>
        <v>1.59</v>
      </c>
      <c r="I68" s="30">
        <f>'Transmission Formula Rate (7)'!I14</f>
        <v>1.59</v>
      </c>
      <c r="J68" s="30">
        <f>'Transmission Formula Rate (7)'!J14</f>
        <v>1.59</v>
      </c>
      <c r="K68" s="30">
        <f>'Transmission Formula Rate (7)'!K14</f>
        <v>1.59</v>
      </c>
      <c r="L68" s="30">
        <f>'Transmission Formula Rate (7)'!L14</f>
        <v>1.59</v>
      </c>
      <c r="M68" s="30">
        <f>'Transmission Formula Rate (7)'!M14</f>
        <v>1.59</v>
      </c>
      <c r="N68" s="20"/>
      <c r="Q68" s="277"/>
    </row>
    <row r="69" spans="1:17">
      <c r="A69" s="254" t="s">
        <v>17</v>
      </c>
      <c r="B69" s="21">
        <f t="shared" ref="B69:M69" si="20">B67*B68</f>
        <v>112361.40297620524</v>
      </c>
      <c r="C69" s="21">
        <f t="shared" si="20"/>
        <v>109738.82696588789</v>
      </c>
      <c r="D69" s="21">
        <f t="shared" si="20"/>
        <v>114576.203519082</v>
      </c>
      <c r="E69" s="21">
        <f t="shared" si="20"/>
        <v>119805.36252101908</v>
      </c>
      <c r="F69" s="21">
        <f t="shared" si="20"/>
        <v>133861.73765706795</v>
      </c>
      <c r="G69" s="21">
        <f t="shared" si="20"/>
        <v>140541.30532309346</v>
      </c>
      <c r="H69" s="21">
        <f t="shared" si="20"/>
        <v>146079.10168028538</v>
      </c>
      <c r="I69" s="21">
        <f t="shared" si="20"/>
        <v>146925.04865256179</v>
      </c>
      <c r="J69" s="21">
        <f t="shared" si="20"/>
        <v>141843.00681890332</v>
      </c>
      <c r="K69" s="21">
        <f t="shared" si="20"/>
        <v>133210.886909163</v>
      </c>
      <c r="L69" s="21">
        <f t="shared" si="20"/>
        <v>118941.83253004502</v>
      </c>
      <c r="M69" s="21">
        <f t="shared" si="20"/>
        <v>112980.26768671493</v>
      </c>
      <c r="N69" s="21">
        <f>SUM(B69:M69)</f>
        <v>1530864.9832400291</v>
      </c>
    </row>
    <row r="71" spans="1:17">
      <c r="A71" s="254" t="s">
        <v>141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7">
      <c r="A72" s="256" t="s">
        <v>47</v>
      </c>
      <c r="B72" s="239">
        <f>B65</f>
        <v>69383.549041638515</v>
      </c>
      <c r="C72" s="239">
        <f t="shared" ref="C72:M72" si="21">C65</f>
        <v>67764.130167225085</v>
      </c>
      <c r="D72" s="239">
        <f t="shared" si="21"/>
        <v>70751.505357913207</v>
      </c>
      <c r="E72" s="239">
        <f t="shared" si="21"/>
        <v>73980.284604414512</v>
      </c>
      <c r="F72" s="239">
        <f t="shared" si="21"/>
        <v>82660.772111363491</v>
      </c>
      <c r="G72" s="239">
        <f t="shared" si="21"/>
        <v>86784.75806483865</v>
      </c>
      <c r="H72" s="239">
        <f t="shared" si="21"/>
        <v>90204.648855525404</v>
      </c>
      <c r="I72" s="239">
        <f t="shared" si="21"/>
        <v>90727.69097645396</v>
      </c>
      <c r="J72" s="239">
        <f t="shared" si="21"/>
        <v>87589.438250882595</v>
      </c>
      <c r="K72" s="239">
        <f t="shared" si="21"/>
        <v>82258.432018341511</v>
      </c>
      <c r="L72" s="239">
        <f t="shared" si="21"/>
        <v>73447.183981160386</v>
      </c>
      <c r="M72" s="239">
        <f t="shared" si="21"/>
        <v>69765.772130009384</v>
      </c>
      <c r="N72" s="21">
        <f>SUM(B72:M72)</f>
        <v>945318.16555976658</v>
      </c>
    </row>
    <row r="73" spans="1:17">
      <c r="A73" s="256" t="s">
        <v>45</v>
      </c>
      <c r="B73" s="28">
        <f>ROUND(B72*'Transmission Formula Rate (7)'!$B$27,0)</f>
        <v>1284</v>
      </c>
      <c r="C73" s="28">
        <f>ROUND(C72*'Transmission Formula Rate (7)'!$B$27,0)</f>
        <v>1254</v>
      </c>
      <c r="D73" s="28">
        <f>ROUND(D72*'Transmission Formula Rate (7)'!$B$27,0)</f>
        <v>1309</v>
      </c>
      <c r="E73" s="28">
        <f>ROUND(E72*'Transmission Formula Rate (7)'!$B$27,0)</f>
        <v>1369</v>
      </c>
      <c r="F73" s="28">
        <f>ROUND(F72*'Transmission Formula Rate (7)'!$B$27,0)</f>
        <v>1529</v>
      </c>
      <c r="G73" s="28">
        <f>ROUND(G72*'Transmission Formula Rate (7)'!$B$27,0)</f>
        <v>1606</v>
      </c>
      <c r="H73" s="28">
        <f>ROUND(H72*'Transmission Formula Rate (7)'!$B$27,0)</f>
        <v>1669</v>
      </c>
      <c r="I73" s="28">
        <f>ROUND(I72*'Transmission Formula Rate (7)'!$B$27,0)</f>
        <v>1678</v>
      </c>
      <c r="J73" s="28">
        <f>ROUND(J72*'Transmission Formula Rate (7)'!$B$27,0)</f>
        <v>1620</v>
      </c>
      <c r="K73" s="28">
        <f>ROUND(K72*'Transmission Formula Rate (7)'!$B$27,0)</f>
        <v>1522</v>
      </c>
      <c r="L73" s="28">
        <f>ROUND(L72*'Transmission Formula Rate (7)'!$B$27,0)</f>
        <v>1359</v>
      </c>
      <c r="M73" s="28">
        <f>ROUND(M72*'Transmission Formula Rate (7)'!$B$27,0)</f>
        <v>1291</v>
      </c>
      <c r="N73" s="21">
        <f>SUM(B73:M73)</f>
        <v>17490</v>
      </c>
    </row>
    <row r="74" spans="1:17">
      <c r="A74" s="256" t="s">
        <v>305</v>
      </c>
      <c r="B74" s="28">
        <f t="shared" ref="B74:M74" si="22">B72+B73</f>
        <v>70667.549041638515</v>
      </c>
      <c r="C74" s="28">
        <f t="shared" si="22"/>
        <v>69018.130167225085</v>
      </c>
      <c r="D74" s="28">
        <f t="shared" si="22"/>
        <v>72060.505357913207</v>
      </c>
      <c r="E74" s="28">
        <f t="shared" si="22"/>
        <v>75349.284604414512</v>
      </c>
      <c r="F74" s="28">
        <f t="shared" si="22"/>
        <v>84189.772111363491</v>
      </c>
      <c r="G74" s="28">
        <f t="shared" si="22"/>
        <v>88390.75806483865</v>
      </c>
      <c r="H74" s="28">
        <f t="shared" si="22"/>
        <v>91873.648855525404</v>
      </c>
      <c r="I74" s="28">
        <f t="shared" si="22"/>
        <v>92405.69097645396</v>
      </c>
      <c r="J74" s="28">
        <f t="shared" si="22"/>
        <v>89209.438250882595</v>
      </c>
      <c r="K74" s="28">
        <f t="shared" si="22"/>
        <v>83780.432018341511</v>
      </c>
      <c r="L74" s="28">
        <f t="shared" si="22"/>
        <v>74806.183981160386</v>
      </c>
      <c r="M74" s="28">
        <f t="shared" si="22"/>
        <v>71056.772130009384</v>
      </c>
      <c r="N74" s="124">
        <f>SUM(B74:M74)</f>
        <v>962808.16555976658</v>
      </c>
    </row>
    <row r="75" spans="1:17">
      <c r="A75" s="254" t="s">
        <v>149</v>
      </c>
      <c r="B75" s="32">
        <f>'charges (1 &amp; 2)'!H33</f>
        <v>1.274E-2</v>
      </c>
      <c r="C75" s="32">
        <f>B75</f>
        <v>1.274E-2</v>
      </c>
      <c r="D75" s="32">
        <f t="shared" ref="D75:M75" si="23">C75</f>
        <v>1.274E-2</v>
      </c>
      <c r="E75" s="32">
        <f t="shared" si="23"/>
        <v>1.274E-2</v>
      </c>
      <c r="F75" s="32">
        <f t="shared" si="23"/>
        <v>1.274E-2</v>
      </c>
      <c r="G75" s="32">
        <f t="shared" si="23"/>
        <v>1.274E-2</v>
      </c>
      <c r="H75" s="32">
        <f t="shared" si="23"/>
        <v>1.274E-2</v>
      </c>
      <c r="I75" s="32">
        <f t="shared" si="23"/>
        <v>1.274E-2</v>
      </c>
      <c r="J75" s="32">
        <f t="shared" si="23"/>
        <v>1.274E-2</v>
      </c>
      <c r="K75" s="32">
        <f t="shared" si="23"/>
        <v>1.274E-2</v>
      </c>
      <c r="L75" s="32">
        <f t="shared" si="23"/>
        <v>1.274E-2</v>
      </c>
      <c r="M75" s="32">
        <f t="shared" si="23"/>
        <v>1.274E-2</v>
      </c>
      <c r="N75" s="20"/>
    </row>
    <row r="76" spans="1:17">
      <c r="A76" s="254" t="s">
        <v>17</v>
      </c>
      <c r="B76" s="21">
        <f t="shared" ref="B76:M76" si="24">B74*B75</f>
        <v>900.3045747904747</v>
      </c>
      <c r="C76" s="21">
        <f t="shared" si="24"/>
        <v>879.2909783304475</v>
      </c>
      <c r="D76" s="21">
        <f t="shared" si="24"/>
        <v>918.05083825981421</v>
      </c>
      <c r="E76" s="21">
        <f t="shared" si="24"/>
        <v>959.9498858602409</v>
      </c>
      <c r="F76" s="21">
        <f t="shared" si="24"/>
        <v>1072.5776966987708</v>
      </c>
      <c r="G76" s="21">
        <f t="shared" si="24"/>
        <v>1126.0982577460443</v>
      </c>
      <c r="H76" s="21">
        <f t="shared" si="24"/>
        <v>1170.4702864193937</v>
      </c>
      <c r="I76" s="21">
        <f t="shared" si="24"/>
        <v>1177.2485030400235</v>
      </c>
      <c r="J76" s="21">
        <f t="shared" si="24"/>
        <v>1136.5282433162442</v>
      </c>
      <c r="K76" s="21">
        <f t="shared" si="24"/>
        <v>1067.3627039136709</v>
      </c>
      <c r="L76" s="21">
        <f t="shared" si="24"/>
        <v>953.03078391998326</v>
      </c>
      <c r="M76" s="21">
        <f t="shared" si="24"/>
        <v>905.26327693631947</v>
      </c>
      <c r="N76" s="21">
        <f>SUM(B76:M76)</f>
        <v>12266.176029231427</v>
      </c>
    </row>
    <row r="78" spans="1:17">
      <c r="B78" s="24" t="s">
        <v>0</v>
      </c>
      <c r="C78" s="24" t="s">
        <v>1</v>
      </c>
      <c r="D78" s="24" t="s">
        <v>2</v>
      </c>
      <c r="E78" s="24" t="s">
        <v>3</v>
      </c>
      <c r="F78" s="24" t="s">
        <v>4</v>
      </c>
      <c r="G78" s="24" t="s">
        <v>5</v>
      </c>
      <c r="H78" s="24" t="s">
        <v>6</v>
      </c>
      <c r="I78" s="24" t="s">
        <v>7</v>
      </c>
      <c r="J78" s="24" t="s">
        <v>8</v>
      </c>
      <c r="K78" s="24" t="s">
        <v>9</v>
      </c>
      <c r="L78" s="24" t="s">
        <v>10</v>
      </c>
      <c r="M78" s="24" t="s">
        <v>11</v>
      </c>
      <c r="N78" s="24" t="s">
        <v>12</v>
      </c>
    </row>
    <row r="79" spans="1:17">
      <c r="A79" s="255">
        <f>A63+1</f>
        <v>2017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1:17">
      <c r="A80" s="254" t="s">
        <v>37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7">
      <c r="A81" s="256" t="s">
        <v>47</v>
      </c>
      <c r="B81" s="239">
        <f>'Lake Worth Forecast'!E14</f>
        <v>69796.943041193677</v>
      </c>
      <c r="C81" s="239">
        <f>'Lake Worth Forecast'!F14</f>
        <v>68195.177280064745</v>
      </c>
      <c r="D81" s="239">
        <f>'Lake Worth Forecast'!G14</f>
        <v>71158.443938153272</v>
      </c>
      <c r="E81" s="239">
        <f>'Lake Worth Forecast'!H14</f>
        <v>74351.964424404097</v>
      </c>
      <c r="F81" s="239">
        <f>'Lake Worth Forecast'!I14</f>
        <v>82971.466426479223</v>
      </c>
      <c r="G81" s="239">
        <f>'Lake Worth Forecast'!J14</f>
        <v>87055.969117358021</v>
      </c>
      <c r="H81" s="239">
        <f>'Lake Worth Forecast'!K14</f>
        <v>90449.710323749969</v>
      </c>
      <c r="I81" s="239">
        <f>'Lake Worth Forecast'!L14</f>
        <v>90960.27316010982</v>
      </c>
      <c r="J81" s="239">
        <f>'Lake Worth Forecast'!M14</f>
        <v>87846.840961915441</v>
      </c>
      <c r="K81" s="239">
        <f>'Lake Worth Forecast'!N14</f>
        <v>82540.991878175832</v>
      </c>
      <c r="L81" s="239">
        <f>'Lake Worth Forecast'!O14</f>
        <v>73761.313299987814</v>
      </c>
      <c r="M81" s="239">
        <f>'Lake Worth Forecast'!P14</f>
        <v>70077.252049391231</v>
      </c>
      <c r="N81" s="21">
        <f>SUM(B81:M81)</f>
        <v>949166.34590098332</v>
      </c>
      <c r="O81" s="279"/>
      <c r="P81" s="278"/>
    </row>
    <row r="82" spans="1:17">
      <c r="A82" s="256" t="s">
        <v>45</v>
      </c>
      <c r="B82" s="28">
        <f>ROUND(B81*'Transmission Formula Rate (7)'!$B$27,0)</f>
        <v>1291</v>
      </c>
      <c r="C82" s="28">
        <f>ROUND(C81*'Transmission Formula Rate (7)'!$B$27,0)</f>
        <v>1262</v>
      </c>
      <c r="D82" s="28">
        <f>ROUND(D81*'Transmission Formula Rate (7)'!$B$27,0)</f>
        <v>1316</v>
      </c>
      <c r="E82" s="28">
        <f>ROUND(E81*'Transmission Formula Rate (7)'!$B$27,0)</f>
        <v>1376</v>
      </c>
      <c r="F82" s="28">
        <f>ROUND(F81*'Transmission Formula Rate (7)'!$B$27,0)</f>
        <v>1535</v>
      </c>
      <c r="G82" s="28">
        <f>ROUND(G81*'Transmission Formula Rate (7)'!$B$27,0)</f>
        <v>1611</v>
      </c>
      <c r="H82" s="28">
        <f>ROUND(H81*'Transmission Formula Rate (7)'!$B$27,0)</f>
        <v>1673</v>
      </c>
      <c r="I82" s="28">
        <f>ROUND(I81*'Transmission Formula Rate (7)'!$B$27,0)</f>
        <v>1683</v>
      </c>
      <c r="J82" s="28">
        <f>ROUND(J81*'Transmission Formula Rate (7)'!$B$27,0)</f>
        <v>1625</v>
      </c>
      <c r="K82" s="28">
        <f>ROUND(K81*'Transmission Formula Rate (7)'!$B$27,0)</f>
        <v>1527</v>
      </c>
      <c r="L82" s="28">
        <f>ROUND(L81*'Transmission Formula Rate (7)'!$B$27,0)</f>
        <v>1365</v>
      </c>
      <c r="M82" s="28">
        <f>ROUND(M81*'Transmission Formula Rate (7)'!$B$27,0)</f>
        <v>1296</v>
      </c>
      <c r="N82" s="21">
        <f>SUM(B82:M82)</f>
        <v>17560</v>
      </c>
    </row>
    <row r="83" spans="1:17">
      <c r="A83" s="256" t="s">
        <v>305</v>
      </c>
      <c r="B83" s="28">
        <f t="shared" ref="B83:M83" si="25">B81+B82</f>
        <v>71087.943041193677</v>
      </c>
      <c r="C83" s="28">
        <f t="shared" si="25"/>
        <v>69457.177280064745</v>
      </c>
      <c r="D83" s="28">
        <f t="shared" si="25"/>
        <v>72474.443938153272</v>
      </c>
      <c r="E83" s="28">
        <f t="shared" si="25"/>
        <v>75727.964424404097</v>
      </c>
      <c r="F83" s="28">
        <f t="shared" si="25"/>
        <v>84506.466426479223</v>
      </c>
      <c r="G83" s="28">
        <f t="shared" si="25"/>
        <v>88666.969117358021</v>
      </c>
      <c r="H83" s="28">
        <f t="shared" si="25"/>
        <v>92122.710323749969</v>
      </c>
      <c r="I83" s="28">
        <f t="shared" si="25"/>
        <v>92643.27316010982</v>
      </c>
      <c r="J83" s="28">
        <f t="shared" si="25"/>
        <v>89471.840961915441</v>
      </c>
      <c r="K83" s="28">
        <f t="shared" si="25"/>
        <v>84067.991878175832</v>
      </c>
      <c r="L83" s="28">
        <f t="shared" si="25"/>
        <v>75126.313299987814</v>
      </c>
      <c r="M83" s="28">
        <f t="shared" si="25"/>
        <v>71373.252049391231</v>
      </c>
      <c r="N83" s="124">
        <f>SUM(B83:M83)</f>
        <v>966726.34590098332</v>
      </c>
    </row>
    <row r="84" spans="1:17">
      <c r="A84" s="254" t="s">
        <v>20</v>
      </c>
      <c r="B84" s="30">
        <f>'Transmission Formula Rate (7)'!B16</f>
        <v>1.59</v>
      </c>
      <c r="C84" s="30">
        <f>'Transmission Formula Rate (7)'!C16</f>
        <v>1.59</v>
      </c>
      <c r="D84" s="30">
        <f>'Transmission Formula Rate (7)'!D16</f>
        <v>1.59</v>
      </c>
      <c r="E84" s="30">
        <f>'Transmission Formula Rate (7)'!E16</f>
        <v>1.59</v>
      </c>
      <c r="F84" s="30">
        <f>'Transmission Formula Rate (7)'!F16</f>
        <v>1.59</v>
      </c>
      <c r="G84" s="30">
        <f>'Transmission Formula Rate (7)'!G16</f>
        <v>1.59</v>
      </c>
      <c r="H84" s="30">
        <f>'Transmission Formula Rate (7)'!H16</f>
        <v>1.59</v>
      </c>
      <c r="I84" s="30">
        <f>'Transmission Formula Rate (7)'!I16</f>
        <v>1.59</v>
      </c>
      <c r="J84" s="30">
        <f>'Transmission Formula Rate (7)'!J16</f>
        <v>1.59</v>
      </c>
      <c r="K84" s="30">
        <f>'Transmission Formula Rate (7)'!K16</f>
        <v>1.59</v>
      </c>
      <c r="L84" s="30">
        <f>'Transmission Formula Rate (7)'!L16</f>
        <v>1.59</v>
      </c>
      <c r="M84" s="30">
        <f>'Transmission Formula Rate (7)'!M16</f>
        <v>1.59</v>
      </c>
      <c r="N84" s="20"/>
      <c r="Q84" s="277"/>
    </row>
    <row r="85" spans="1:17">
      <c r="A85" s="254" t="s">
        <v>17</v>
      </c>
      <c r="B85" s="21">
        <f t="shared" ref="B85:M85" si="26">B83*B84</f>
        <v>113029.82943549796</v>
      </c>
      <c r="C85" s="21">
        <f t="shared" si="26"/>
        <v>110436.91187530295</v>
      </c>
      <c r="D85" s="21">
        <f t="shared" si="26"/>
        <v>115234.36586166371</v>
      </c>
      <c r="E85" s="21">
        <f t="shared" si="26"/>
        <v>120407.46343480251</v>
      </c>
      <c r="F85" s="21">
        <f t="shared" si="26"/>
        <v>134365.28161810196</v>
      </c>
      <c r="G85" s="21">
        <f t="shared" si="26"/>
        <v>140980.48089659927</v>
      </c>
      <c r="H85" s="21">
        <f t="shared" si="26"/>
        <v>146475.10941476247</v>
      </c>
      <c r="I85" s="21">
        <f t="shared" si="26"/>
        <v>147302.80432457462</v>
      </c>
      <c r="J85" s="21">
        <f t="shared" si="26"/>
        <v>142260.22712944556</v>
      </c>
      <c r="K85" s="21">
        <f t="shared" si="26"/>
        <v>133668.10708629957</v>
      </c>
      <c r="L85" s="21">
        <f t="shared" si="26"/>
        <v>119450.83814698063</v>
      </c>
      <c r="M85" s="21">
        <f t="shared" si="26"/>
        <v>113483.47075853206</v>
      </c>
      <c r="N85" s="21">
        <f>SUM(B85:M85)</f>
        <v>1537094.889982563</v>
      </c>
    </row>
    <row r="87" spans="1:17">
      <c r="A87" s="254" t="s">
        <v>141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7">
      <c r="A88" s="256" t="s">
        <v>47</v>
      </c>
      <c r="B88" s="239">
        <f>B81</f>
        <v>69796.943041193677</v>
      </c>
      <c r="C88" s="239">
        <f t="shared" ref="C88:M88" si="27">C81</f>
        <v>68195.177280064745</v>
      </c>
      <c r="D88" s="239">
        <f t="shared" si="27"/>
        <v>71158.443938153272</v>
      </c>
      <c r="E88" s="239">
        <f t="shared" si="27"/>
        <v>74351.964424404097</v>
      </c>
      <c r="F88" s="239">
        <f t="shared" si="27"/>
        <v>82971.466426479223</v>
      </c>
      <c r="G88" s="239">
        <f t="shared" si="27"/>
        <v>87055.969117358021</v>
      </c>
      <c r="H88" s="239">
        <f t="shared" si="27"/>
        <v>90449.710323749969</v>
      </c>
      <c r="I88" s="239">
        <f t="shared" si="27"/>
        <v>90960.27316010982</v>
      </c>
      <c r="J88" s="239">
        <f t="shared" si="27"/>
        <v>87846.840961915441</v>
      </c>
      <c r="K88" s="239">
        <f t="shared" si="27"/>
        <v>82540.991878175832</v>
      </c>
      <c r="L88" s="239">
        <f t="shared" si="27"/>
        <v>73761.313299987814</v>
      </c>
      <c r="M88" s="239">
        <f t="shared" si="27"/>
        <v>70077.252049391231</v>
      </c>
      <c r="N88" s="21">
        <f>SUM(B88:M88)</f>
        <v>949166.34590098332</v>
      </c>
    </row>
    <row r="89" spans="1:17">
      <c r="A89" s="256" t="s">
        <v>45</v>
      </c>
      <c r="B89" s="28">
        <f>ROUND(B88*'Transmission Formula Rate (7)'!$B$27,0)</f>
        <v>1291</v>
      </c>
      <c r="C89" s="28">
        <f>ROUND(C88*'Transmission Formula Rate (7)'!$B$27,0)</f>
        <v>1262</v>
      </c>
      <c r="D89" s="28">
        <f>ROUND(D88*'Transmission Formula Rate (7)'!$B$27,0)</f>
        <v>1316</v>
      </c>
      <c r="E89" s="28">
        <f>ROUND(E88*'Transmission Formula Rate (7)'!$B$27,0)</f>
        <v>1376</v>
      </c>
      <c r="F89" s="28">
        <f>ROUND(F88*'Transmission Formula Rate (7)'!$B$27,0)</f>
        <v>1535</v>
      </c>
      <c r="G89" s="28">
        <f>ROUND(G88*'Transmission Formula Rate (7)'!$B$27,0)</f>
        <v>1611</v>
      </c>
      <c r="H89" s="28">
        <f>ROUND(H88*'Transmission Formula Rate (7)'!$B$27,0)</f>
        <v>1673</v>
      </c>
      <c r="I89" s="28">
        <f>ROUND(I88*'Transmission Formula Rate (7)'!$B$27,0)</f>
        <v>1683</v>
      </c>
      <c r="J89" s="28">
        <f>ROUND(J88*'Transmission Formula Rate (7)'!$B$27,0)</f>
        <v>1625</v>
      </c>
      <c r="K89" s="28">
        <f>ROUND(K88*'Transmission Formula Rate (7)'!$B$27,0)</f>
        <v>1527</v>
      </c>
      <c r="L89" s="28">
        <f>ROUND(L88*'Transmission Formula Rate (7)'!$B$27,0)</f>
        <v>1365</v>
      </c>
      <c r="M89" s="28">
        <f>ROUND(M88*'Transmission Formula Rate (7)'!$B$27,0)</f>
        <v>1296</v>
      </c>
      <c r="N89" s="21">
        <f>SUM(B89:M89)</f>
        <v>17560</v>
      </c>
    </row>
    <row r="90" spans="1:17">
      <c r="A90" s="256" t="s">
        <v>305</v>
      </c>
      <c r="B90" s="28">
        <f t="shared" ref="B90:M90" si="28">B88+B89</f>
        <v>71087.943041193677</v>
      </c>
      <c r="C90" s="28">
        <f t="shared" si="28"/>
        <v>69457.177280064745</v>
      </c>
      <c r="D90" s="28">
        <f t="shared" si="28"/>
        <v>72474.443938153272</v>
      </c>
      <c r="E90" s="28">
        <f t="shared" si="28"/>
        <v>75727.964424404097</v>
      </c>
      <c r="F90" s="28">
        <f t="shared" si="28"/>
        <v>84506.466426479223</v>
      </c>
      <c r="G90" s="28">
        <f t="shared" si="28"/>
        <v>88666.969117358021</v>
      </c>
      <c r="H90" s="28">
        <f t="shared" si="28"/>
        <v>92122.710323749969</v>
      </c>
      <c r="I90" s="28">
        <f t="shared" si="28"/>
        <v>92643.27316010982</v>
      </c>
      <c r="J90" s="28">
        <f t="shared" si="28"/>
        <v>89471.840961915441</v>
      </c>
      <c r="K90" s="28">
        <f t="shared" si="28"/>
        <v>84067.991878175832</v>
      </c>
      <c r="L90" s="28">
        <f t="shared" si="28"/>
        <v>75126.313299987814</v>
      </c>
      <c r="M90" s="28">
        <f t="shared" si="28"/>
        <v>71373.252049391231</v>
      </c>
      <c r="N90" s="124">
        <f>SUM(B90:M90)</f>
        <v>966726.34590098332</v>
      </c>
    </row>
    <row r="91" spans="1:17">
      <c r="A91" s="254" t="s">
        <v>149</v>
      </c>
      <c r="B91" s="32">
        <f>'charges (1 &amp; 2)'!$H$39</f>
        <v>1.274E-2</v>
      </c>
      <c r="C91" s="32">
        <f>B91</f>
        <v>1.274E-2</v>
      </c>
      <c r="D91" s="32">
        <f t="shared" ref="D91:M91" si="29">C91</f>
        <v>1.274E-2</v>
      </c>
      <c r="E91" s="32">
        <f t="shared" si="29"/>
        <v>1.274E-2</v>
      </c>
      <c r="F91" s="32">
        <f t="shared" si="29"/>
        <v>1.274E-2</v>
      </c>
      <c r="G91" s="32">
        <f t="shared" si="29"/>
        <v>1.274E-2</v>
      </c>
      <c r="H91" s="32">
        <f t="shared" si="29"/>
        <v>1.274E-2</v>
      </c>
      <c r="I91" s="32">
        <f t="shared" si="29"/>
        <v>1.274E-2</v>
      </c>
      <c r="J91" s="32">
        <f t="shared" si="29"/>
        <v>1.274E-2</v>
      </c>
      <c r="K91" s="32">
        <f t="shared" si="29"/>
        <v>1.274E-2</v>
      </c>
      <c r="L91" s="32">
        <f t="shared" si="29"/>
        <v>1.274E-2</v>
      </c>
      <c r="M91" s="32">
        <f t="shared" si="29"/>
        <v>1.274E-2</v>
      </c>
      <c r="N91" s="20"/>
    </row>
    <row r="92" spans="1:17">
      <c r="A92" s="254" t="s">
        <v>17</v>
      </c>
      <c r="B92" s="21">
        <f t="shared" ref="B92:M92" si="30">B90*B91</f>
        <v>905.6603943448074</v>
      </c>
      <c r="C92" s="21">
        <f t="shared" si="30"/>
        <v>884.88443854802483</v>
      </c>
      <c r="D92" s="21">
        <f t="shared" si="30"/>
        <v>923.32441577207271</v>
      </c>
      <c r="E92" s="21">
        <f t="shared" si="30"/>
        <v>964.77426676690811</v>
      </c>
      <c r="F92" s="21">
        <f t="shared" si="30"/>
        <v>1076.6123822733452</v>
      </c>
      <c r="G92" s="21">
        <f t="shared" si="30"/>
        <v>1129.6171865551412</v>
      </c>
      <c r="H92" s="21">
        <f t="shared" si="30"/>
        <v>1173.6433295245745</v>
      </c>
      <c r="I92" s="21">
        <f t="shared" si="30"/>
        <v>1180.2753000597991</v>
      </c>
      <c r="J92" s="21">
        <f t="shared" si="30"/>
        <v>1139.8712538548027</v>
      </c>
      <c r="K92" s="21">
        <f t="shared" si="30"/>
        <v>1071.0262165279601</v>
      </c>
      <c r="L92" s="21">
        <f t="shared" si="30"/>
        <v>957.10923144184471</v>
      </c>
      <c r="M92" s="21">
        <f t="shared" si="30"/>
        <v>909.29523110924424</v>
      </c>
      <c r="N92" s="21">
        <f>SUM(B92:M92)</f>
        <v>12316.093646778525</v>
      </c>
    </row>
    <row r="94" spans="1:17">
      <c r="B94" s="24" t="s">
        <v>0</v>
      </c>
      <c r="C94" s="24" t="s">
        <v>1</v>
      </c>
      <c r="D94" s="24" t="s">
        <v>2</v>
      </c>
      <c r="E94" s="24" t="s">
        <v>3</v>
      </c>
      <c r="F94" s="24" t="s">
        <v>4</v>
      </c>
      <c r="G94" s="24" t="s">
        <v>5</v>
      </c>
      <c r="H94" s="24" t="s">
        <v>6</v>
      </c>
      <c r="I94" s="24" t="s">
        <v>7</v>
      </c>
      <c r="J94" s="24" t="s">
        <v>8</v>
      </c>
      <c r="K94" s="24" t="s">
        <v>9</v>
      </c>
      <c r="L94" s="24" t="s">
        <v>10</v>
      </c>
      <c r="M94" s="24" t="s">
        <v>11</v>
      </c>
      <c r="N94" s="24" t="s">
        <v>12</v>
      </c>
    </row>
    <row r="95" spans="1:17">
      <c r="A95" s="255">
        <f>A79+1</f>
        <v>2018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1:17">
      <c r="A96" s="254" t="s">
        <v>37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256" t="s">
        <v>47</v>
      </c>
      <c r="B97" s="239">
        <f>'Lake Worth Forecast'!E15</f>
        <v>70069.439411680069</v>
      </c>
      <c r="C97" s="239">
        <f>'Lake Worth Forecast'!F15</f>
        <v>68455.211711922937</v>
      </c>
      <c r="D97" s="239">
        <f>'Lake Worth Forecast'!G15</f>
        <v>71404.664792960655</v>
      </c>
      <c r="E97" s="239">
        <f>'Lake Worth Forecast'!H15</f>
        <v>74593.262718406855</v>
      </c>
      <c r="F97" s="239">
        <f>'Lake Worth Forecast'!I15</f>
        <v>83172.58401156051</v>
      </c>
      <c r="G97" s="239">
        <f>'Lake Worth Forecast'!J15</f>
        <v>87238.046366504423</v>
      </c>
      <c r="H97" s="239">
        <f>'Lake Worth Forecast'!K15</f>
        <v>90606.002925256966</v>
      </c>
      <c r="I97" s="239">
        <f>'Lake Worth Forecast'!L15</f>
        <v>91114.185719624948</v>
      </c>
      <c r="J97" s="239">
        <f>'Lake Worth Forecast'!M15</f>
        <v>88005.302742314903</v>
      </c>
      <c r="K97" s="239">
        <f>'Lake Worth Forecast'!N15</f>
        <v>82714.223059777636</v>
      </c>
      <c r="L97" s="239">
        <f>'Lake Worth Forecast'!O15</f>
        <v>73955.543133317624</v>
      </c>
      <c r="M97" s="239">
        <f>'Lake Worth Forecast'!P15</f>
        <v>70288.655519054504</v>
      </c>
      <c r="N97" s="21">
        <f>SUM(B97:M97)</f>
        <v>951617.12211238197</v>
      </c>
    </row>
    <row r="98" spans="1:14">
      <c r="A98" s="256" t="s">
        <v>45</v>
      </c>
      <c r="B98" s="28">
        <f>ROUND(B97*'Transmission Formula Rate (7)'!$B$27,0)</f>
        <v>1296</v>
      </c>
      <c r="C98" s="28">
        <f>ROUND(C97*'Transmission Formula Rate (7)'!$B$27,0)</f>
        <v>1266</v>
      </c>
      <c r="D98" s="28">
        <f>ROUND(D97*'Transmission Formula Rate (7)'!$B$27,0)</f>
        <v>1321</v>
      </c>
      <c r="E98" s="28">
        <f>ROUND(E97*'Transmission Formula Rate (7)'!$B$27,0)</f>
        <v>1380</v>
      </c>
      <c r="F98" s="28">
        <f>ROUND(F97*'Transmission Formula Rate (7)'!$B$27,0)</f>
        <v>1539</v>
      </c>
      <c r="G98" s="28">
        <f>ROUND(G97*'Transmission Formula Rate (7)'!$B$27,0)</f>
        <v>1614</v>
      </c>
      <c r="H98" s="28">
        <f>ROUND(H97*'Transmission Formula Rate (7)'!$B$27,0)</f>
        <v>1676</v>
      </c>
      <c r="I98" s="28">
        <f>ROUND(I97*'Transmission Formula Rate (7)'!$B$27,0)</f>
        <v>1686</v>
      </c>
      <c r="J98" s="28">
        <f>ROUND(J97*'Transmission Formula Rate (7)'!$B$27,0)</f>
        <v>1628</v>
      </c>
      <c r="K98" s="28">
        <f>ROUND(K97*'Transmission Formula Rate (7)'!$B$27,0)</f>
        <v>1530</v>
      </c>
      <c r="L98" s="28">
        <f>ROUND(L97*'Transmission Formula Rate (7)'!$B$27,0)</f>
        <v>1368</v>
      </c>
      <c r="M98" s="28">
        <f>ROUND(M97*'Transmission Formula Rate (7)'!$B$27,0)</f>
        <v>1300</v>
      </c>
      <c r="N98" s="21">
        <f>SUM(B98:M98)</f>
        <v>17604</v>
      </c>
    </row>
    <row r="99" spans="1:14">
      <c r="A99" s="256" t="s">
        <v>305</v>
      </c>
      <c r="B99" s="28">
        <f t="shared" ref="B99:M99" si="31">B97+B98</f>
        <v>71365.439411680069</v>
      </c>
      <c r="C99" s="28">
        <f t="shared" si="31"/>
        <v>69721.211711922937</v>
      </c>
      <c r="D99" s="28">
        <f t="shared" si="31"/>
        <v>72725.664792960655</v>
      </c>
      <c r="E99" s="28">
        <f t="shared" si="31"/>
        <v>75973.262718406855</v>
      </c>
      <c r="F99" s="28">
        <f t="shared" si="31"/>
        <v>84711.58401156051</v>
      </c>
      <c r="G99" s="28">
        <f t="shared" si="31"/>
        <v>88852.046366504423</v>
      </c>
      <c r="H99" s="28">
        <f t="shared" si="31"/>
        <v>92282.002925256966</v>
      </c>
      <c r="I99" s="28">
        <f t="shared" si="31"/>
        <v>92800.185719624948</v>
      </c>
      <c r="J99" s="28">
        <f t="shared" si="31"/>
        <v>89633.302742314903</v>
      </c>
      <c r="K99" s="28">
        <f t="shared" si="31"/>
        <v>84244.223059777636</v>
      </c>
      <c r="L99" s="28">
        <f t="shared" si="31"/>
        <v>75323.543133317624</v>
      </c>
      <c r="M99" s="28">
        <f t="shared" si="31"/>
        <v>71588.655519054504</v>
      </c>
      <c r="N99" s="124">
        <f>SUM(B99:M99)</f>
        <v>969221.12211238197</v>
      </c>
    </row>
    <row r="100" spans="1:14">
      <c r="A100" s="254" t="s">
        <v>20</v>
      </c>
      <c r="B100" s="30">
        <f>B84</f>
        <v>1.59</v>
      </c>
      <c r="C100" s="30">
        <f t="shared" ref="C100:M100" si="32">C84</f>
        <v>1.59</v>
      </c>
      <c r="D100" s="30">
        <f t="shared" si="32"/>
        <v>1.59</v>
      </c>
      <c r="E100" s="30">
        <f t="shared" si="32"/>
        <v>1.59</v>
      </c>
      <c r="F100" s="30">
        <f t="shared" si="32"/>
        <v>1.59</v>
      </c>
      <c r="G100" s="30">
        <f t="shared" si="32"/>
        <v>1.59</v>
      </c>
      <c r="H100" s="30">
        <f t="shared" si="32"/>
        <v>1.59</v>
      </c>
      <c r="I100" s="30">
        <f t="shared" si="32"/>
        <v>1.59</v>
      </c>
      <c r="J100" s="30">
        <f t="shared" si="32"/>
        <v>1.59</v>
      </c>
      <c r="K100" s="30">
        <f t="shared" si="32"/>
        <v>1.59</v>
      </c>
      <c r="L100" s="30">
        <f t="shared" si="32"/>
        <v>1.59</v>
      </c>
      <c r="M100" s="30">
        <f t="shared" si="32"/>
        <v>1.59</v>
      </c>
      <c r="N100" s="20"/>
    </row>
    <row r="101" spans="1:14">
      <c r="A101" s="254" t="s">
        <v>17</v>
      </c>
      <c r="B101" s="21">
        <f t="shared" ref="B101:M101" si="33">B99*B100</f>
        <v>113471.04866457131</v>
      </c>
      <c r="C101" s="21">
        <f t="shared" si="33"/>
        <v>110856.72662195748</v>
      </c>
      <c r="D101" s="21">
        <f t="shared" si="33"/>
        <v>115633.80702080745</v>
      </c>
      <c r="E101" s="21">
        <f t="shared" si="33"/>
        <v>120797.4877222669</v>
      </c>
      <c r="F101" s="21">
        <f t="shared" si="33"/>
        <v>134691.41857838121</v>
      </c>
      <c r="G101" s="21">
        <f t="shared" si="33"/>
        <v>141274.75372274203</v>
      </c>
      <c r="H101" s="21">
        <f t="shared" si="33"/>
        <v>146728.38465115859</v>
      </c>
      <c r="I101" s="21">
        <f t="shared" si="33"/>
        <v>147552.29529420368</v>
      </c>
      <c r="J101" s="21">
        <f t="shared" si="33"/>
        <v>142516.95136028071</v>
      </c>
      <c r="K101" s="21">
        <f t="shared" si="33"/>
        <v>133948.31466504646</v>
      </c>
      <c r="L101" s="21">
        <f t="shared" si="33"/>
        <v>119764.43358197503</v>
      </c>
      <c r="M101" s="21">
        <f t="shared" si="33"/>
        <v>113825.96227529667</v>
      </c>
      <c r="N101" s="21">
        <f>SUM(B101:M101)</f>
        <v>1541061.5841586876</v>
      </c>
    </row>
    <row r="103" spans="1:14">
      <c r="A103" s="254" t="s">
        <v>141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256" t="s">
        <v>47</v>
      </c>
      <c r="B104" s="239">
        <f>B97</f>
        <v>70069.439411680069</v>
      </c>
      <c r="C104" s="239">
        <f t="shared" ref="C104:M104" si="34">C97</f>
        <v>68455.211711922937</v>
      </c>
      <c r="D104" s="239">
        <f t="shared" si="34"/>
        <v>71404.664792960655</v>
      </c>
      <c r="E104" s="239">
        <f t="shared" si="34"/>
        <v>74593.262718406855</v>
      </c>
      <c r="F104" s="239">
        <f t="shared" si="34"/>
        <v>83172.58401156051</v>
      </c>
      <c r="G104" s="239">
        <f t="shared" si="34"/>
        <v>87238.046366504423</v>
      </c>
      <c r="H104" s="239">
        <f t="shared" si="34"/>
        <v>90606.002925256966</v>
      </c>
      <c r="I104" s="239">
        <f t="shared" si="34"/>
        <v>91114.185719624948</v>
      </c>
      <c r="J104" s="239">
        <f t="shared" si="34"/>
        <v>88005.302742314903</v>
      </c>
      <c r="K104" s="239">
        <f t="shared" si="34"/>
        <v>82714.223059777636</v>
      </c>
      <c r="L104" s="239">
        <f t="shared" si="34"/>
        <v>73955.543133317624</v>
      </c>
      <c r="M104" s="239">
        <f t="shared" si="34"/>
        <v>70288.655519054504</v>
      </c>
      <c r="N104" s="21">
        <f>SUM(B104:M104)</f>
        <v>951617.12211238197</v>
      </c>
    </row>
    <row r="105" spans="1:14">
      <c r="A105" s="256" t="s">
        <v>45</v>
      </c>
      <c r="B105" s="28">
        <f>ROUND(B104*'Transmission Formula Rate (7)'!$B$27,0)</f>
        <v>1296</v>
      </c>
      <c r="C105" s="28">
        <f>ROUND(C104*'Transmission Formula Rate (7)'!$B$27,0)</f>
        <v>1266</v>
      </c>
      <c r="D105" s="28">
        <f>ROUND(D104*'Transmission Formula Rate (7)'!$B$27,0)</f>
        <v>1321</v>
      </c>
      <c r="E105" s="28">
        <f>ROUND(E104*'Transmission Formula Rate (7)'!$B$27,0)</f>
        <v>1380</v>
      </c>
      <c r="F105" s="28">
        <f>ROUND(F104*'Transmission Formula Rate (7)'!$B$27,0)</f>
        <v>1539</v>
      </c>
      <c r="G105" s="28">
        <f>ROUND(G104*'Transmission Formula Rate (7)'!$B$27,0)</f>
        <v>1614</v>
      </c>
      <c r="H105" s="28">
        <f>ROUND(H104*'Transmission Formula Rate (7)'!$B$27,0)</f>
        <v>1676</v>
      </c>
      <c r="I105" s="28">
        <f>ROUND(I104*'Transmission Formula Rate (7)'!$B$27,0)</f>
        <v>1686</v>
      </c>
      <c r="J105" s="28">
        <f>ROUND(J104*'Transmission Formula Rate (7)'!$B$27,0)</f>
        <v>1628</v>
      </c>
      <c r="K105" s="28">
        <f>ROUND(K104*'Transmission Formula Rate (7)'!$B$27,0)</f>
        <v>1530</v>
      </c>
      <c r="L105" s="28">
        <f>ROUND(L104*'Transmission Formula Rate (7)'!$B$27,0)</f>
        <v>1368</v>
      </c>
      <c r="M105" s="28">
        <f>ROUND(M104*'Transmission Formula Rate (7)'!$B$27,0)</f>
        <v>1300</v>
      </c>
      <c r="N105" s="21">
        <f>SUM(B105:M105)</f>
        <v>17604</v>
      </c>
    </row>
    <row r="106" spans="1:14">
      <c r="A106" s="256" t="s">
        <v>305</v>
      </c>
      <c r="B106" s="28">
        <f t="shared" ref="B106:M106" si="35">B104+B105</f>
        <v>71365.439411680069</v>
      </c>
      <c r="C106" s="28">
        <f t="shared" si="35"/>
        <v>69721.211711922937</v>
      </c>
      <c r="D106" s="28">
        <f t="shared" si="35"/>
        <v>72725.664792960655</v>
      </c>
      <c r="E106" s="28">
        <f t="shared" si="35"/>
        <v>75973.262718406855</v>
      </c>
      <c r="F106" s="28">
        <f t="shared" si="35"/>
        <v>84711.58401156051</v>
      </c>
      <c r="G106" s="28">
        <f t="shared" si="35"/>
        <v>88852.046366504423</v>
      </c>
      <c r="H106" s="28">
        <f t="shared" si="35"/>
        <v>92282.002925256966</v>
      </c>
      <c r="I106" s="28">
        <f t="shared" si="35"/>
        <v>92800.185719624948</v>
      </c>
      <c r="J106" s="28">
        <f t="shared" si="35"/>
        <v>89633.302742314903</v>
      </c>
      <c r="K106" s="28">
        <f t="shared" si="35"/>
        <v>84244.223059777636</v>
      </c>
      <c r="L106" s="28">
        <f t="shared" si="35"/>
        <v>75323.543133317624</v>
      </c>
      <c r="M106" s="28">
        <f t="shared" si="35"/>
        <v>71588.655519054504</v>
      </c>
      <c r="N106" s="124">
        <f>SUM(B106:M106)</f>
        <v>969221.12211238197</v>
      </c>
    </row>
    <row r="107" spans="1:14">
      <c r="A107" s="254" t="s">
        <v>149</v>
      </c>
      <c r="B107" s="32">
        <f>'charges (1 &amp; 2)'!$H$39</f>
        <v>1.274E-2</v>
      </c>
      <c r="C107" s="32">
        <f>B107</f>
        <v>1.274E-2</v>
      </c>
      <c r="D107" s="32">
        <f t="shared" ref="D107:M107" si="36">C107</f>
        <v>1.274E-2</v>
      </c>
      <c r="E107" s="32">
        <f t="shared" si="36"/>
        <v>1.274E-2</v>
      </c>
      <c r="F107" s="32">
        <f t="shared" si="36"/>
        <v>1.274E-2</v>
      </c>
      <c r="G107" s="32">
        <f t="shared" si="36"/>
        <v>1.274E-2</v>
      </c>
      <c r="H107" s="32">
        <f t="shared" si="36"/>
        <v>1.274E-2</v>
      </c>
      <c r="I107" s="32">
        <f t="shared" si="36"/>
        <v>1.274E-2</v>
      </c>
      <c r="J107" s="32">
        <f t="shared" si="36"/>
        <v>1.274E-2</v>
      </c>
      <c r="K107" s="32">
        <f t="shared" si="36"/>
        <v>1.274E-2</v>
      </c>
      <c r="L107" s="32">
        <f t="shared" si="36"/>
        <v>1.274E-2</v>
      </c>
      <c r="M107" s="32">
        <f t="shared" si="36"/>
        <v>1.274E-2</v>
      </c>
      <c r="N107" s="20"/>
    </row>
    <row r="108" spans="1:14">
      <c r="A108" s="254" t="s">
        <v>17</v>
      </c>
      <c r="B108" s="21">
        <f t="shared" ref="B108:M108" si="37">B106*B107</f>
        <v>909.19569810480402</v>
      </c>
      <c r="C108" s="21">
        <f t="shared" si="37"/>
        <v>888.24823720989821</v>
      </c>
      <c r="D108" s="21">
        <f t="shared" si="37"/>
        <v>926.52496946231872</v>
      </c>
      <c r="E108" s="21">
        <f t="shared" si="37"/>
        <v>967.89936703250328</v>
      </c>
      <c r="F108" s="21">
        <f t="shared" si="37"/>
        <v>1079.2255803072808</v>
      </c>
      <c r="G108" s="21">
        <f t="shared" si="37"/>
        <v>1131.9750707092662</v>
      </c>
      <c r="H108" s="21">
        <f t="shared" si="37"/>
        <v>1175.6727172677738</v>
      </c>
      <c r="I108" s="21">
        <f t="shared" si="37"/>
        <v>1182.2743660680219</v>
      </c>
      <c r="J108" s="21">
        <f t="shared" si="37"/>
        <v>1141.9282769370918</v>
      </c>
      <c r="K108" s="21">
        <f t="shared" si="37"/>
        <v>1073.271401781567</v>
      </c>
      <c r="L108" s="21">
        <f t="shared" si="37"/>
        <v>959.62193951846655</v>
      </c>
      <c r="M108" s="21">
        <f t="shared" si="37"/>
        <v>912.03947131275436</v>
      </c>
      <c r="N108" s="21">
        <f>SUM(B108:M108)</f>
        <v>12347.877095711745</v>
      </c>
    </row>
    <row r="109" spans="1:14">
      <c r="A109" s="250" t="s">
        <v>277</v>
      </c>
      <c r="B109" s="370" t="s">
        <v>306</v>
      </c>
    </row>
  </sheetData>
  <mergeCells count="1">
    <mergeCell ref="O9:P9"/>
  </mergeCells>
  <hyperlinks>
    <hyperlink ref="B109" r:id="rId1"/>
  </hyperlinks>
  <pageMargins left="0.7" right="0.7" top="0.75" bottom="0.75" header="0.3" footer="0.3"/>
  <pageSetup scale="74" orientation="landscape" r:id="rId2"/>
  <rowBreaks count="2" manualBreakCount="2">
    <brk id="43" max="16383" man="1"/>
    <brk id="77" max="16383" man="1"/>
  </rowBreaks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4"/>
  <sheetViews>
    <sheetView zoomScaleNormal="100" workbookViewId="0">
      <selection activeCell="A2" sqref="A1:A2"/>
    </sheetView>
  </sheetViews>
  <sheetFormatPr defaultColWidth="10.33203125" defaultRowHeight="15.6"/>
  <cols>
    <col min="1" max="1" width="24" style="445" customWidth="1"/>
    <col min="2" max="16384" width="10.33203125" style="437"/>
  </cols>
  <sheetData>
    <row r="1" spans="1:14">
      <c r="A1" s="480" t="s">
        <v>486</v>
      </c>
    </row>
    <row r="2" spans="1:14">
      <c r="A2" s="480" t="s">
        <v>473</v>
      </c>
    </row>
    <row r="4" spans="1:14">
      <c r="A4" s="435" t="s">
        <v>373</v>
      </c>
      <c r="B4" s="436"/>
    </row>
    <row r="5" spans="1:14">
      <c r="A5" s="438" t="s">
        <v>374</v>
      </c>
      <c r="B5" s="439"/>
    </row>
    <row r="6" spans="1:14">
      <c r="A6" s="437"/>
    </row>
    <row r="7" spans="1:14">
      <c r="A7" s="440"/>
      <c r="B7" s="441">
        <v>1</v>
      </c>
      <c r="C7" s="441">
        <f>1+B7</f>
        <v>2</v>
      </c>
      <c r="D7" s="441">
        <f t="shared" ref="D7:M7" si="0">1+C7</f>
        <v>3</v>
      </c>
      <c r="E7" s="441">
        <f t="shared" si="0"/>
        <v>4</v>
      </c>
      <c r="F7" s="441">
        <f t="shared" si="0"/>
        <v>5</v>
      </c>
      <c r="G7" s="441">
        <f t="shared" si="0"/>
        <v>6</v>
      </c>
      <c r="H7" s="441">
        <f t="shared" si="0"/>
        <v>7</v>
      </c>
      <c r="I7" s="441">
        <f t="shared" si="0"/>
        <v>8</v>
      </c>
      <c r="J7" s="441">
        <f t="shared" si="0"/>
        <v>9</v>
      </c>
      <c r="K7" s="441">
        <f t="shared" si="0"/>
        <v>10</v>
      </c>
      <c r="L7" s="441">
        <f t="shared" si="0"/>
        <v>11</v>
      </c>
      <c r="M7" s="441">
        <f t="shared" si="0"/>
        <v>12</v>
      </c>
    </row>
    <row r="8" spans="1:14">
      <c r="A8" s="440"/>
      <c r="B8" s="442" t="s">
        <v>0</v>
      </c>
      <c r="C8" s="442" t="s">
        <v>1</v>
      </c>
      <c r="D8" s="442" t="s">
        <v>2</v>
      </c>
      <c r="E8" s="442" t="s">
        <v>3</v>
      </c>
      <c r="F8" s="442" t="s">
        <v>4</v>
      </c>
      <c r="G8" s="442" t="s">
        <v>5</v>
      </c>
      <c r="H8" s="442" t="s">
        <v>6</v>
      </c>
      <c r="I8" s="442" t="s">
        <v>7</v>
      </c>
      <c r="J8" s="442" t="s">
        <v>8</v>
      </c>
      <c r="K8" s="442" t="s">
        <v>9</v>
      </c>
      <c r="L8" s="442" t="s">
        <v>10</v>
      </c>
      <c r="M8" s="442" t="s">
        <v>11</v>
      </c>
      <c r="N8" s="442" t="s">
        <v>12</v>
      </c>
    </row>
    <row r="9" spans="1:14">
      <c r="A9" s="443"/>
    </row>
    <row r="10" spans="1:14">
      <c r="A10" s="443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14">
      <c r="B11" s="442" t="s">
        <v>0</v>
      </c>
      <c r="C11" s="442" t="s">
        <v>1</v>
      </c>
      <c r="D11" s="442" t="s">
        <v>2</v>
      </c>
      <c r="E11" s="442" t="s">
        <v>3</v>
      </c>
      <c r="F11" s="442" t="s">
        <v>4</v>
      </c>
      <c r="G11" s="442" t="s">
        <v>5</v>
      </c>
      <c r="H11" s="442" t="s">
        <v>6</v>
      </c>
      <c r="I11" s="442" t="s">
        <v>7</v>
      </c>
      <c r="J11" s="442" t="s">
        <v>8</v>
      </c>
      <c r="K11" s="442" t="s">
        <v>9</v>
      </c>
      <c r="L11" s="442" t="s">
        <v>10</v>
      </c>
      <c r="M11" s="442" t="s">
        <v>11</v>
      </c>
      <c r="N11" s="442" t="s">
        <v>12</v>
      </c>
    </row>
    <row r="12" spans="1:14">
      <c r="A12" s="446">
        <v>2014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</row>
    <row r="13" spans="1:14">
      <c r="A13" s="443" t="s">
        <v>37</v>
      </c>
    </row>
    <row r="14" spans="1:14">
      <c r="A14" s="447" t="s">
        <v>47</v>
      </c>
      <c r="B14" s="448"/>
      <c r="C14" s="448"/>
      <c r="D14" s="448">
        <v>0</v>
      </c>
      <c r="E14" s="448">
        <v>0</v>
      </c>
      <c r="F14" s="448">
        <v>0</v>
      </c>
      <c r="G14" s="448">
        <v>0</v>
      </c>
      <c r="H14" s="448">
        <v>0</v>
      </c>
      <c r="I14" s="448">
        <v>0</v>
      </c>
      <c r="J14" s="448">
        <v>0</v>
      </c>
      <c r="K14" s="448">
        <v>0</v>
      </c>
      <c r="L14" s="448">
        <v>0</v>
      </c>
      <c r="M14" s="448">
        <v>0</v>
      </c>
      <c r="N14" s="444">
        <f>SUM(B14:M14)</f>
        <v>0</v>
      </c>
    </row>
    <row r="15" spans="1:14">
      <c r="A15" s="447" t="s">
        <v>45</v>
      </c>
      <c r="B15" s="449">
        <f>ROUND(B14*'Transmission Formula Rate (7)'!$B$27,0)</f>
        <v>0</v>
      </c>
      <c r="C15" s="449">
        <f>ROUND(C14*'Transmission Formula Rate (7)'!$B$27,0)</f>
        <v>0</v>
      </c>
      <c r="D15" s="449">
        <f>ROUND(D14*'Transmission Formula Rate (7)'!$B$27,0)</f>
        <v>0</v>
      </c>
      <c r="E15" s="449">
        <f>ROUND(E14*'Transmission Formula Rate (7)'!$B$27,0)</f>
        <v>0</v>
      </c>
      <c r="F15" s="449">
        <f>ROUND(F14*'Transmission Formula Rate (7)'!$B$27,0)</f>
        <v>0</v>
      </c>
      <c r="G15" s="449">
        <f>ROUND(G14*'Transmission Formula Rate (7)'!$B$27,0)</f>
        <v>0</v>
      </c>
      <c r="H15" s="449">
        <f>ROUND(H14*'Transmission Formula Rate (7)'!$B$27,0)</f>
        <v>0</v>
      </c>
      <c r="I15" s="449">
        <f>ROUND(I14*'Transmission Formula Rate (7)'!$B$27,0)</f>
        <v>0</v>
      </c>
      <c r="J15" s="449">
        <f>ROUND(J14*'Transmission Formula Rate (7)'!$B$27,0)</f>
        <v>0</v>
      </c>
      <c r="K15" s="449">
        <f>ROUND(K14*'Transmission Formula Rate (7)'!$B$27,0)</f>
        <v>0</v>
      </c>
      <c r="L15" s="449">
        <f>ROUND(L14*'Transmission Formula Rate (7)'!$B$27,0)</f>
        <v>0</v>
      </c>
      <c r="M15" s="449">
        <f>ROUND(M14*'Transmission Formula Rate (7)'!$B$27,0)</f>
        <v>0</v>
      </c>
      <c r="N15" s="444">
        <f>SUM(B15:M15)</f>
        <v>0</v>
      </c>
    </row>
    <row r="16" spans="1:14">
      <c r="A16" s="447" t="s">
        <v>419</v>
      </c>
      <c r="B16" s="449">
        <f t="shared" ref="B16:M16" si="1">B14+B15</f>
        <v>0</v>
      </c>
      <c r="C16" s="449">
        <f t="shared" si="1"/>
        <v>0</v>
      </c>
      <c r="D16" s="449">
        <f t="shared" si="1"/>
        <v>0</v>
      </c>
      <c r="E16" s="449">
        <f t="shared" si="1"/>
        <v>0</v>
      </c>
      <c r="F16" s="449">
        <f t="shared" si="1"/>
        <v>0</v>
      </c>
      <c r="G16" s="449">
        <f t="shared" si="1"/>
        <v>0</v>
      </c>
      <c r="H16" s="449">
        <f t="shared" si="1"/>
        <v>0</v>
      </c>
      <c r="I16" s="449">
        <f t="shared" si="1"/>
        <v>0</v>
      </c>
      <c r="J16" s="449">
        <f t="shared" si="1"/>
        <v>0</v>
      </c>
      <c r="K16" s="449">
        <f t="shared" si="1"/>
        <v>0</v>
      </c>
      <c r="L16" s="449">
        <f t="shared" si="1"/>
        <v>0</v>
      </c>
      <c r="M16" s="449">
        <f t="shared" si="1"/>
        <v>0</v>
      </c>
      <c r="N16" s="450">
        <f>SUM(B16:M16)</f>
        <v>0</v>
      </c>
    </row>
    <row r="17" spans="1:15">
      <c r="A17" s="443" t="s">
        <v>20</v>
      </c>
      <c r="B17" s="451">
        <f>'Transmission Formula Rate (7)'!B8</f>
        <v>1.59</v>
      </c>
      <c r="C17" s="451">
        <f>'Transmission Formula Rate (7)'!C8</f>
        <v>1.59</v>
      </c>
      <c r="D17" s="451">
        <f>'Transmission Formula Rate (7)'!D8</f>
        <v>1.59</v>
      </c>
      <c r="E17" s="451">
        <f>'Transmission Formula Rate (7)'!E8</f>
        <v>1.59</v>
      </c>
      <c r="F17" s="451">
        <f>'Transmission Formula Rate (7)'!F8</f>
        <v>1.59</v>
      </c>
      <c r="G17" s="451">
        <f>'Transmission Formula Rate (7)'!G8</f>
        <v>1.59</v>
      </c>
      <c r="H17" s="451">
        <f>'Transmission Formula Rate (7)'!H8</f>
        <v>1.59</v>
      </c>
      <c r="I17" s="451">
        <f>'Transmission Formula Rate (7)'!I8</f>
        <v>1.59</v>
      </c>
      <c r="J17" s="451">
        <f>'Transmission Formula Rate (7)'!J8</f>
        <v>1.59</v>
      </c>
      <c r="K17" s="451">
        <f>'Transmission Formula Rate (7)'!K8</f>
        <v>1.59</v>
      </c>
      <c r="L17" s="451">
        <f>'Transmission Formula Rate (7)'!L8</f>
        <v>1.59</v>
      </c>
      <c r="M17" s="451">
        <f>'Transmission Formula Rate (7)'!M8</f>
        <v>1.59</v>
      </c>
    </row>
    <row r="18" spans="1:15">
      <c r="A18" s="443" t="s">
        <v>17</v>
      </c>
      <c r="B18" s="444">
        <f t="shared" ref="B18:M18" si="2">B16*B17</f>
        <v>0</v>
      </c>
      <c r="C18" s="444">
        <f t="shared" si="2"/>
        <v>0</v>
      </c>
      <c r="D18" s="444">
        <f>D16*D17</f>
        <v>0</v>
      </c>
      <c r="E18" s="444">
        <f t="shared" si="2"/>
        <v>0</v>
      </c>
      <c r="F18" s="444">
        <f t="shared" si="2"/>
        <v>0</v>
      </c>
      <c r="G18" s="444">
        <f t="shared" si="2"/>
        <v>0</v>
      </c>
      <c r="H18" s="444">
        <f t="shared" si="2"/>
        <v>0</v>
      </c>
      <c r="I18" s="444">
        <f t="shared" si="2"/>
        <v>0</v>
      </c>
      <c r="J18" s="444">
        <f t="shared" si="2"/>
        <v>0</v>
      </c>
      <c r="K18" s="444">
        <f t="shared" si="2"/>
        <v>0</v>
      </c>
      <c r="L18" s="444">
        <f t="shared" si="2"/>
        <v>0</v>
      </c>
      <c r="M18" s="444">
        <f t="shared" si="2"/>
        <v>0</v>
      </c>
      <c r="N18" s="444">
        <f>SUM(B18:M18)</f>
        <v>0</v>
      </c>
    </row>
    <row r="19" spans="1:15">
      <c r="A19" s="446"/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</row>
    <row r="20" spans="1:15">
      <c r="A20" s="443" t="s">
        <v>141</v>
      </c>
    </row>
    <row r="21" spans="1:15">
      <c r="A21" s="447" t="s">
        <v>47</v>
      </c>
      <c r="B21" s="448">
        <f>B14</f>
        <v>0</v>
      </c>
      <c r="C21" s="448">
        <f t="shared" ref="C21:M21" si="3">C14</f>
        <v>0</v>
      </c>
      <c r="D21" s="448">
        <f t="shared" si="3"/>
        <v>0</v>
      </c>
      <c r="E21" s="448">
        <f t="shared" si="3"/>
        <v>0</v>
      </c>
      <c r="F21" s="448">
        <f t="shared" si="3"/>
        <v>0</v>
      </c>
      <c r="G21" s="448">
        <f t="shared" si="3"/>
        <v>0</v>
      </c>
      <c r="H21" s="448">
        <f t="shared" si="3"/>
        <v>0</v>
      </c>
      <c r="I21" s="448">
        <f t="shared" si="3"/>
        <v>0</v>
      </c>
      <c r="J21" s="448">
        <f t="shared" si="3"/>
        <v>0</v>
      </c>
      <c r="K21" s="448">
        <f t="shared" si="3"/>
        <v>0</v>
      </c>
      <c r="L21" s="448">
        <f t="shared" si="3"/>
        <v>0</v>
      </c>
      <c r="M21" s="448">
        <f t="shared" si="3"/>
        <v>0</v>
      </c>
      <c r="N21" s="444">
        <f>SUM(B21:M21)</f>
        <v>0</v>
      </c>
    </row>
    <row r="22" spans="1:15">
      <c r="A22" s="447" t="s">
        <v>45</v>
      </c>
      <c r="B22" s="449">
        <f>ROUND(B21*'Transmission Formula Rate (7)'!$B$27,0)</f>
        <v>0</v>
      </c>
      <c r="C22" s="449">
        <f>ROUND(C21*'Transmission Formula Rate (7)'!$B$27,0)</f>
        <v>0</v>
      </c>
      <c r="D22" s="449">
        <f>ROUND(D21*'Transmission Formula Rate (7)'!$B$27,0)</f>
        <v>0</v>
      </c>
      <c r="E22" s="449">
        <f>ROUND(E21*'Transmission Formula Rate (7)'!$B$27,0)</f>
        <v>0</v>
      </c>
      <c r="F22" s="449">
        <f>ROUND(F21*'Transmission Formula Rate (7)'!$B$27,0)</f>
        <v>0</v>
      </c>
      <c r="G22" s="449">
        <f>ROUND(G21*'Transmission Formula Rate (7)'!$B$27,0)</f>
        <v>0</v>
      </c>
      <c r="H22" s="449">
        <f>ROUND(H21*'Transmission Formula Rate (7)'!$B$27,0)</f>
        <v>0</v>
      </c>
      <c r="I22" s="449">
        <f>ROUND(I21*'Transmission Formula Rate (7)'!$B$27,0)</f>
        <v>0</v>
      </c>
      <c r="J22" s="449">
        <f>ROUND(J21*'Transmission Formula Rate (7)'!$B$27,0)</f>
        <v>0</v>
      </c>
      <c r="K22" s="449">
        <f>ROUND(K21*'Transmission Formula Rate (7)'!$B$27,0)</f>
        <v>0</v>
      </c>
      <c r="L22" s="449">
        <f>ROUND(L21*'Transmission Formula Rate (7)'!$B$27,0)</f>
        <v>0</v>
      </c>
      <c r="M22" s="449">
        <f>ROUND(M21*'Transmission Formula Rate (7)'!$B$27,0)</f>
        <v>0</v>
      </c>
      <c r="N22" s="444">
        <f>SUM(B22:M22)</f>
        <v>0</v>
      </c>
    </row>
    <row r="23" spans="1:15">
      <c r="A23" s="447" t="str">
        <f>$A$16</f>
        <v xml:space="preserve">       Georgia Transmission Load</v>
      </c>
      <c r="B23" s="449">
        <f>B21+B22</f>
        <v>0</v>
      </c>
      <c r="C23" s="449">
        <f t="shared" ref="C23:M23" si="4">C21+C22</f>
        <v>0</v>
      </c>
      <c r="D23" s="449">
        <f t="shared" si="4"/>
        <v>0</v>
      </c>
      <c r="E23" s="449">
        <f t="shared" si="4"/>
        <v>0</v>
      </c>
      <c r="F23" s="449">
        <f t="shared" si="4"/>
        <v>0</v>
      </c>
      <c r="G23" s="449">
        <f t="shared" si="4"/>
        <v>0</v>
      </c>
      <c r="H23" s="449">
        <f t="shared" si="4"/>
        <v>0</v>
      </c>
      <c r="I23" s="449">
        <f t="shared" si="4"/>
        <v>0</v>
      </c>
      <c r="J23" s="449">
        <f t="shared" si="4"/>
        <v>0</v>
      </c>
      <c r="K23" s="449">
        <f t="shared" si="4"/>
        <v>0</v>
      </c>
      <c r="L23" s="449">
        <f t="shared" si="4"/>
        <v>0</v>
      </c>
      <c r="M23" s="449">
        <f t="shared" si="4"/>
        <v>0</v>
      </c>
      <c r="N23" s="450">
        <f>SUM(B23:M23)</f>
        <v>0</v>
      </c>
    </row>
    <row r="24" spans="1:15">
      <c r="A24" s="443" t="s">
        <v>149</v>
      </c>
      <c r="B24" s="452">
        <f>'charges (1 &amp; 2)'!E33</f>
        <v>1.274E-2</v>
      </c>
      <c r="C24" s="452">
        <f>B24</f>
        <v>1.274E-2</v>
      </c>
      <c r="D24" s="452">
        <f t="shared" ref="D24:M24" si="5">C24</f>
        <v>1.274E-2</v>
      </c>
      <c r="E24" s="452">
        <f t="shared" si="5"/>
        <v>1.274E-2</v>
      </c>
      <c r="F24" s="452">
        <f t="shared" si="5"/>
        <v>1.274E-2</v>
      </c>
      <c r="G24" s="452">
        <f t="shared" si="5"/>
        <v>1.274E-2</v>
      </c>
      <c r="H24" s="452">
        <f t="shared" si="5"/>
        <v>1.274E-2</v>
      </c>
      <c r="I24" s="452">
        <f t="shared" si="5"/>
        <v>1.274E-2</v>
      </c>
      <c r="J24" s="452">
        <f t="shared" si="5"/>
        <v>1.274E-2</v>
      </c>
      <c r="K24" s="452">
        <f t="shared" si="5"/>
        <v>1.274E-2</v>
      </c>
      <c r="L24" s="452">
        <f t="shared" si="5"/>
        <v>1.274E-2</v>
      </c>
      <c r="M24" s="452">
        <f t="shared" si="5"/>
        <v>1.274E-2</v>
      </c>
    </row>
    <row r="25" spans="1:15">
      <c r="A25" s="443" t="s">
        <v>17</v>
      </c>
      <c r="B25" s="444">
        <f t="shared" ref="B25:M25" si="6">B23*B24</f>
        <v>0</v>
      </c>
      <c r="C25" s="444">
        <f t="shared" si="6"/>
        <v>0</v>
      </c>
      <c r="D25" s="444">
        <f t="shared" si="6"/>
        <v>0</v>
      </c>
      <c r="E25" s="444">
        <f t="shared" si="6"/>
        <v>0</v>
      </c>
      <c r="F25" s="444">
        <f t="shared" si="6"/>
        <v>0</v>
      </c>
      <c r="G25" s="444">
        <f t="shared" si="6"/>
        <v>0</v>
      </c>
      <c r="H25" s="444">
        <f t="shared" si="6"/>
        <v>0</v>
      </c>
      <c r="I25" s="444">
        <f t="shared" si="6"/>
        <v>0</v>
      </c>
      <c r="J25" s="444">
        <f t="shared" si="6"/>
        <v>0</v>
      </c>
      <c r="K25" s="444">
        <f t="shared" si="6"/>
        <v>0</v>
      </c>
      <c r="L25" s="444">
        <f t="shared" si="6"/>
        <v>0</v>
      </c>
      <c r="M25" s="444">
        <f t="shared" si="6"/>
        <v>0</v>
      </c>
      <c r="N25" s="444">
        <f>SUM(B25:M25)</f>
        <v>0</v>
      </c>
    </row>
    <row r="28" spans="1:15">
      <c r="B28" s="442" t="s">
        <v>0</v>
      </c>
      <c r="C28" s="442" t="s">
        <v>1</v>
      </c>
      <c r="D28" s="442" t="s">
        <v>2</v>
      </c>
      <c r="E28" s="442" t="s">
        <v>3</v>
      </c>
      <c r="F28" s="442" t="s">
        <v>4</v>
      </c>
      <c r="G28" s="442" t="s">
        <v>5</v>
      </c>
      <c r="H28" s="442" t="s">
        <v>6</v>
      </c>
      <c r="I28" s="442" t="s">
        <v>7</v>
      </c>
      <c r="J28" s="442" t="s">
        <v>8</v>
      </c>
      <c r="K28" s="442" t="s">
        <v>9</v>
      </c>
      <c r="L28" s="442" t="s">
        <v>10</v>
      </c>
      <c r="M28" s="442" t="s">
        <v>11</v>
      </c>
      <c r="N28" s="442" t="s">
        <v>12</v>
      </c>
    </row>
    <row r="29" spans="1:15">
      <c r="A29" s="446">
        <f>+A12+1</f>
        <v>2015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</row>
    <row r="30" spans="1:15">
      <c r="A30" s="443" t="s">
        <v>37</v>
      </c>
    </row>
    <row r="31" spans="1:15">
      <c r="A31" s="447" t="s">
        <v>47</v>
      </c>
      <c r="B31" s="448">
        <f>'[8]Table 1'!$C$18</f>
        <v>18000</v>
      </c>
      <c r="C31" s="448">
        <f>'[8]Table 1'!$C$18</f>
        <v>18000</v>
      </c>
      <c r="D31" s="448">
        <f>'[8]Table 1'!$C$18</f>
        <v>18000</v>
      </c>
      <c r="E31" s="448">
        <f>'[8]Table 1'!$C$18</f>
        <v>18000</v>
      </c>
      <c r="F31" s="448">
        <f>'[8]Table 1'!$C$18</f>
        <v>18000</v>
      </c>
      <c r="G31" s="448">
        <f>'[8]Table 1'!$C$13</f>
        <v>15000</v>
      </c>
      <c r="H31" s="448">
        <f>'[8]Table 1'!$C$13</f>
        <v>15000</v>
      </c>
      <c r="I31" s="448">
        <f>'[8]Table 1'!$C$13</f>
        <v>15000</v>
      </c>
      <c r="J31" s="448">
        <f>'[8]Table 1'!$C$13</f>
        <v>15000</v>
      </c>
      <c r="K31" s="448">
        <f>'[8]Table 1'!$C$18</f>
        <v>18000</v>
      </c>
      <c r="L31" s="448">
        <f>'[8]Table 1'!$C$18</f>
        <v>18000</v>
      </c>
      <c r="M31" s="448">
        <f>'[8]Table 1'!$C$18</f>
        <v>18000</v>
      </c>
      <c r="N31" s="444">
        <f>SUM(B31:M31)</f>
        <v>204000</v>
      </c>
      <c r="O31" s="437" t="s">
        <v>390</v>
      </c>
    </row>
    <row r="32" spans="1:15">
      <c r="A32" s="447" t="s">
        <v>45</v>
      </c>
      <c r="B32" s="449">
        <f>ROUND(B31*'Transmission Formula Rate (7)'!$B$27,0)</f>
        <v>333</v>
      </c>
      <c r="C32" s="449">
        <f>ROUND(C31*'Transmission Formula Rate (7)'!$B$27,0)</f>
        <v>333</v>
      </c>
      <c r="D32" s="449">
        <f>ROUND(D31*'Transmission Formula Rate (7)'!$B$27,0)</f>
        <v>333</v>
      </c>
      <c r="E32" s="449">
        <f>ROUND(E31*'Transmission Formula Rate (7)'!$B$27,0)</f>
        <v>333</v>
      </c>
      <c r="F32" s="449">
        <f>ROUND(F31*'Transmission Formula Rate (7)'!$B$27,0)</f>
        <v>333</v>
      </c>
      <c r="G32" s="449">
        <f>ROUND(G31*'Transmission Formula Rate (7)'!$B$27,0)</f>
        <v>278</v>
      </c>
      <c r="H32" s="449">
        <f>ROUND(H31*'Transmission Formula Rate (7)'!$B$27,0)</f>
        <v>278</v>
      </c>
      <c r="I32" s="449">
        <f>ROUND(I31*'Transmission Formula Rate (7)'!$B$27,0)</f>
        <v>278</v>
      </c>
      <c r="J32" s="449">
        <f>ROUND(J31*'Transmission Formula Rate (7)'!$B$27,0)</f>
        <v>278</v>
      </c>
      <c r="K32" s="449">
        <f>ROUND(K31*'Transmission Formula Rate (7)'!$B$27,0)</f>
        <v>333</v>
      </c>
      <c r="L32" s="449">
        <f>ROUND(L31*'Transmission Formula Rate (7)'!$B$27,0)</f>
        <v>333</v>
      </c>
      <c r="M32" s="449">
        <f>ROUND(M31*'Transmission Formula Rate (7)'!$B$27,0)</f>
        <v>333</v>
      </c>
      <c r="N32" s="444">
        <f>SUM(B32:M32)</f>
        <v>3776</v>
      </c>
      <c r="O32" s="437" t="s">
        <v>391</v>
      </c>
    </row>
    <row r="33" spans="1:14">
      <c r="A33" s="447" t="str">
        <f>$A$16</f>
        <v xml:space="preserve">       Georgia Transmission Load</v>
      </c>
      <c r="B33" s="449">
        <f t="shared" ref="B33:M33" si="7">B31+B32</f>
        <v>18333</v>
      </c>
      <c r="C33" s="449">
        <f t="shared" si="7"/>
        <v>18333</v>
      </c>
      <c r="D33" s="449">
        <f t="shared" si="7"/>
        <v>18333</v>
      </c>
      <c r="E33" s="449">
        <f t="shared" si="7"/>
        <v>18333</v>
      </c>
      <c r="F33" s="449">
        <f t="shared" si="7"/>
        <v>18333</v>
      </c>
      <c r="G33" s="449">
        <f t="shared" si="7"/>
        <v>15278</v>
      </c>
      <c r="H33" s="449">
        <f t="shared" si="7"/>
        <v>15278</v>
      </c>
      <c r="I33" s="449">
        <f t="shared" si="7"/>
        <v>15278</v>
      </c>
      <c r="J33" s="449">
        <f t="shared" si="7"/>
        <v>15278</v>
      </c>
      <c r="K33" s="449">
        <f t="shared" si="7"/>
        <v>18333</v>
      </c>
      <c r="L33" s="449">
        <f t="shared" si="7"/>
        <v>18333</v>
      </c>
      <c r="M33" s="449">
        <f t="shared" si="7"/>
        <v>18333</v>
      </c>
      <c r="N33" s="450">
        <f>SUM(B33:M33)</f>
        <v>207776</v>
      </c>
    </row>
    <row r="34" spans="1:14">
      <c r="A34" s="443" t="s">
        <v>20</v>
      </c>
      <c r="B34" s="451">
        <f>'Transmission Formula Rate (7)'!B10</f>
        <v>1.59</v>
      </c>
      <c r="C34" s="451">
        <f>'Transmission Formula Rate (7)'!C10</f>
        <v>1.59</v>
      </c>
      <c r="D34" s="451">
        <f>'Transmission Formula Rate (7)'!D10</f>
        <v>1.59</v>
      </c>
      <c r="E34" s="451">
        <f>'Transmission Formula Rate (7)'!E10</f>
        <v>1.59</v>
      </c>
      <c r="F34" s="451">
        <f>'Transmission Formula Rate (7)'!F10</f>
        <v>1.59</v>
      </c>
      <c r="G34" s="451">
        <f>'Transmission Formula Rate (7)'!G10</f>
        <v>1.59</v>
      </c>
      <c r="H34" s="451">
        <f>'Transmission Formula Rate (7)'!H10</f>
        <v>1.59</v>
      </c>
      <c r="I34" s="451">
        <f>'Transmission Formula Rate (7)'!I10</f>
        <v>1.59</v>
      </c>
      <c r="J34" s="451">
        <f>'Transmission Formula Rate (7)'!J10</f>
        <v>1.59</v>
      </c>
      <c r="K34" s="451">
        <f>'Transmission Formula Rate (7)'!K10</f>
        <v>1.59</v>
      </c>
      <c r="L34" s="451">
        <f>'Transmission Formula Rate (7)'!L10</f>
        <v>1.59</v>
      </c>
      <c r="M34" s="451">
        <f>'Transmission Formula Rate (7)'!M10</f>
        <v>1.59</v>
      </c>
    </row>
    <row r="35" spans="1:14">
      <c r="A35" s="443" t="s">
        <v>17</v>
      </c>
      <c r="B35" s="444">
        <f t="shared" ref="B35:M35" si="8">B33*B34</f>
        <v>29149.47</v>
      </c>
      <c r="C35" s="444">
        <f t="shared" si="8"/>
        <v>29149.47</v>
      </c>
      <c r="D35" s="444">
        <f t="shared" si="8"/>
        <v>29149.47</v>
      </c>
      <c r="E35" s="444">
        <f t="shared" si="8"/>
        <v>29149.47</v>
      </c>
      <c r="F35" s="444">
        <f t="shared" si="8"/>
        <v>29149.47</v>
      </c>
      <c r="G35" s="444">
        <f t="shared" si="8"/>
        <v>24292.02</v>
      </c>
      <c r="H35" s="444">
        <f t="shared" si="8"/>
        <v>24292.02</v>
      </c>
      <c r="I35" s="444">
        <f t="shared" si="8"/>
        <v>24292.02</v>
      </c>
      <c r="J35" s="444">
        <f t="shared" si="8"/>
        <v>24292.02</v>
      </c>
      <c r="K35" s="444">
        <f>K33*K34</f>
        <v>29149.47</v>
      </c>
      <c r="L35" s="444">
        <f t="shared" si="8"/>
        <v>29149.47</v>
      </c>
      <c r="M35" s="444">
        <f t="shared" si="8"/>
        <v>29149.47</v>
      </c>
      <c r="N35" s="444">
        <f>SUM(B35:M35)</f>
        <v>330363.83999999997</v>
      </c>
    </row>
    <row r="37" spans="1:14">
      <c r="A37" s="443" t="s">
        <v>141</v>
      </c>
    </row>
    <row r="38" spans="1:14">
      <c r="A38" s="447" t="s">
        <v>47</v>
      </c>
      <c r="B38" s="448">
        <f>B31</f>
        <v>18000</v>
      </c>
      <c r="C38" s="448">
        <f t="shared" ref="C38:M38" si="9">C31</f>
        <v>18000</v>
      </c>
      <c r="D38" s="448">
        <f t="shared" si="9"/>
        <v>18000</v>
      </c>
      <c r="E38" s="448">
        <f t="shared" si="9"/>
        <v>18000</v>
      </c>
      <c r="F38" s="448">
        <f t="shared" si="9"/>
        <v>18000</v>
      </c>
      <c r="G38" s="448">
        <f t="shared" si="9"/>
        <v>15000</v>
      </c>
      <c r="H38" s="448">
        <f t="shared" si="9"/>
        <v>15000</v>
      </c>
      <c r="I38" s="448">
        <f t="shared" si="9"/>
        <v>15000</v>
      </c>
      <c r="J38" s="448">
        <f t="shared" si="9"/>
        <v>15000</v>
      </c>
      <c r="K38" s="448">
        <f t="shared" si="9"/>
        <v>18000</v>
      </c>
      <c r="L38" s="448">
        <f t="shared" si="9"/>
        <v>18000</v>
      </c>
      <c r="M38" s="448">
        <f t="shared" si="9"/>
        <v>18000</v>
      </c>
      <c r="N38" s="444">
        <f>SUM(B38:M38)</f>
        <v>204000</v>
      </c>
    </row>
    <row r="39" spans="1:14">
      <c r="A39" s="447" t="s">
        <v>45</v>
      </c>
      <c r="B39" s="449">
        <f>ROUND(B38*'Transmission Formula Rate (7)'!$B$27,0)</f>
        <v>333</v>
      </c>
      <c r="C39" s="449">
        <f>ROUND(C38*'Transmission Formula Rate (7)'!$B$27,0)</f>
        <v>333</v>
      </c>
      <c r="D39" s="449">
        <f>ROUND(D38*'Transmission Formula Rate (7)'!$B$27,0)</f>
        <v>333</v>
      </c>
      <c r="E39" s="449">
        <f>ROUND(E38*'Transmission Formula Rate (7)'!$B$27,0)</f>
        <v>333</v>
      </c>
      <c r="F39" s="449">
        <f>ROUND(F38*'Transmission Formula Rate (7)'!$B$27,0)</f>
        <v>333</v>
      </c>
      <c r="G39" s="449">
        <f>ROUND(G38*'Transmission Formula Rate (7)'!$B$27,0)</f>
        <v>278</v>
      </c>
      <c r="H39" s="449">
        <f>ROUND(H38*'Transmission Formula Rate (7)'!$B$27,0)</f>
        <v>278</v>
      </c>
      <c r="I39" s="449">
        <f>ROUND(I38*'Transmission Formula Rate (7)'!$B$27,0)</f>
        <v>278</v>
      </c>
      <c r="J39" s="449">
        <f>ROUND(J38*'Transmission Formula Rate (7)'!$B$27,0)</f>
        <v>278</v>
      </c>
      <c r="K39" s="449">
        <f>ROUND(K38*'Transmission Formula Rate (7)'!$B$27,0)</f>
        <v>333</v>
      </c>
      <c r="L39" s="449">
        <f>ROUND(L38*'Transmission Formula Rate (7)'!$B$27,0)</f>
        <v>333</v>
      </c>
      <c r="M39" s="449">
        <f>ROUND(M38*'Transmission Formula Rate (7)'!$B$27,0)</f>
        <v>333</v>
      </c>
      <c r="N39" s="444">
        <f>SUM(B39:M39)</f>
        <v>3776</v>
      </c>
    </row>
    <row r="40" spans="1:14">
      <c r="A40" s="447" t="str">
        <f>$A$16</f>
        <v xml:space="preserve">       Georgia Transmission Load</v>
      </c>
      <c r="B40" s="449">
        <f t="shared" ref="B40:M40" si="10">B38+B39</f>
        <v>18333</v>
      </c>
      <c r="C40" s="449">
        <f t="shared" si="10"/>
        <v>18333</v>
      </c>
      <c r="D40" s="449">
        <f t="shared" si="10"/>
        <v>18333</v>
      </c>
      <c r="E40" s="449">
        <f t="shared" si="10"/>
        <v>18333</v>
      </c>
      <c r="F40" s="449">
        <f t="shared" si="10"/>
        <v>18333</v>
      </c>
      <c r="G40" s="449">
        <f t="shared" si="10"/>
        <v>15278</v>
      </c>
      <c r="H40" s="449">
        <f t="shared" si="10"/>
        <v>15278</v>
      </c>
      <c r="I40" s="449">
        <f t="shared" si="10"/>
        <v>15278</v>
      </c>
      <c r="J40" s="449">
        <f t="shared" si="10"/>
        <v>15278</v>
      </c>
      <c r="K40" s="449">
        <f t="shared" si="10"/>
        <v>18333</v>
      </c>
      <c r="L40" s="449">
        <f t="shared" si="10"/>
        <v>18333</v>
      </c>
      <c r="M40" s="449">
        <f t="shared" si="10"/>
        <v>18333</v>
      </c>
      <c r="N40" s="450">
        <f>SUM(B40:M40)</f>
        <v>207776</v>
      </c>
    </row>
    <row r="41" spans="1:14">
      <c r="A41" s="443" t="s">
        <v>149</v>
      </c>
      <c r="B41" s="452">
        <f>'charges (1 &amp; 2)'!F33</f>
        <v>1.274E-2</v>
      </c>
      <c r="C41" s="452">
        <f>B41</f>
        <v>1.274E-2</v>
      </c>
      <c r="D41" s="452">
        <f t="shared" ref="D41:M41" si="11">C41</f>
        <v>1.274E-2</v>
      </c>
      <c r="E41" s="452">
        <f t="shared" si="11"/>
        <v>1.274E-2</v>
      </c>
      <c r="F41" s="452">
        <f t="shared" si="11"/>
        <v>1.274E-2</v>
      </c>
      <c r="G41" s="452">
        <f t="shared" si="11"/>
        <v>1.274E-2</v>
      </c>
      <c r="H41" s="452">
        <f t="shared" si="11"/>
        <v>1.274E-2</v>
      </c>
      <c r="I41" s="452">
        <f t="shared" si="11"/>
        <v>1.274E-2</v>
      </c>
      <c r="J41" s="452">
        <f t="shared" si="11"/>
        <v>1.274E-2</v>
      </c>
      <c r="K41" s="452">
        <f t="shared" si="11"/>
        <v>1.274E-2</v>
      </c>
      <c r="L41" s="452">
        <f t="shared" si="11"/>
        <v>1.274E-2</v>
      </c>
      <c r="M41" s="452">
        <f t="shared" si="11"/>
        <v>1.274E-2</v>
      </c>
    </row>
    <row r="42" spans="1:14">
      <c r="A42" s="443" t="s">
        <v>17</v>
      </c>
      <c r="B42" s="444">
        <f t="shared" ref="B42:M42" si="12">B40*B41</f>
        <v>233.56242</v>
      </c>
      <c r="C42" s="444">
        <f t="shared" si="12"/>
        <v>233.56242</v>
      </c>
      <c r="D42" s="444">
        <f t="shared" si="12"/>
        <v>233.56242</v>
      </c>
      <c r="E42" s="444">
        <f t="shared" si="12"/>
        <v>233.56242</v>
      </c>
      <c r="F42" s="444">
        <f t="shared" si="12"/>
        <v>233.56242</v>
      </c>
      <c r="G42" s="444">
        <f t="shared" si="12"/>
        <v>194.64171999999999</v>
      </c>
      <c r="H42" s="444">
        <f t="shared" si="12"/>
        <v>194.64171999999999</v>
      </c>
      <c r="I42" s="444">
        <f t="shared" si="12"/>
        <v>194.64171999999999</v>
      </c>
      <c r="J42" s="444">
        <f t="shared" si="12"/>
        <v>194.64171999999999</v>
      </c>
      <c r="K42" s="444">
        <f t="shared" si="12"/>
        <v>233.56242</v>
      </c>
      <c r="L42" s="444">
        <f t="shared" si="12"/>
        <v>233.56242</v>
      </c>
      <c r="M42" s="444">
        <f t="shared" si="12"/>
        <v>233.56242</v>
      </c>
      <c r="N42" s="444">
        <f>SUM(B42:M42)</f>
        <v>2647.066240000001</v>
      </c>
    </row>
    <row r="43" spans="1:14">
      <c r="A43" s="443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</row>
    <row r="44" spans="1:14">
      <c r="A44" s="443" t="s">
        <v>38</v>
      </c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</row>
    <row r="45" spans="1:14">
      <c r="A45" s="447" t="s">
        <v>47</v>
      </c>
      <c r="B45" s="448">
        <f>B31</f>
        <v>18000</v>
      </c>
      <c r="C45" s="448">
        <f t="shared" ref="C45:M45" si="13">C31</f>
        <v>18000</v>
      </c>
      <c r="D45" s="448">
        <f t="shared" si="13"/>
        <v>18000</v>
      </c>
      <c r="E45" s="448">
        <f t="shared" si="13"/>
        <v>18000</v>
      </c>
      <c r="F45" s="448">
        <f t="shared" si="13"/>
        <v>18000</v>
      </c>
      <c r="G45" s="448">
        <f t="shared" si="13"/>
        <v>15000</v>
      </c>
      <c r="H45" s="448">
        <f t="shared" si="13"/>
        <v>15000</v>
      </c>
      <c r="I45" s="448">
        <f t="shared" si="13"/>
        <v>15000</v>
      </c>
      <c r="J45" s="448">
        <f t="shared" si="13"/>
        <v>15000</v>
      </c>
      <c r="K45" s="448">
        <f t="shared" si="13"/>
        <v>18000</v>
      </c>
      <c r="L45" s="448">
        <f t="shared" si="13"/>
        <v>18000</v>
      </c>
      <c r="M45" s="448">
        <f t="shared" si="13"/>
        <v>18000</v>
      </c>
      <c r="N45" s="444">
        <f>SUM(B45:M45)</f>
        <v>204000</v>
      </c>
    </row>
    <row r="46" spans="1:14">
      <c r="A46" s="447" t="s">
        <v>45</v>
      </c>
      <c r="B46" s="449">
        <f>ROUND(B45*'Transmission Formula Rate (7)'!$B$27,0)</f>
        <v>333</v>
      </c>
      <c r="C46" s="449">
        <f>ROUND(C45*'Transmission Formula Rate (7)'!$B$27,0)</f>
        <v>333</v>
      </c>
      <c r="D46" s="449">
        <f>ROUND(D45*'Transmission Formula Rate (7)'!$B$27,0)</f>
        <v>333</v>
      </c>
      <c r="E46" s="449">
        <f>ROUND(E45*'Transmission Formula Rate (7)'!$B$27,0)</f>
        <v>333</v>
      </c>
      <c r="F46" s="449">
        <f>ROUND(F45*'Transmission Formula Rate (7)'!$B$27,0)</f>
        <v>333</v>
      </c>
      <c r="G46" s="449">
        <f>ROUND(G45*'Transmission Formula Rate (7)'!$B$27,0)</f>
        <v>278</v>
      </c>
      <c r="H46" s="449">
        <f>ROUND(H45*'Transmission Formula Rate (7)'!$B$27,0)</f>
        <v>278</v>
      </c>
      <c r="I46" s="449">
        <f>ROUND(I45*'Transmission Formula Rate (7)'!$B$27,0)</f>
        <v>278</v>
      </c>
      <c r="J46" s="449">
        <f>ROUND(J45*'Transmission Formula Rate (7)'!$B$27,0)</f>
        <v>278</v>
      </c>
      <c r="K46" s="449">
        <f>ROUND(K45*'Transmission Formula Rate (7)'!$B$27,0)</f>
        <v>333</v>
      </c>
      <c r="L46" s="449">
        <f>ROUND(L45*'Transmission Formula Rate (7)'!$B$27,0)</f>
        <v>333</v>
      </c>
      <c r="M46" s="449">
        <f>ROUND(M45*'Transmission Formula Rate (7)'!$B$27,0)</f>
        <v>333</v>
      </c>
      <c r="N46" s="444">
        <f t="shared" ref="N46:N49" si="14">SUM(B46:M46)</f>
        <v>3776</v>
      </c>
    </row>
    <row r="47" spans="1:14">
      <c r="A47" s="447" t="str">
        <f>$A$16</f>
        <v xml:space="preserve">       Georgia Transmission Load</v>
      </c>
      <c r="B47" s="449">
        <f>B45+B46</f>
        <v>18333</v>
      </c>
      <c r="C47" s="449">
        <f t="shared" ref="C47:M47" si="15">C45+C46</f>
        <v>18333</v>
      </c>
      <c r="D47" s="449">
        <f t="shared" si="15"/>
        <v>18333</v>
      </c>
      <c r="E47" s="449">
        <f t="shared" si="15"/>
        <v>18333</v>
      </c>
      <c r="F47" s="449">
        <f t="shared" si="15"/>
        <v>18333</v>
      </c>
      <c r="G47" s="449">
        <f t="shared" si="15"/>
        <v>15278</v>
      </c>
      <c r="H47" s="449">
        <f t="shared" si="15"/>
        <v>15278</v>
      </c>
      <c r="I47" s="449">
        <f t="shared" si="15"/>
        <v>15278</v>
      </c>
      <c r="J47" s="449">
        <f t="shared" si="15"/>
        <v>15278</v>
      </c>
      <c r="K47" s="449">
        <f t="shared" si="15"/>
        <v>18333</v>
      </c>
      <c r="L47" s="449">
        <f t="shared" si="15"/>
        <v>18333</v>
      </c>
      <c r="M47" s="449">
        <f t="shared" si="15"/>
        <v>18333</v>
      </c>
      <c r="N47" s="450">
        <f t="shared" si="14"/>
        <v>207776</v>
      </c>
    </row>
    <row r="48" spans="1:14">
      <c r="A48" s="443" t="s">
        <v>150</v>
      </c>
      <c r="B48" s="452">
        <f>'charges (1 &amp; 2)'!D11</f>
        <v>0.1008</v>
      </c>
      <c r="C48" s="452">
        <f>B48</f>
        <v>0.1008</v>
      </c>
      <c r="D48" s="452">
        <f t="shared" ref="D48:M48" si="16">C48</f>
        <v>0.1008</v>
      </c>
      <c r="E48" s="452">
        <f t="shared" si="16"/>
        <v>0.1008</v>
      </c>
      <c r="F48" s="452">
        <f t="shared" si="16"/>
        <v>0.1008</v>
      </c>
      <c r="G48" s="452">
        <f t="shared" si="16"/>
        <v>0.1008</v>
      </c>
      <c r="H48" s="452">
        <f t="shared" si="16"/>
        <v>0.1008</v>
      </c>
      <c r="I48" s="452">
        <f t="shared" si="16"/>
        <v>0.1008</v>
      </c>
      <c r="J48" s="452">
        <f t="shared" si="16"/>
        <v>0.1008</v>
      </c>
      <c r="K48" s="452">
        <f t="shared" si="16"/>
        <v>0.1008</v>
      </c>
      <c r="L48" s="452">
        <f t="shared" si="16"/>
        <v>0.1008</v>
      </c>
      <c r="M48" s="452">
        <f t="shared" si="16"/>
        <v>0.1008</v>
      </c>
      <c r="N48" s="444"/>
    </row>
    <row r="49" spans="1:14">
      <c r="A49" s="443" t="s">
        <v>17</v>
      </c>
      <c r="B49" s="444">
        <f t="shared" ref="B49:M49" si="17">B47*B48</f>
        <v>1847.9664</v>
      </c>
      <c r="C49" s="444">
        <f t="shared" si="17"/>
        <v>1847.9664</v>
      </c>
      <c r="D49" s="444">
        <f t="shared" si="17"/>
        <v>1847.9664</v>
      </c>
      <c r="E49" s="444">
        <f t="shared" si="17"/>
        <v>1847.9664</v>
      </c>
      <c r="F49" s="444">
        <f t="shared" si="17"/>
        <v>1847.9664</v>
      </c>
      <c r="G49" s="444">
        <f t="shared" si="17"/>
        <v>1540.0224000000001</v>
      </c>
      <c r="H49" s="444">
        <f t="shared" si="17"/>
        <v>1540.0224000000001</v>
      </c>
      <c r="I49" s="444">
        <f t="shared" si="17"/>
        <v>1540.0224000000001</v>
      </c>
      <c r="J49" s="444">
        <f t="shared" si="17"/>
        <v>1540.0224000000001</v>
      </c>
      <c r="K49" s="444">
        <f t="shared" si="17"/>
        <v>1847.9664</v>
      </c>
      <c r="L49" s="444">
        <f t="shared" si="17"/>
        <v>1847.9664</v>
      </c>
      <c r="M49" s="444">
        <f t="shared" si="17"/>
        <v>1847.9664</v>
      </c>
      <c r="N49" s="444">
        <f t="shared" si="14"/>
        <v>20943.820800000001</v>
      </c>
    </row>
    <row r="50" spans="1:14">
      <c r="A50" s="443"/>
    </row>
    <row r="51" spans="1:14">
      <c r="B51" s="442" t="s">
        <v>0</v>
      </c>
      <c r="C51" s="442" t="s">
        <v>1</v>
      </c>
      <c r="D51" s="442" t="s">
        <v>2</v>
      </c>
      <c r="E51" s="442" t="s">
        <v>3</v>
      </c>
      <c r="F51" s="442" t="s">
        <v>4</v>
      </c>
      <c r="G51" s="442" t="s">
        <v>5</v>
      </c>
      <c r="H51" s="442" t="s">
        <v>6</v>
      </c>
      <c r="I51" s="442" t="s">
        <v>7</v>
      </c>
      <c r="J51" s="442" t="s">
        <v>8</v>
      </c>
      <c r="K51" s="442" t="s">
        <v>9</v>
      </c>
      <c r="L51" s="442" t="s">
        <v>10</v>
      </c>
      <c r="M51" s="442" t="s">
        <v>11</v>
      </c>
      <c r="N51" s="442" t="s">
        <v>12</v>
      </c>
    </row>
    <row r="52" spans="1:14">
      <c r="A52" s="446">
        <f>+A29+1</f>
        <v>2016</v>
      </c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</row>
    <row r="53" spans="1:14">
      <c r="A53" s="443" t="s">
        <v>37</v>
      </c>
    </row>
    <row r="54" spans="1:14">
      <c r="A54" s="447" t="s">
        <v>47</v>
      </c>
      <c r="B54" s="448">
        <f>'[8]Table 1'!$C$18</f>
        <v>18000</v>
      </c>
      <c r="C54" s="448">
        <f>'[8]Table 1'!$C$18</f>
        <v>18000</v>
      </c>
      <c r="D54" s="448">
        <f>'[8]Table 1'!$C$18</f>
        <v>18000</v>
      </c>
      <c r="E54" s="448">
        <f>'[8]Table 1'!$C$18</f>
        <v>18000</v>
      </c>
      <c r="F54" s="448">
        <f>'[8]Table 1'!$C$18</f>
        <v>18000</v>
      </c>
      <c r="G54" s="448">
        <f>'[8]Table 1'!$D$13</f>
        <v>15450</v>
      </c>
      <c r="H54" s="448">
        <f>'[8]Table 1'!$D$13</f>
        <v>15450</v>
      </c>
      <c r="I54" s="448">
        <f>'[8]Table 1'!$D$13</f>
        <v>15450</v>
      </c>
      <c r="J54" s="448">
        <f>'[8]Table 1'!$D$13</f>
        <v>15450</v>
      </c>
      <c r="K54" s="448">
        <f>'[8]Table 1'!$D$18</f>
        <v>18450</v>
      </c>
      <c r="L54" s="448">
        <f>'[8]Table 1'!$D$18</f>
        <v>18450</v>
      </c>
      <c r="M54" s="448">
        <f>'[8]Table 1'!$D$18</f>
        <v>18450</v>
      </c>
      <c r="N54" s="444">
        <f>SUM(B54:M54)</f>
        <v>207150</v>
      </c>
    </row>
    <row r="55" spans="1:14">
      <c r="A55" s="447" t="s">
        <v>45</v>
      </c>
      <c r="B55" s="449">
        <f>ROUND(B54*'Transmission Formula Rate (7)'!$B$27,0)</f>
        <v>333</v>
      </c>
      <c r="C55" s="449">
        <f>ROUND(C54*'Transmission Formula Rate (7)'!$B$27,0)</f>
        <v>333</v>
      </c>
      <c r="D55" s="449">
        <f>ROUND(D54*'Transmission Formula Rate (7)'!$B$27,0)</f>
        <v>333</v>
      </c>
      <c r="E55" s="449">
        <f>ROUND(E54*'Transmission Formula Rate (7)'!$B$27,0)</f>
        <v>333</v>
      </c>
      <c r="F55" s="449">
        <f>ROUND(F54*'Transmission Formula Rate (7)'!$B$27,0)</f>
        <v>333</v>
      </c>
      <c r="G55" s="449">
        <f>ROUND(G54*'Transmission Formula Rate (7)'!$B$27,0)</f>
        <v>286</v>
      </c>
      <c r="H55" s="449">
        <f>ROUND(H54*'Transmission Formula Rate (7)'!$B$27,0)</f>
        <v>286</v>
      </c>
      <c r="I55" s="449">
        <f>ROUND(I54*'Transmission Formula Rate (7)'!$B$27,0)</f>
        <v>286</v>
      </c>
      <c r="J55" s="449">
        <f>ROUND(J54*'Transmission Formula Rate (7)'!$B$27,0)</f>
        <v>286</v>
      </c>
      <c r="K55" s="449">
        <f>ROUND(K54*'Transmission Formula Rate (7)'!$B$27,0)</f>
        <v>341</v>
      </c>
      <c r="L55" s="449">
        <f>ROUND(L54*'Transmission Formula Rate (7)'!$B$27,0)</f>
        <v>341</v>
      </c>
      <c r="M55" s="449">
        <f>ROUND(M54*'Transmission Formula Rate (7)'!$B$27,0)</f>
        <v>341</v>
      </c>
      <c r="N55" s="444">
        <f>SUM(B55:M55)</f>
        <v>3832</v>
      </c>
    </row>
    <row r="56" spans="1:14">
      <c r="A56" s="447" t="str">
        <f>$A$16</f>
        <v xml:space="preserve">       Georgia Transmission Load</v>
      </c>
      <c r="B56" s="449">
        <f t="shared" ref="B56:M56" si="18">B54+B55</f>
        <v>18333</v>
      </c>
      <c r="C56" s="449">
        <f t="shared" si="18"/>
        <v>18333</v>
      </c>
      <c r="D56" s="449">
        <f t="shared" si="18"/>
        <v>18333</v>
      </c>
      <c r="E56" s="449">
        <f t="shared" si="18"/>
        <v>18333</v>
      </c>
      <c r="F56" s="449">
        <f t="shared" si="18"/>
        <v>18333</v>
      </c>
      <c r="G56" s="449">
        <f t="shared" si="18"/>
        <v>15736</v>
      </c>
      <c r="H56" s="449">
        <f t="shared" si="18"/>
        <v>15736</v>
      </c>
      <c r="I56" s="449">
        <f t="shared" si="18"/>
        <v>15736</v>
      </c>
      <c r="J56" s="449">
        <f t="shared" si="18"/>
        <v>15736</v>
      </c>
      <c r="K56" s="449">
        <f t="shared" si="18"/>
        <v>18791</v>
      </c>
      <c r="L56" s="449">
        <f t="shared" si="18"/>
        <v>18791</v>
      </c>
      <c r="M56" s="449">
        <f t="shared" si="18"/>
        <v>18791</v>
      </c>
      <c r="N56" s="450">
        <f>SUM(B56:M56)</f>
        <v>210982</v>
      </c>
    </row>
    <row r="57" spans="1:14">
      <c r="A57" s="443" t="s">
        <v>20</v>
      </c>
      <c r="B57" s="451">
        <f>'Transmission Formula Rate (7)'!B12</f>
        <v>1.59</v>
      </c>
      <c r="C57" s="451">
        <f>'Transmission Formula Rate (7)'!C12</f>
        <v>1.59</v>
      </c>
      <c r="D57" s="451">
        <f>'Transmission Formula Rate (7)'!D12</f>
        <v>1.59</v>
      </c>
      <c r="E57" s="451">
        <f>'Transmission Formula Rate (7)'!E12</f>
        <v>1.59</v>
      </c>
      <c r="F57" s="451">
        <f>'Transmission Formula Rate (7)'!F12</f>
        <v>1.59</v>
      </c>
      <c r="G57" s="451">
        <f>'Transmission Formula Rate (7)'!G12</f>
        <v>1.59</v>
      </c>
      <c r="H57" s="451">
        <f>'Transmission Formula Rate (7)'!H12</f>
        <v>1.59</v>
      </c>
      <c r="I57" s="451">
        <f>'Transmission Formula Rate (7)'!I12</f>
        <v>1.59</v>
      </c>
      <c r="J57" s="451">
        <f>'Transmission Formula Rate (7)'!J12</f>
        <v>1.59</v>
      </c>
      <c r="K57" s="451">
        <f>'Transmission Formula Rate (7)'!K12</f>
        <v>1.59</v>
      </c>
      <c r="L57" s="451">
        <f>'Transmission Formula Rate (7)'!L12</f>
        <v>1.59</v>
      </c>
      <c r="M57" s="451">
        <f>'Transmission Formula Rate (7)'!M12</f>
        <v>1.59</v>
      </c>
    </row>
    <row r="58" spans="1:14">
      <c r="A58" s="443" t="s">
        <v>17</v>
      </c>
      <c r="B58" s="444">
        <f t="shared" ref="B58:M58" si="19">B56*B57</f>
        <v>29149.47</v>
      </c>
      <c r="C58" s="444">
        <f t="shared" si="19"/>
        <v>29149.47</v>
      </c>
      <c r="D58" s="444">
        <f t="shared" si="19"/>
        <v>29149.47</v>
      </c>
      <c r="E58" s="444">
        <f t="shared" si="19"/>
        <v>29149.47</v>
      </c>
      <c r="F58" s="444">
        <f t="shared" si="19"/>
        <v>29149.47</v>
      </c>
      <c r="G58" s="444">
        <f t="shared" si="19"/>
        <v>25020.240000000002</v>
      </c>
      <c r="H58" s="444">
        <f t="shared" si="19"/>
        <v>25020.240000000002</v>
      </c>
      <c r="I58" s="444">
        <f t="shared" si="19"/>
        <v>25020.240000000002</v>
      </c>
      <c r="J58" s="444">
        <f t="shared" si="19"/>
        <v>25020.240000000002</v>
      </c>
      <c r="K58" s="444">
        <f t="shared" si="19"/>
        <v>29877.690000000002</v>
      </c>
      <c r="L58" s="444">
        <f t="shared" si="19"/>
        <v>29877.690000000002</v>
      </c>
      <c r="M58" s="444">
        <f t="shared" si="19"/>
        <v>29877.690000000002</v>
      </c>
      <c r="N58" s="444">
        <f>SUM(B58:M58)</f>
        <v>335461.38</v>
      </c>
    </row>
    <row r="60" spans="1:14">
      <c r="A60" s="443" t="s">
        <v>141</v>
      </c>
    </row>
    <row r="61" spans="1:14">
      <c r="A61" s="447" t="s">
        <v>47</v>
      </c>
      <c r="B61" s="448">
        <f>B54</f>
        <v>18000</v>
      </c>
      <c r="C61" s="448">
        <f t="shared" ref="C61:M61" si="20">C54</f>
        <v>18000</v>
      </c>
      <c r="D61" s="448">
        <f t="shared" si="20"/>
        <v>18000</v>
      </c>
      <c r="E61" s="448">
        <f t="shared" si="20"/>
        <v>18000</v>
      </c>
      <c r="F61" s="448">
        <f t="shared" si="20"/>
        <v>18000</v>
      </c>
      <c r="G61" s="448">
        <f t="shared" si="20"/>
        <v>15450</v>
      </c>
      <c r="H61" s="448">
        <f t="shared" si="20"/>
        <v>15450</v>
      </c>
      <c r="I61" s="448">
        <f t="shared" si="20"/>
        <v>15450</v>
      </c>
      <c r="J61" s="448">
        <f t="shared" si="20"/>
        <v>15450</v>
      </c>
      <c r="K61" s="448">
        <f t="shared" si="20"/>
        <v>18450</v>
      </c>
      <c r="L61" s="448">
        <f t="shared" si="20"/>
        <v>18450</v>
      </c>
      <c r="M61" s="448">
        <f t="shared" si="20"/>
        <v>18450</v>
      </c>
      <c r="N61" s="444">
        <f>SUM(B61:M61)</f>
        <v>207150</v>
      </c>
    </row>
    <row r="62" spans="1:14">
      <c r="A62" s="447" t="s">
        <v>45</v>
      </c>
      <c r="B62" s="449">
        <f>ROUND(B61*'Transmission Formula Rate (7)'!$B$27,0)</f>
        <v>333</v>
      </c>
      <c r="C62" s="449">
        <f>ROUND(C61*'Transmission Formula Rate (7)'!$B$27,0)</f>
        <v>333</v>
      </c>
      <c r="D62" s="449">
        <f>ROUND(D61*'Transmission Formula Rate (7)'!$B$27,0)</f>
        <v>333</v>
      </c>
      <c r="E62" s="449">
        <f>ROUND(E61*'Transmission Formula Rate (7)'!$B$27,0)</f>
        <v>333</v>
      </c>
      <c r="F62" s="449">
        <f>ROUND(F61*'Transmission Formula Rate (7)'!$B$27,0)</f>
        <v>333</v>
      </c>
      <c r="G62" s="449">
        <f>ROUND(G61*'Transmission Formula Rate (7)'!$B$27,0)</f>
        <v>286</v>
      </c>
      <c r="H62" s="449">
        <f>ROUND(H61*'Transmission Formula Rate (7)'!$B$27,0)</f>
        <v>286</v>
      </c>
      <c r="I62" s="449">
        <f>ROUND(I61*'Transmission Formula Rate (7)'!$B$27,0)</f>
        <v>286</v>
      </c>
      <c r="J62" s="449">
        <f>ROUND(J61*'Transmission Formula Rate (7)'!$B$27,0)</f>
        <v>286</v>
      </c>
      <c r="K62" s="449">
        <f>ROUND(K61*'Transmission Formula Rate (7)'!$B$27,0)</f>
        <v>341</v>
      </c>
      <c r="L62" s="449">
        <f>ROUND(L61*'Transmission Formula Rate (7)'!$B$27,0)</f>
        <v>341</v>
      </c>
      <c r="M62" s="449">
        <f>ROUND(M61*'Transmission Formula Rate (7)'!$B$27,0)</f>
        <v>341</v>
      </c>
      <c r="N62" s="444">
        <f>SUM(B62:M62)</f>
        <v>3832</v>
      </c>
    </row>
    <row r="63" spans="1:14">
      <c r="A63" s="447" t="str">
        <f>$A$16</f>
        <v xml:space="preserve">       Georgia Transmission Load</v>
      </c>
      <c r="B63" s="449">
        <f t="shared" ref="B63:M63" si="21">B61+B62</f>
        <v>18333</v>
      </c>
      <c r="C63" s="449">
        <f t="shared" si="21"/>
        <v>18333</v>
      </c>
      <c r="D63" s="449">
        <f t="shared" si="21"/>
        <v>18333</v>
      </c>
      <c r="E63" s="449">
        <f t="shared" si="21"/>
        <v>18333</v>
      </c>
      <c r="F63" s="449">
        <f t="shared" si="21"/>
        <v>18333</v>
      </c>
      <c r="G63" s="449">
        <f t="shared" si="21"/>
        <v>15736</v>
      </c>
      <c r="H63" s="449">
        <f t="shared" si="21"/>
        <v>15736</v>
      </c>
      <c r="I63" s="449">
        <f t="shared" si="21"/>
        <v>15736</v>
      </c>
      <c r="J63" s="449">
        <f t="shared" si="21"/>
        <v>15736</v>
      </c>
      <c r="K63" s="449">
        <f t="shared" si="21"/>
        <v>18791</v>
      </c>
      <c r="L63" s="449">
        <f t="shared" si="21"/>
        <v>18791</v>
      </c>
      <c r="M63" s="449">
        <f t="shared" si="21"/>
        <v>18791</v>
      </c>
      <c r="N63" s="450">
        <f>SUM(B63:M63)</f>
        <v>210982</v>
      </c>
    </row>
    <row r="64" spans="1:14">
      <c r="A64" s="443" t="s">
        <v>149</v>
      </c>
      <c r="B64" s="452">
        <f>'charges (1 &amp; 2)'!G33</f>
        <v>1.274E-2</v>
      </c>
      <c r="C64" s="452">
        <f>B64</f>
        <v>1.274E-2</v>
      </c>
      <c r="D64" s="452">
        <f t="shared" ref="D64:M64" si="22">C64</f>
        <v>1.274E-2</v>
      </c>
      <c r="E64" s="452">
        <f t="shared" si="22"/>
        <v>1.274E-2</v>
      </c>
      <c r="F64" s="452">
        <f t="shared" si="22"/>
        <v>1.274E-2</v>
      </c>
      <c r="G64" s="452">
        <f t="shared" si="22"/>
        <v>1.274E-2</v>
      </c>
      <c r="H64" s="452">
        <f t="shared" si="22"/>
        <v>1.274E-2</v>
      </c>
      <c r="I64" s="452">
        <f t="shared" si="22"/>
        <v>1.274E-2</v>
      </c>
      <c r="J64" s="452">
        <f t="shared" si="22"/>
        <v>1.274E-2</v>
      </c>
      <c r="K64" s="452">
        <f t="shared" si="22"/>
        <v>1.274E-2</v>
      </c>
      <c r="L64" s="452">
        <f t="shared" si="22"/>
        <v>1.274E-2</v>
      </c>
      <c r="M64" s="452">
        <f t="shared" si="22"/>
        <v>1.274E-2</v>
      </c>
    </row>
    <row r="65" spans="1:15">
      <c r="A65" s="443" t="s">
        <v>17</v>
      </c>
      <c r="B65" s="444">
        <f t="shared" ref="B65:M65" si="23">B63*B64</f>
        <v>233.56242</v>
      </c>
      <c r="C65" s="444">
        <f t="shared" si="23"/>
        <v>233.56242</v>
      </c>
      <c r="D65" s="444">
        <f t="shared" si="23"/>
        <v>233.56242</v>
      </c>
      <c r="E65" s="444">
        <f t="shared" si="23"/>
        <v>233.56242</v>
      </c>
      <c r="F65" s="444">
        <f t="shared" si="23"/>
        <v>233.56242</v>
      </c>
      <c r="G65" s="444">
        <f t="shared" si="23"/>
        <v>200.47664</v>
      </c>
      <c r="H65" s="444">
        <f t="shared" si="23"/>
        <v>200.47664</v>
      </c>
      <c r="I65" s="444">
        <f t="shared" si="23"/>
        <v>200.47664</v>
      </c>
      <c r="J65" s="444">
        <f t="shared" si="23"/>
        <v>200.47664</v>
      </c>
      <c r="K65" s="444">
        <f t="shared" si="23"/>
        <v>239.39733999999999</v>
      </c>
      <c r="L65" s="444">
        <f t="shared" si="23"/>
        <v>239.39733999999999</v>
      </c>
      <c r="M65" s="444">
        <f t="shared" si="23"/>
        <v>239.39733999999999</v>
      </c>
      <c r="N65" s="444">
        <f>SUM(B65:M65)</f>
        <v>2687.9106800000004</v>
      </c>
    </row>
    <row r="67" spans="1:15">
      <c r="A67" s="443" t="s">
        <v>38</v>
      </c>
    </row>
    <row r="68" spans="1:15">
      <c r="A68" s="447" t="s">
        <v>47</v>
      </c>
      <c r="B68" s="448">
        <f>B54</f>
        <v>18000</v>
      </c>
      <c r="C68" s="448">
        <f t="shared" ref="C68:M68" si="24">C54</f>
        <v>18000</v>
      </c>
      <c r="D68" s="448">
        <f t="shared" si="24"/>
        <v>18000</v>
      </c>
      <c r="E68" s="448">
        <f t="shared" si="24"/>
        <v>18000</v>
      </c>
      <c r="F68" s="448">
        <f t="shared" si="24"/>
        <v>18000</v>
      </c>
      <c r="G68" s="448">
        <f t="shared" si="24"/>
        <v>15450</v>
      </c>
      <c r="H68" s="448">
        <f t="shared" si="24"/>
        <v>15450</v>
      </c>
      <c r="I68" s="448">
        <f t="shared" si="24"/>
        <v>15450</v>
      </c>
      <c r="J68" s="448">
        <f t="shared" si="24"/>
        <v>15450</v>
      </c>
      <c r="K68" s="448">
        <f t="shared" si="24"/>
        <v>18450</v>
      </c>
      <c r="L68" s="448">
        <f t="shared" si="24"/>
        <v>18450</v>
      </c>
      <c r="M68" s="448">
        <f t="shared" si="24"/>
        <v>18450</v>
      </c>
      <c r="N68" s="444">
        <f>SUM(B68:M68)</f>
        <v>207150</v>
      </c>
    </row>
    <row r="69" spans="1:15">
      <c r="A69" s="447" t="s">
        <v>45</v>
      </c>
      <c r="B69" s="449">
        <f>ROUND(B68*'Transmission Formula Rate (7)'!$B$27,0)</f>
        <v>333</v>
      </c>
      <c r="C69" s="449">
        <f>ROUND(C68*'Transmission Formula Rate (7)'!$B$27,0)</f>
        <v>333</v>
      </c>
      <c r="D69" s="449">
        <f>ROUND(D68*'Transmission Formula Rate (7)'!$B$27,0)</f>
        <v>333</v>
      </c>
      <c r="E69" s="449">
        <f>ROUND(E68*'Transmission Formula Rate (7)'!$B$27,0)</f>
        <v>333</v>
      </c>
      <c r="F69" s="449">
        <f>ROUND(F68*'Transmission Formula Rate (7)'!$B$27,0)</f>
        <v>333</v>
      </c>
      <c r="G69" s="449">
        <f>ROUND(G68*'Transmission Formula Rate (7)'!$B$27,0)</f>
        <v>286</v>
      </c>
      <c r="H69" s="449">
        <f>ROUND(H68*'Transmission Formula Rate (7)'!$B$27,0)</f>
        <v>286</v>
      </c>
      <c r="I69" s="449">
        <f>ROUND(I68*'Transmission Formula Rate (7)'!$B$27,0)</f>
        <v>286</v>
      </c>
      <c r="J69" s="449">
        <f>ROUND(J68*'Transmission Formula Rate (7)'!$B$27,0)</f>
        <v>286</v>
      </c>
      <c r="K69" s="449">
        <f>ROUND(K68*'Transmission Formula Rate (7)'!$B$27,0)</f>
        <v>341</v>
      </c>
      <c r="L69" s="449">
        <f>ROUND(L68*'Transmission Formula Rate (7)'!$B$27,0)</f>
        <v>341</v>
      </c>
      <c r="M69" s="449">
        <f>ROUND(M68*'Transmission Formula Rate (7)'!$B$27,0)</f>
        <v>341</v>
      </c>
      <c r="N69" s="444">
        <f t="shared" ref="N69:N72" si="25">SUM(B69:M69)</f>
        <v>3832</v>
      </c>
    </row>
    <row r="70" spans="1:15">
      <c r="A70" s="447" t="str">
        <f>$A$16</f>
        <v xml:space="preserve">       Georgia Transmission Load</v>
      </c>
      <c r="B70" s="449">
        <f>B68+B69</f>
        <v>18333</v>
      </c>
      <c r="C70" s="449">
        <f t="shared" ref="C70:M70" si="26">C68+C69</f>
        <v>18333</v>
      </c>
      <c r="D70" s="449">
        <f t="shared" si="26"/>
        <v>18333</v>
      </c>
      <c r="E70" s="449">
        <f t="shared" si="26"/>
        <v>18333</v>
      </c>
      <c r="F70" s="449">
        <f t="shared" si="26"/>
        <v>18333</v>
      </c>
      <c r="G70" s="449">
        <f t="shared" si="26"/>
        <v>15736</v>
      </c>
      <c r="H70" s="449">
        <f t="shared" si="26"/>
        <v>15736</v>
      </c>
      <c r="I70" s="449">
        <f t="shared" si="26"/>
        <v>15736</v>
      </c>
      <c r="J70" s="449">
        <f t="shared" si="26"/>
        <v>15736</v>
      </c>
      <c r="K70" s="449">
        <f t="shared" si="26"/>
        <v>18791</v>
      </c>
      <c r="L70" s="449">
        <f t="shared" si="26"/>
        <v>18791</v>
      </c>
      <c r="M70" s="449">
        <f t="shared" si="26"/>
        <v>18791</v>
      </c>
      <c r="N70" s="450">
        <f t="shared" si="25"/>
        <v>210982</v>
      </c>
    </row>
    <row r="71" spans="1:15">
      <c r="A71" s="443" t="s">
        <v>150</v>
      </c>
      <c r="B71" s="452">
        <f>'charges (1 &amp; 2)'!E11</f>
        <v>0.1008</v>
      </c>
      <c r="C71" s="452">
        <f>B71</f>
        <v>0.1008</v>
      </c>
      <c r="D71" s="452">
        <f t="shared" ref="D71:M71" si="27">C71</f>
        <v>0.1008</v>
      </c>
      <c r="E71" s="452">
        <f t="shared" si="27"/>
        <v>0.1008</v>
      </c>
      <c r="F71" s="452">
        <f t="shared" si="27"/>
        <v>0.1008</v>
      </c>
      <c r="G71" s="452">
        <f t="shared" si="27"/>
        <v>0.1008</v>
      </c>
      <c r="H71" s="452">
        <f t="shared" si="27"/>
        <v>0.1008</v>
      </c>
      <c r="I71" s="452">
        <f t="shared" si="27"/>
        <v>0.1008</v>
      </c>
      <c r="J71" s="452">
        <f t="shared" si="27"/>
        <v>0.1008</v>
      </c>
      <c r="K71" s="452">
        <f t="shared" si="27"/>
        <v>0.1008</v>
      </c>
      <c r="L71" s="452">
        <f t="shared" si="27"/>
        <v>0.1008</v>
      </c>
      <c r="M71" s="452">
        <f t="shared" si="27"/>
        <v>0.1008</v>
      </c>
    </row>
    <row r="72" spans="1:15">
      <c r="A72" s="443" t="s">
        <v>17</v>
      </c>
      <c r="B72" s="444">
        <f t="shared" ref="B72:M72" si="28">B70*B71</f>
        <v>1847.9664</v>
      </c>
      <c r="C72" s="444">
        <f t="shared" si="28"/>
        <v>1847.9664</v>
      </c>
      <c r="D72" s="444">
        <f t="shared" si="28"/>
        <v>1847.9664</v>
      </c>
      <c r="E72" s="444">
        <f t="shared" si="28"/>
        <v>1847.9664</v>
      </c>
      <c r="F72" s="444">
        <f t="shared" si="28"/>
        <v>1847.9664</v>
      </c>
      <c r="G72" s="444">
        <f t="shared" si="28"/>
        <v>1586.1887999999999</v>
      </c>
      <c r="H72" s="444">
        <f t="shared" si="28"/>
        <v>1586.1887999999999</v>
      </c>
      <c r="I72" s="444">
        <f t="shared" si="28"/>
        <v>1586.1887999999999</v>
      </c>
      <c r="J72" s="444">
        <f t="shared" si="28"/>
        <v>1586.1887999999999</v>
      </c>
      <c r="K72" s="444">
        <f t="shared" si="28"/>
        <v>1894.1328000000001</v>
      </c>
      <c r="L72" s="444">
        <f t="shared" si="28"/>
        <v>1894.1328000000001</v>
      </c>
      <c r="M72" s="444">
        <f t="shared" si="28"/>
        <v>1894.1328000000001</v>
      </c>
      <c r="N72" s="444">
        <f t="shared" si="25"/>
        <v>21266.9856</v>
      </c>
    </row>
    <row r="74" spans="1:15">
      <c r="B74" s="442" t="s">
        <v>0</v>
      </c>
      <c r="C74" s="442" t="s">
        <v>1</v>
      </c>
      <c r="D74" s="442" t="s">
        <v>2</v>
      </c>
      <c r="E74" s="442" t="s">
        <v>3</v>
      </c>
      <c r="F74" s="442" t="s">
        <v>4</v>
      </c>
      <c r="G74" s="442" t="s">
        <v>5</v>
      </c>
      <c r="H74" s="442" t="s">
        <v>6</v>
      </c>
      <c r="I74" s="442" t="s">
        <v>7</v>
      </c>
      <c r="J74" s="442" t="s">
        <v>8</v>
      </c>
      <c r="K74" s="442" t="s">
        <v>9</v>
      </c>
      <c r="L74" s="442" t="s">
        <v>10</v>
      </c>
      <c r="M74" s="442" t="s">
        <v>11</v>
      </c>
      <c r="N74" s="442" t="s">
        <v>12</v>
      </c>
    </row>
    <row r="75" spans="1:15">
      <c r="A75" s="446">
        <f>+A52+1</f>
        <v>2017</v>
      </c>
      <c r="B75" s="444"/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</row>
    <row r="76" spans="1:15">
      <c r="A76" s="443" t="s">
        <v>37</v>
      </c>
    </row>
    <row r="77" spans="1:15">
      <c r="A77" s="447" t="s">
        <v>47</v>
      </c>
      <c r="B77" s="448">
        <f>'[8]Table 1'!$D$18</f>
        <v>18450</v>
      </c>
      <c r="C77" s="448">
        <f>'[8]Table 1'!$D$18</f>
        <v>18450</v>
      </c>
      <c r="D77" s="448">
        <f>'[8]Table 1'!$D$18</f>
        <v>18450</v>
      </c>
      <c r="E77" s="448">
        <f>'[8]Table 1'!$D$18</f>
        <v>18450</v>
      </c>
      <c r="F77" s="448">
        <f>'[8]Table 1'!$D$18</f>
        <v>18450</v>
      </c>
      <c r="G77" s="448">
        <f>'[8]Table 1'!$E$13</f>
        <v>15914</v>
      </c>
      <c r="H77" s="448">
        <f>'[8]Table 1'!$E$13</f>
        <v>15914</v>
      </c>
      <c r="I77" s="448">
        <f>'[8]Table 1'!$E$13</f>
        <v>15914</v>
      </c>
      <c r="J77" s="448">
        <f>'[8]Table 1'!$E$13</f>
        <v>15914</v>
      </c>
      <c r="K77" s="448">
        <f>'[8]Table 1'!$E$18</f>
        <v>18911</v>
      </c>
      <c r="L77" s="448">
        <f>'[8]Table 1'!$E$18</f>
        <v>18911</v>
      </c>
      <c r="M77" s="448">
        <f>'[8]Table 1'!$E$18</f>
        <v>18911</v>
      </c>
      <c r="N77" s="444">
        <f>SUM(B77:M77)</f>
        <v>212639</v>
      </c>
    </row>
    <row r="78" spans="1:15">
      <c r="A78" s="447" t="s">
        <v>45</v>
      </c>
      <c r="B78" s="449">
        <f>ROUND(B77*'Transmission Formula Rate (7)'!$B$27,0)</f>
        <v>341</v>
      </c>
      <c r="C78" s="449">
        <f>ROUND(C77*'Transmission Formula Rate (7)'!$B$27,0)</f>
        <v>341</v>
      </c>
      <c r="D78" s="449">
        <f>ROUND(D77*'Transmission Formula Rate (7)'!$B$27,0)</f>
        <v>341</v>
      </c>
      <c r="E78" s="449">
        <f>ROUND(E77*'Transmission Formula Rate (7)'!$B$27,0)</f>
        <v>341</v>
      </c>
      <c r="F78" s="449">
        <f>ROUND(F77*'Transmission Formula Rate (7)'!$B$27,0)</f>
        <v>341</v>
      </c>
      <c r="G78" s="449">
        <f>ROUND(G77*'Transmission Formula Rate (7)'!$B$27,0)</f>
        <v>294</v>
      </c>
      <c r="H78" s="449">
        <f>ROUND(H77*'Transmission Formula Rate (7)'!$B$27,0)</f>
        <v>294</v>
      </c>
      <c r="I78" s="449">
        <f>ROUND(I77*'Transmission Formula Rate (7)'!$B$27,0)</f>
        <v>294</v>
      </c>
      <c r="J78" s="449">
        <f>ROUND(J77*'Transmission Formula Rate (7)'!$B$27,0)</f>
        <v>294</v>
      </c>
      <c r="K78" s="449">
        <f>ROUND(K77*'Transmission Formula Rate (7)'!$B$27,0)</f>
        <v>350</v>
      </c>
      <c r="L78" s="449">
        <f>ROUND(L77*'Transmission Formula Rate (7)'!$B$27,0)</f>
        <v>350</v>
      </c>
      <c r="M78" s="449">
        <f>ROUND(M77*'Transmission Formula Rate (7)'!$B$27,0)</f>
        <v>350</v>
      </c>
      <c r="N78" s="444">
        <f>SUM(B78:M78)</f>
        <v>3931</v>
      </c>
    </row>
    <row r="79" spans="1:15">
      <c r="A79" s="447" t="str">
        <f>$A$16</f>
        <v xml:space="preserve">       Georgia Transmission Load</v>
      </c>
      <c r="B79" s="449">
        <f t="shared" ref="B79:M79" si="29">B77+B78</f>
        <v>18791</v>
      </c>
      <c r="C79" s="449">
        <f t="shared" si="29"/>
        <v>18791</v>
      </c>
      <c r="D79" s="449">
        <f t="shared" si="29"/>
        <v>18791</v>
      </c>
      <c r="E79" s="449">
        <f t="shared" si="29"/>
        <v>18791</v>
      </c>
      <c r="F79" s="449">
        <f t="shared" si="29"/>
        <v>18791</v>
      </c>
      <c r="G79" s="449">
        <f t="shared" si="29"/>
        <v>16208</v>
      </c>
      <c r="H79" s="449">
        <f t="shared" si="29"/>
        <v>16208</v>
      </c>
      <c r="I79" s="449">
        <f t="shared" si="29"/>
        <v>16208</v>
      </c>
      <c r="J79" s="449">
        <f t="shared" si="29"/>
        <v>16208</v>
      </c>
      <c r="K79" s="449">
        <f t="shared" si="29"/>
        <v>19261</v>
      </c>
      <c r="L79" s="449">
        <f t="shared" si="29"/>
        <v>19261</v>
      </c>
      <c r="M79" s="449">
        <f t="shared" si="29"/>
        <v>19261</v>
      </c>
      <c r="N79" s="450">
        <f>SUM(B79:M79)</f>
        <v>216570</v>
      </c>
    </row>
    <row r="80" spans="1:15">
      <c r="A80" s="443" t="s">
        <v>20</v>
      </c>
      <c r="B80" s="451">
        <f>'Transmission Formula Rate (7)'!B14</f>
        <v>1.59</v>
      </c>
      <c r="C80" s="451">
        <f>'Transmission Formula Rate (7)'!C14</f>
        <v>1.59</v>
      </c>
      <c r="D80" s="451">
        <f>'Transmission Formula Rate (7)'!D14</f>
        <v>1.59</v>
      </c>
      <c r="E80" s="451">
        <f>'Transmission Formula Rate (7)'!E14</f>
        <v>1.59</v>
      </c>
      <c r="F80" s="451">
        <f>'Transmission Formula Rate (7)'!F14</f>
        <v>1.59</v>
      </c>
      <c r="G80" s="451">
        <f>'Transmission Formula Rate (7)'!G14</f>
        <v>1.59</v>
      </c>
      <c r="H80" s="451">
        <f>'Transmission Formula Rate (7)'!H14</f>
        <v>1.59</v>
      </c>
      <c r="I80" s="451">
        <f>'Transmission Formula Rate (7)'!I14</f>
        <v>1.59</v>
      </c>
      <c r="J80" s="451">
        <f>'Transmission Formula Rate (7)'!J14</f>
        <v>1.59</v>
      </c>
      <c r="K80" s="451">
        <f>'Transmission Formula Rate (7)'!K14</f>
        <v>1.59</v>
      </c>
      <c r="L80" s="451">
        <f>'Transmission Formula Rate (7)'!L14</f>
        <v>1.59</v>
      </c>
      <c r="M80" s="451">
        <f>'Transmission Formula Rate (7)'!M14</f>
        <v>1.59</v>
      </c>
      <c r="O80" s="453"/>
    </row>
    <row r="81" spans="1:14">
      <c r="A81" s="443" t="s">
        <v>17</v>
      </c>
      <c r="B81" s="444">
        <f t="shared" ref="B81:M81" si="30">B79*B80</f>
        <v>29877.690000000002</v>
      </c>
      <c r="C81" s="444">
        <f t="shared" si="30"/>
        <v>29877.690000000002</v>
      </c>
      <c r="D81" s="444">
        <f t="shared" si="30"/>
        <v>29877.690000000002</v>
      </c>
      <c r="E81" s="444">
        <f t="shared" si="30"/>
        <v>29877.690000000002</v>
      </c>
      <c r="F81" s="444">
        <f t="shared" si="30"/>
        <v>29877.690000000002</v>
      </c>
      <c r="G81" s="444">
        <f t="shared" si="30"/>
        <v>25770.720000000001</v>
      </c>
      <c r="H81" s="444">
        <f t="shared" si="30"/>
        <v>25770.720000000001</v>
      </c>
      <c r="I81" s="444">
        <f t="shared" si="30"/>
        <v>25770.720000000001</v>
      </c>
      <c r="J81" s="444">
        <f t="shared" si="30"/>
        <v>25770.720000000001</v>
      </c>
      <c r="K81" s="444">
        <f t="shared" si="30"/>
        <v>30624.99</v>
      </c>
      <c r="L81" s="444">
        <f t="shared" si="30"/>
        <v>30624.99</v>
      </c>
      <c r="M81" s="444">
        <f t="shared" si="30"/>
        <v>30624.99</v>
      </c>
      <c r="N81" s="444">
        <f>SUM(B81:M81)</f>
        <v>344346.3</v>
      </c>
    </row>
    <row r="83" spans="1:14">
      <c r="A83" s="443" t="s">
        <v>141</v>
      </c>
    </row>
    <row r="84" spans="1:14">
      <c r="A84" s="447" t="s">
        <v>47</v>
      </c>
      <c r="B84" s="448">
        <f>B77</f>
        <v>18450</v>
      </c>
      <c r="C84" s="448">
        <f t="shared" ref="C84:M84" si="31">C77</f>
        <v>18450</v>
      </c>
      <c r="D84" s="448">
        <f t="shared" si="31"/>
        <v>18450</v>
      </c>
      <c r="E84" s="448">
        <f t="shared" si="31"/>
        <v>18450</v>
      </c>
      <c r="F84" s="448">
        <f t="shared" si="31"/>
        <v>18450</v>
      </c>
      <c r="G84" s="448">
        <f t="shared" si="31"/>
        <v>15914</v>
      </c>
      <c r="H84" s="448">
        <f t="shared" si="31"/>
        <v>15914</v>
      </c>
      <c r="I84" s="448">
        <f t="shared" si="31"/>
        <v>15914</v>
      </c>
      <c r="J84" s="448">
        <f t="shared" si="31"/>
        <v>15914</v>
      </c>
      <c r="K84" s="448">
        <f t="shared" si="31"/>
        <v>18911</v>
      </c>
      <c r="L84" s="448">
        <f t="shared" si="31"/>
        <v>18911</v>
      </c>
      <c r="M84" s="448">
        <f t="shared" si="31"/>
        <v>18911</v>
      </c>
      <c r="N84" s="444">
        <f>SUM(B84:M84)</f>
        <v>212639</v>
      </c>
    </row>
    <row r="85" spans="1:14">
      <c r="A85" s="447" t="s">
        <v>45</v>
      </c>
      <c r="B85" s="449">
        <f>ROUND(B84*'Transmission Formula Rate (7)'!$B$27,0)</f>
        <v>341</v>
      </c>
      <c r="C85" s="449">
        <f>ROUND(C84*'Transmission Formula Rate (7)'!$B$27,0)</f>
        <v>341</v>
      </c>
      <c r="D85" s="449">
        <f>ROUND(D84*'Transmission Formula Rate (7)'!$B$27,0)</f>
        <v>341</v>
      </c>
      <c r="E85" s="449">
        <f>ROUND(E84*'Transmission Formula Rate (7)'!$B$27,0)</f>
        <v>341</v>
      </c>
      <c r="F85" s="449">
        <f>ROUND(F84*'Transmission Formula Rate (7)'!$B$27,0)</f>
        <v>341</v>
      </c>
      <c r="G85" s="449">
        <f>ROUND(G84*'Transmission Formula Rate (7)'!$B$27,0)</f>
        <v>294</v>
      </c>
      <c r="H85" s="449">
        <f>ROUND(H84*'Transmission Formula Rate (7)'!$B$27,0)</f>
        <v>294</v>
      </c>
      <c r="I85" s="449">
        <f>ROUND(I84*'Transmission Formula Rate (7)'!$B$27,0)</f>
        <v>294</v>
      </c>
      <c r="J85" s="449">
        <f>ROUND(J84*'Transmission Formula Rate (7)'!$B$27,0)</f>
        <v>294</v>
      </c>
      <c r="K85" s="449">
        <f>ROUND(K84*'Transmission Formula Rate (7)'!$B$27,0)</f>
        <v>350</v>
      </c>
      <c r="L85" s="449">
        <f>ROUND(L84*'Transmission Formula Rate (7)'!$B$27,0)</f>
        <v>350</v>
      </c>
      <c r="M85" s="449">
        <f>ROUND(M84*'Transmission Formula Rate (7)'!$B$27,0)</f>
        <v>350</v>
      </c>
      <c r="N85" s="444">
        <f>SUM(B85:M85)</f>
        <v>3931</v>
      </c>
    </row>
    <row r="86" spans="1:14">
      <c r="A86" s="447" t="str">
        <f>$A$16</f>
        <v xml:space="preserve">       Georgia Transmission Load</v>
      </c>
      <c r="B86" s="449">
        <f t="shared" ref="B86:M86" si="32">B84+B85</f>
        <v>18791</v>
      </c>
      <c r="C86" s="449">
        <f t="shared" si="32"/>
        <v>18791</v>
      </c>
      <c r="D86" s="449">
        <f t="shared" si="32"/>
        <v>18791</v>
      </c>
      <c r="E86" s="449">
        <f t="shared" si="32"/>
        <v>18791</v>
      </c>
      <c r="F86" s="449">
        <f t="shared" si="32"/>
        <v>18791</v>
      </c>
      <c r="G86" s="449">
        <f t="shared" si="32"/>
        <v>16208</v>
      </c>
      <c r="H86" s="449">
        <f t="shared" si="32"/>
        <v>16208</v>
      </c>
      <c r="I86" s="449">
        <f t="shared" si="32"/>
        <v>16208</v>
      </c>
      <c r="J86" s="449">
        <f t="shared" si="32"/>
        <v>16208</v>
      </c>
      <c r="K86" s="449">
        <f t="shared" si="32"/>
        <v>19261</v>
      </c>
      <c r="L86" s="449">
        <f t="shared" si="32"/>
        <v>19261</v>
      </c>
      <c r="M86" s="449">
        <f t="shared" si="32"/>
        <v>19261</v>
      </c>
      <c r="N86" s="450">
        <f>SUM(B86:M86)</f>
        <v>216570</v>
      </c>
    </row>
    <row r="87" spans="1:14">
      <c r="A87" s="443" t="s">
        <v>149</v>
      </c>
      <c r="B87" s="452">
        <f>'charges (1 &amp; 2)'!H33</f>
        <v>1.274E-2</v>
      </c>
      <c r="C87" s="452">
        <f>B87</f>
        <v>1.274E-2</v>
      </c>
      <c r="D87" s="452">
        <f t="shared" ref="D87:M87" si="33">C87</f>
        <v>1.274E-2</v>
      </c>
      <c r="E87" s="452">
        <f t="shared" si="33"/>
        <v>1.274E-2</v>
      </c>
      <c r="F87" s="452">
        <f t="shared" si="33"/>
        <v>1.274E-2</v>
      </c>
      <c r="G87" s="452">
        <f t="shared" si="33"/>
        <v>1.274E-2</v>
      </c>
      <c r="H87" s="452">
        <f t="shared" si="33"/>
        <v>1.274E-2</v>
      </c>
      <c r="I87" s="452">
        <f t="shared" si="33"/>
        <v>1.274E-2</v>
      </c>
      <c r="J87" s="452">
        <f t="shared" si="33"/>
        <v>1.274E-2</v>
      </c>
      <c r="K87" s="452">
        <f t="shared" si="33"/>
        <v>1.274E-2</v>
      </c>
      <c r="L87" s="452">
        <f t="shared" si="33"/>
        <v>1.274E-2</v>
      </c>
      <c r="M87" s="452">
        <f t="shared" si="33"/>
        <v>1.274E-2</v>
      </c>
    </row>
    <row r="88" spans="1:14">
      <c r="A88" s="443" t="s">
        <v>17</v>
      </c>
      <c r="B88" s="444">
        <f t="shared" ref="B88:M88" si="34">B86*B87</f>
        <v>239.39733999999999</v>
      </c>
      <c r="C88" s="444">
        <f t="shared" si="34"/>
        <v>239.39733999999999</v>
      </c>
      <c r="D88" s="444">
        <f t="shared" si="34"/>
        <v>239.39733999999999</v>
      </c>
      <c r="E88" s="444">
        <f t="shared" si="34"/>
        <v>239.39733999999999</v>
      </c>
      <c r="F88" s="444">
        <f t="shared" si="34"/>
        <v>239.39733999999999</v>
      </c>
      <c r="G88" s="444">
        <f t="shared" si="34"/>
        <v>206.48991999999998</v>
      </c>
      <c r="H88" s="444">
        <f t="shared" si="34"/>
        <v>206.48991999999998</v>
      </c>
      <c r="I88" s="444">
        <f t="shared" si="34"/>
        <v>206.48991999999998</v>
      </c>
      <c r="J88" s="444">
        <f t="shared" si="34"/>
        <v>206.48991999999998</v>
      </c>
      <c r="K88" s="444">
        <f t="shared" si="34"/>
        <v>245.38513999999998</v>
      </c>
      <c r="L88" s="444">
        <f t="shared" si="34"/>
        <v>245.38513999999998</v>
      </c>
      <c r="M88" s="444">
        <f t="shared" si="34"/>
        <v>245.38513999999998</v>
      </c>
      <c r="N88" s="444">
        <f>SUM(B88:M88)</f>
        <v>2759.1017999999995</v>
      </c>
    </row>
    <row r="89" spans="1:14">
      <c r="A89" s="443"/>
      <c r="B89" s="444"/>
      <c r="C89" s="444"/>
      <c r="D89" s="444"/>
      <c r="E89" s="444"/>
      <c r="F89" s="444"/>
      <c r="G89" s="444"/>
      <c r="H89" s="444"/>
      <c r="I89" s="444"/>
      <c r="J89" s="444"/>
      <c r="K89" s="444"/>
      <c r="L89" s="444"/>
      <c r="M89" s="444"/>
      <c r="N89" s="444"/>
    </row>
    <row r="90" spans="1:14">
      <c r="A90" s="443" t="s">
        <v>38</v>
      </c>
      <c r="B90" s="444"/>
      <c r="C90" s="444"/>
      <c r="D90" s="444"/>
      <c r="E90" s="444"/>
      <c r="F90" s="444"/>
      <c r="G90" s="444"/>
      <c r="H90" s="444"/>
      <c r="I90" s="444"/>
      <c r="J90" s="444"/>
      <c r="K90" s="444"/>
      <c r="L90" s="444"/>
      <c r="M90" s="444"/>
      <c r="N90" s="444"/>
    </row>
    <row r="91" spans="1:14">
      <c r="A91" s="447" t="s">
        <v>47</v>
      </c>
      <c r="B91" s="448">
        <f>B77</f>
        <v>18450</v>
      </c>
      <c r="C91" s="448">
        <f t="shared" ref="C91:M91" si="35">C77</f>
        <v>18450</v>
      </c>
      <c r="D91" s="448">
        <f t="shared" si="35"/>
        <v>18450</v>
      </c>
      <c r="E91" s="448">
        <f t="shared" si="35"/>
        <v>18450</v>
      </c>
      <c r="F91" s="448">
        <f t="shared" si="35"/>
        <v>18450</v>
      </c>
      <c r="G91" s="448">
        <f t="shared" si="35"/>
        <v>15914</v>
      </c>
      <c r="H91" s="448">
        <f t="shared" si="35"/>
        <v>15914</v>
      </c>
      <c r="I91" s="448">
        <f t="shared" si="35"/>
        <v>15914</v>
      </c>
      <c r="J91" s="448">
        <f t="shared" si="35"/>
        <v>15914</v>
      </c>
      <c r="K91" s="448">
        <f t="shared" si="35"/>
        <v>18911</v>
      </c>
      <c r="L91" s="448">
        <f t="shared" si="35"/>
        <v>18911</v>
      </c>
      <c r="M91" s="448">
        <f t="shared" si="35"/>
        <v>18911</v>
      </c>
      <c r="N91" s="444">
        <f>SUM(B91:M91)</f>
        <v>212639</v>
      </c>
    </row>
    <row r="92" spans="1:14">
      <c r="A92" s="447" t="s">
        <v>45</v>
      </c>
      <c r="B92" s="449">
        <f>ROUND(B91*'Transmission Formula Rate (7)'!$B$27,0)</f>
        <v>341</v>
      </c>
      <c r="C92" s="449">
        <f>ROUND(C91*'Transmission Formula Rate (7)'!$B$27,0)</f>
        <v>341</v>
      </c>
      <c r="D92" s="449">
        <f>ROUND(D91*'Transmission Formula Rate (7)'!$B$27,0)</f>
        <v>341</v>
      </c>
      <c r="E92" s="449">
        <f>ROUND(E91*'Transmission Formula Rate (7)'!$B$27,0)</f>
        <v>341</v>
      </c>
      <c r="F92" s="449">
        <f>ROUND(F91*'Transmission Formula Rate (7)'!$B$27,0)</f>
        <v>341</v>
      </c>
      <c r="G92" s="449">
        <f>ROUND(G91*'Transmission Formula Rate (7)'!$B$27,0)</f>
        <v>294</v>
      </c>
      <c r="H92" s="449">
        <f>ROUND(H91*'Transmission Formula Rate (7)'!$B$27,0)</f>
        <v>294</v>
      </c>
      <c r="I92" s="449">
        <f>ROUND(I91*'Transmission Formula Rate (7)'!$B$27,0)</f>
        <v>294</v>
      </c>
      <c r="J92" s="449">
        <f>ROUND(J91*'Transmission Formula Rate (7)'!$B$27,0)</f>
        <v>294</v>
      </c>
      <c r="K92" s="449">
        <f>ROUND(K91*'Transmission Formula Rate (7)'!$B$27,0)</f>
        <v>350</v>
      </c>
      <c r="L92" s="449">
        <f>ROUND(L91*'Transmission Formula Rate (7)'!$B$27,0)</f>
        <v>350</v>
      </c>
      <c r="M92" s="449">
        <f>ROUND(M91*'Transmission Formula Rate (7)'!$B$27,0)</f>
        <v>350</v>
      </c>
      <c r="N92" s="444">
        <f t="shared" ref="N92:N95" si="36">SUM(B92:M92)</f>
        <v>3931</v>
      </c>
    </row>
    <row r="93" spans="1:14">
      <c r="A93" s="447" t="str">
        <f>$A$16</f>
        <v xml:space="preserve">       Georgia Transmission Load</v>
      </c>
      <c r="B93" s="449">
        <f>B91+B92</f>
        <v>18791</v>
      </c>
      <c r="C93" s="449">
        <f t="shared" ref="C93:M93" si="37">C91+C92</f>
        <v>18791</v>
      </c>
      <c r="D93" s="449">
        <f t="shared" si="37"/>
        <v>18791</v>
      </c>
      <c r="E93" s="449">
        <f t="shared" si="37"/>
        <v>18791</v>
      </c>
      <c r="F93" s="449">
        <f t="shared" si="37"/>
        <v>18791</v>
      </c>
      <c r="G93" s="449">
        <f t="shared" si="37"/>
        <v>16208</v>
      </c>
      <c r="H93" s="449">
        <f t="shared" si="37"/>
        <v>16208</v>
      </c>
      <c r="I93" s="449">
        <f t="shared" si="37"/>
        <v>16208</v>
      </c>
      <c r="J93" s="449">
        <f t="shared" si="37"/>
        <v>16208</v>
      </c>
      <c r="K93" s="449">
        <f t="shared" si="37"/>
        <v>19261</v>
      </c>
      <c r="L93" s="449">
        <f t="shared" si="37"/>
        <v>19261</v>
      </c>
      <c r="M93" s="449">
        <f t="shared" si="37"/>
        <v>19261</v>
      </c>
      <c r="N93" s="450">
        <f t="shared" si="36"/>
        <v>216570</v>
      </c>
    </row>
    <row r="94" spans="1:14">
      <c r="A94" s="443" t="s">
        <v>150</v>
      </c>
      <c r="B94" s="452">
        <f>'charges (1 &amp; 2)'!F11</f>
        <v>0.1008</v>
      </c>
      <c r="C94" s="452">
        <f>B94</f>
        <v>0.1008</v>
      </c>
      <c r="D94" s="452">
        <f t="shared" ref="D94:M94" si="38">C94</f>
        <v>0.1008</v>
      </c>
      <c r="E94" s="452">
        <f t="shared" si="38"/>
        <v>0.1008</v>
      </c>
      <c r="F94" s="452">
        <f t="shared" si="38"/>
        <v>0.1008</v>
      </c>
      <c r="G94" s="452">
        <f t="shared" si="38"/>
        <v>0.1008</v>
      </c>
      <c r="H94" s="452">
        <f t="shared" si="38"/>
        <v>0.1008</v>
      </c>
      <c r="I94" s="452">
        <f t="shared" si="38"/>
        <v>0.1008</v>
      </c>
      <c r="J94" s="452">
        <f t="shared" si="38"/>
        <v>0.1008</v>
      </c>
      <c r="K94" s="452">
        <f t="shared" si="38"/>
        <v>0.1008</v>
      </c>
      <c r="L94" s="452">
        <f t="shared" si="38"/>
        <v>0.1008</v>
      </c>
      <c r="M94" s="452">
        <f t="shared" si="38"/>
        <v>0.1008</v>
      </c>
      <c r="N94" s="444"/>
    </row>
    <row r="95" spans="1:14">
      <c r="A95" s="443" t="s">
        <v>17</v>
      </c>
      <c r="B95" s="444">
        <f>B93*B94</f>
        <v>1894.1328000000001</v>
      </c>
      <c r="C95" s="444">
        <f t="shared" ref="C95:M95" si="39">C93*C94</f>
        <v>1894.1328000000001</v>
      </c>
      <c r="D95" s="444">
        <f t="shared" si="39"/>
        <v>1894.1328000000001</v>
      </c>
      <c r="E95" s="444">
        <f t="shared" si="39"/>
        <v>1894.1328000000001</v>
      </c>
      <c r="F95" s="444">
        <f t="shared" si="39"/>
        <v>1894.1328000000001</v>
      </c>
      <c r="G95" s="444">
        <f t="shared" si="39"/>
        <v>1633.7664</v>
      </c>
      <c r="H95" s="444">
        <f t="shared" si="39"/>
        <v>1633.7664</v>
      </c>
      <c r="I95" s="444">
        <f t="shared" si="39"/>
        <v>1633.7664</v>
      </c>
      <c r="J95" s="444">
        <f t="shared" si="39"/>
        <v>1633.7664</v>
      </c>
      <c r="K95" s="444">
        <f t="shared" si="39"/>
        <v>1941.5088000000001</v>
      </c>
      <c r="L95" s="444">
        <f t="shared" si="39"/>
        <v>1941.5088000000001</v>
      </c>
      <c r="M95" s="444">
        <f t="shared" si="39"/>
        <v>1941.5088000000001</v>
      </c>
      <c r="N95" s="444">
        <f t="shared" si="36"/>
        <v>21830.256000000001</v>
      </c>
    </row>
    <row r="97" spans="1:15">
      <c r="B97" s="442" t="s">
        <v>0</v>
      </c>
      <c r="C97" s="442" t="s">
        <v>1</v>
      </c>
      <c r="D97" s="442" t="s">
        <v>2</v>
      </c>
      <c r="E97" s="442" t="s">
        <v>3</v>
      </c>
      <c r="F97" s="442" t="s">
        <v>4</v>
      </c>
      <c r="G97" s="442" t="s">
        <v>5</v>
      </c>
      <c r="H97" s="442" t="s">
        <v>6</v>
      </c>
      <c r="I97" s="442" t="s">
        <v>7</v>
      </c>
      <c r="J97" s="442" t="s">
        <v>8</v>
      </c>
      <c r="K97" s="442" t="s">
        <v>9</v>
      </c>
      <c r="L97" s="442" t="s">
        <v>10</v>
      </c>
      <c r="M97" s="442" t="s">
        <v>11</v>
      </c>
      <c r="N97" s="442" t="s">
        <v>12</v>
      </c>
    </row>
    <row r="98" spans="1:15">
      <c r="A98" s="446">
        <f>A75+1</f>
        <v>2018</v>
      </c>
      <c r="B98" s="444"/>
      <c r="C98" s="444"/>
      <c r="D98" s="444"/>
      <c r="E98" s="444"/>
      <c r="F98" s="444"/>
      <c r="G98" s="444"/>
      <c r="H98" s="444"/>
      <c r="I98" s="444"/>
      <c r="J98" s="444"/>
      <c r="K98" s="444"/>
      <c r="L98" s="444"/>
      <c r="M98" s="444"/>
      <c r="N98" s="444"/>
    </row>
    <row r="99" spans="1:15">
      <c r="A99" s="443" t="s">
        <v>37</v>
      </c>
    </row>
    <row r="100" spans="1:15">
      <c r="A100" s="447" t="s">
        <v>47</v>
      </c>
      <c r="B100" s="448">
        <f>'[8]Table 1'!$E$18</f>
        <v>18911</v>
      </c>
      <c r="C100" s="448">
        <f>'[8]Table 1'!$E$18</f>
        <v>18911</v>
      </c>
      <c r="D100" s="448">
        <f>'[8]Table 1'!$E$18</f>
        <v>18911</v>
      </c>
      <c r="E100" s="448">
        <f>'[8]Table 1'!$E$18</f>
        <v>18911</v>
      </c>
      <c r="F100" s="448">
        <f>'[8]Table 1'!$E$18</f>
        <v>18911</v>
      </c>
      <c r="G100" s="448">
        <f>'[8]Table 1'!$F$13</f>
        <v>22891</v>
      </c>
      <c r="H100" s="448">
        <f>'[8]Table 1'!$F$13</f>
        <v>22891</v>
      </c>
      <c r="I100" s="448">
        <f>'[8]Table 1'!$F$13</f>
        <v>22891</v>
      </c>
      <c r="J100" s="448">
        <f>'[8]Table 1'!$F$13</f>
        <v>22891</v>
      </c>
      <c r="K100" s="448">
        <f>'[8]Table 1'!$F$18</f>
        <v>25884</v>
      </c>
      <c r="L100" s="448">
        <f>'[8]Table 1'!$F$18</f>
        <v>25884</v>
      </c>
      <c r="M100" s="448">
        <f>'[8]Table 1'!$F$18</f>
        <v>25884</v>
      </c>
      <c r="N100" s="444">
        <f>SUM(B100:M100)</f>
        <v>263771</v>
      </c>
    </row>
    <row r="101" spans="1:15">
      <c r="A101" s="447" t="s">
        <v>45</v>
      </c>
      <c r="B101" s="449">
        <f>ROUND(B100*'Transmission Formula Rate (7)'!$B$27,0)</f>
        <v>350</v>
      </c>
      <c r="C101" s="449">
        <f>ROUND(C100*'Transmission Formula Rate (7)'!$B$27,0)</f>
        <v>350</v>
      </c>
      <c r="D101" s="449">
        <f>ROUND(D100*'Transmission Formula Rate (7)'!$B$27,0)</f>
        <v>350</v>
      </c>
      <c r="E101" s="449">
        <f>ROUND(E100*'Transmission Formula Rate (7)'!$B$27,0)</f>
        <v>350</v>
      </c>
      <c r="F101" s="449">
        <f>ROUND(F100*'Transmission Formula Rate (7)'!$B$27,0)</f>
        <v>350</v>
      </c>
      <c r="G101" s="449">
        <f>ROUND(G100*'Transmission Formula Rate (7)'!$B$27,0)</f>
        <v>423</v>
      </c>
      <c r="H101" s="449">
        <f>ROUND(H100*'Transmission Formula Rate (7)'!$B$27,0)</f>
        <v>423</v>
      </c>
      <c r="I101" s="449">
        <f>ROUND(I100*'Transmission Formula Rate (7)'!$B$27,0)</f>
        <v>423</v>
      </c>
      <c r="J101" s="449">
        <f>ROUND(J100*'Transmission Formula Rate (7)'!$B$27,0)</f>
        <v>423</v>
      </c>
      <c r="K101" s="449">
        <f>ROUND(K100*'Transmission Formula Rate (7)'!$B$27,0)</f>
        <v>479</v>
      </c>
      <c r="L101" s="449">
        <f>ROUND(L100*'Transmission Formula Rate (7)'!$B$27,0)</f>
        <v>479</v>
      </c>
      <c r="M101" s="449">
        <f>ROUND(M100*'Transmission Formula Rate (7)'!$B$27,0)</f>
        <v>479</v>
      </c>
      <c r="N101" s="444">
        <f>SUM(B101:M101)</f>
        <v>4879</v>
      </c>
    </row>
    <row r="102" spans="1:15">
      <c r="A102" s="447" t="str">
        <f>$A$16</f>
        <v xml:space="preserve">       Georgia Transmission Load</v>
      </c>
      <c r="B102" s="449">
        <f t="shared" ref="B102:M102" si="40">B100+B101</f>
        <v>19261</v>
      </c>
      <c r="C102" s="449">
        <f t="shared" si="40"/>
        <v>19261</v>
      </c>
      <c r="D102" s="449">
        <f t="shared" si="40"/>
        <v>19261</v>
      </c>
      <c r="E102" s="449">
        <f t="shared" si="40"/>
        <v>19261</v>
      </c>
      <c r="F102" s="449">
        <f t="shared" si="40"/>
        <v>19261</v>
      </c>
      <c r="G102" s="449">
        <f t="shared" si="40"/>
        <v>23314</v>
      </c>
      <c r="H102" s="449">
        <f t="shared" si="40"/>
        <v>23314</v>
      </c>
      <c r="I102" s="449">
        <f t="shared" si="40"/>
        <v>23314</v>
      </c>
      <c r="J102" s="449">
        <f t="shared" si="40"/>
        <v>23314</v>
      </c>
      <c r="K102" s="449">
        <f t="shared" si="40"/>
        <v>26363</v>
      </c>
      <c r="L102" s="449">
        <f t="shared" si="40"/>
        <v>26363</v>
      </c>
      <c r="M102" s="449">
        <f t="shared" si="40"/>
        <v>26363</v>
      </c>
      <c r="N102" s="450">
        <f>SUM(B102:M102)</f>
        <v>268650</v>
      </c>
    </row>
    <row r="103" spans="1:15">
      <c r="A103" s="443" t="s">
        <v>20</v>
      </c>
      <c r="B103" s="451">
        <f>'Transmission Formula Rate (7)'!B16</f>
        <v>1.59</v>
      </c>
      <c r="C103" s="451">
        <f>'Transmission Formula Rate (7)'!C16</f>
        <v>1.59</v>
      </c>
      <c r="D103" s="451">
        <f>'Transmission Formula Rate (7)'!D16</f>
        <v>1.59</v>
      </c>
      <c r="E103" s="451">
        <f>'Transmission Formula Rate (7)'!E16</f>
        <v>1.59</v>
      </c>
      <c r="F103" s="451">
        <f>'Transmission Formula Rate (7)'!$F$16</f>
        <v>1.59</v>
      </c>
      <c r="G103" s="451">
        <f>'Transmission Formula Rate (7)'!$F$16</f>
        <v>1.59</v>
      </c>
      <c r="H103" s="451">
        <f>'Transmission Formula Rate (7)'!$F$16</f>
        <v>1.59</v>
      </c>
      <c r="I103" s="451">
        <f>'Transmission Formula Rate (7)'!$F$16</f>
        <v>1.59</v>
      </c>
      <c r="J103" s="451">
        <f>'Transmission Formula Rate (7)'!$F$16</f>
        <v>1.59</v>
      </c>
      <c r="K103" s="451">
        <f>'Transmission Formula Rate (7)'!$F$16</f>
        <v>1.59</v>
      </c>
      <c r="L103" s="451">
        <f>'Transmission Formula Rate (7)'!$F$16</f>
        <v>1.59</v>
      </c>
      <c r="M103" s="451">
        <f>'Transmission Formula Rate (7)'!$F$16</f>
        <v>1.59</v>
      </c>
      <c r="O103" s="453"/>
    </row>
    <row r="104" spans="1:15">
      <c r="A104" s="443" t="s">
        <v>17</v>
      </c>
      <c r="B104" s="444">
        <f t="shared" ref="B104:M104" si="41">B102*B103</f>
        <v>30624.99</v>
      </c>
      <c r="C104" s="444">
        <f t="shared" si="41"/>
        <v>30624.99</v>
      </c>
      <c r="D104" s="444">
        <f t="shared" si="41"/>
        <v>30624.99</v>
      </c>
      <c r="E104" s="444">
        <f t="shared" si="41"/>
        <v>30624.99</v>
      </c>
      <c r="F104" s="444">
        <f t="shared" si="41"/>
        <v>30624.99</v>
      </c>
      <c r="G104" s="444">
        <f t="shared" si="41"/>
        <v>37069.26</v>
      </c>
      <c r="H104" s="444">
        <f t="shared" si="41"/>
        <v>37069.26</v>
      </c>
      <c r="I104" s="444">
        <f t="shared" si="41"/>
        <v>37069.26</v>
      </c>
      <c r="J104" s="444">
        <f t="shared" si="41"/>
        <v>37069.26</v>
      </c>
      <c r="K104" s="444">
        <f t="shared" si="41"/>
        <v>41917.170000000006</v>
      </c>
      <c r="L104" s="444">
        <f t="shared" si="41"/>
        <v>41917.170000000006</v>
      </c>
      <c r="M104" s="444">
        <f t="shared" si="41"/>
        <v>41917.170000000006</v>
      </c>
      <c r="N104" s="444">
        <f>SUM(B104:M104)</f>
        <v>427153.5</v>
      </c>
    </row>
    <row r="106" spans="1:15">
      <c r="A106" s="443" t="s">
        <v>141</v>
      </c>
    </row>
    <row r="107" spans="1:15">
      <c r="A107" s="447" t="s">
        <v>47</v>
      </c>
      <c r="B107" s="448">
        <f>B100</f>
        <v>18911</v>
      </c>
      <c r="C107" s="448">
        <f t="shared" ref="C107:M107" si="42">C100</f>
        <v>18911</v>
      </c>
      <c r="D107" s="448">
        <f t="shared" si="42"/>
        <v>18911</v>
      </c>
      <c r="E107" s="448">
        <f t="shared" si="42"/>
        <v>18911</v>
      </c>
      <c r="F107" s="448">
        <f t="shared" si="42"/>
        <v>18911</v>
      </c>
      <c r="G107" s="448">
        <f t="shared" si="42"/>
        <v>22891</v>
      </c>
      <c r="H107" s="448">
        <f t="shared" si="42"/>
        <v>22891</v>
      </c>
      <c r="I107" s="448">
        <f t="shared" si="42"/>
        <v>22891</v>
      </c>
      <c r="J107" s="448">
        <f t="shared" si="42"/>
        <v>22891</v>
      </c>
      <c r="K107" s="448">
        <f t="shared" si="42"/>
        <v>25884</v>
      </c>
      <c r="L107" s="448">
        <f t="shared" si="42"/>
        <v>25884</v>
      </c>
      <c r="M107" s="448">
        <f t="shared" si="42"/>
        <v>25884</v>
      </c>
      <c r="N107" s="444">
        <f>SUM(B107:M107)</f>
        <v>263771</v>
      </c>
    </row>
    <row r="108" spans="1:15">
      <c r="A108" s="447" t="s">
        <v>45</v>
      </c>
      <c r="B108" s="449">
        <f>ROUND(B107*'Transmission Formula Rate (7)'!$B$27,0)</f>
        <v>350</v>
      </c>
      <c r="C108" s="449">
        <f>ROUND(C107*'Transmission Formula Rate (7)'!$B$27,0)</f>
        <v>350</v>
      </c>
      <c r="D108" s="449">
        <f>ROUND(D107*'Transmission Formula Rate (7)'!$B$27,0)</f>
        <v>350</v>
      </c>
      <c r="E108" s="449">
        <f>ROUND(E107*'Transmission Formula Rate (7)'!$B$27,0)</f>
        <v>350</v>
      </c>
      <c r="F108" s="449">
        <f>ROUND(F107*'Transmission Formula Rate (7)'!$B$27,0)</f>
        <v>350</v>
      </c>
      <c r="G108" s="449">
        <f>ROUND(G107*'Transmission Formula Rate (7)'!$B$27,0)</f>
        <v>423</v>
      </c>
      <c r="H108" s="449">
        <f>ROUND(H107*'Transmission Formula Rate (7)'!$B$27,0)</f>
        <v>423</v>
      </c>
      <c r="I108" s="449">
        <f>ROUND(I107*'Transmission Formula Rate (7)'!$B$27,0)</f>
        <v>423</v>
      </c>
      <c r="J108" s="449">
        <f>ROUND(J107*'Transmission Formula Rate (7)'!$B$27,0)</f>
        <v>423</v>
      </c>
      <c r="K108" s="449">
        <f>ROUND(K107*'Transmission Formula Rate (7)'!$B$27,0)</f>
        <v>479</v>
      </c>
      <c r="L108" s="449">
        <f>ROUND(L107*'Transmission Formula Rate (7)'!$B$27,0)</f>
        <v>479</v>
      </c>
      <c r="M108" s="449">
        <f>ROUND(M107*'Transmission Formula Rate (7)'!$B$27,0)</f>
        <v>479</v>
      </c>
      <c r="N108" s="444">
        <f>SUM(B108:M108)</f>
        <v>4879</v>
      </c>
    </row>
    <row r="109" spans="1:15">
      <c r="A109" s="447" t="str">
        <f>$A$16</f>
        <v xml:space="preserve">       Georgia Transmission Load</v>
      </c>
      <c r="B109" s="449">
        <f t="shared" ref="B109:M109" si="43">B107+B108</f>
        <v>19261</v>
      </c>
      <c r="C109" s="449">
        <f t="shared" si="43"/>
        <v>19261</v>
      </c>
      <c r="D109" s="449">
        <f t="shared" si="43"/>
        <v>19261</v>
      </c>
      <c r="E109" s="449">
        <f t="shared" si="43"/>
        <v>19261</v>
      </c>
      <c r="F109" s="449">
        <f t="shared" si="43"/>
        <v>19261</v>
      </c>
      <c r="G109" s="449">
        <f t="shared" si="43"/>
        <v>23314</v>
      </c>
      <c r="H109" s="449">
        <f t="shared" si="43"/>
        <v>23314</v>
      </c>
      <c r="I109" s="449">
        <f t="shared" si="43"/>
        <v>23314</v>
      </c>
      <c r="J109" s="449">
        <f t="shared" si="43"/>
        <v>23314</v>
      </c>
      <c r="K109" s="449">
        <f t="shared" si="43"/>
        <v>26363</v>
      </c>
      <c r="L109" s="449">
        <f t="shared" si="43"/>
        <v>26363</v>
      </c>
      <c r="M109" s="449">
        <f t="shared" si="43"/>
        <v>26363</v>
      </c>
      <c r="N109" s="450">
        <f>SUM(B109:M109)</f>
        <v>268650</v>
      </c>
    </row>
    <row r="110" spans="1:15">
      <c r="A110" s="443" t="s">
        <v>149</v>
      </c>
      <c r="B110" s="452">
        <f>'charges (1 &amp; 2)'!$H$39</f>
        <v>1.274E-2</v>
      </c>
      <c r="C110" s="452">
        <f>B110</f>
        <v>1.274E-2</v>
      </c>
      <c r="D110" s="452">
        <f t="shared" ref="D110:E110" si="44">C110</f>
        <v>1.274E-2</v>
      </c>
      <c r="E110" s="452">
        <f t="shared" si="44"/>
        <v>1.274E-2</v>
      </c>
      <c r="F110" s="452">
        <f>$E$110</f>
        <v>1.274E-2</v>
      </c>
      <c r="G110" s="452">
        <f t="shared" ref="G110:M110" si="45">$E$110</f>
        <v>1.274E-2</v>
      </c>
      <c r="H110" s="452">
        <f t="shared" si="45"/>
        <v>1.274E-2</v>
      </c>
      <c r="I110" s="452">
        <f t="shared" si="45"/>
        <v>1.274E-2</v>
      </c>
      <c r="J110" s="452">
        <f t="shared" si="45"/>
        <v>1.274E-2</v>
      </c>
      <c r="K110" s="452">
        <f t="shared" si="45"/>
        <v>1.274E-2</v>
      </c>
      <c r="L110" s="452">
        <f t="shared" si="45"/>
        <v>1.274E-2</v>
      </c>
      <c r="M110" s="452">
        <f t="shared" si="45"/>
        <v>1.274E-2</v>
      </c>
    </row>
    <row r="111" spans="1:15">
      <c r="A111" s="443" t="s">
        <v>17</v>
      </c>
      <c r="B111" s="444">
        <f t="shared" ref="B111:M111" si="46">B109*B110</f>
        <v>245.38513999999998</v>
      </c>
      <c r="C111" s="444">
        <f t="shared" si="46"/>
        <v>245.38513999999998</v>
      </c>
      <c r="D111" s="444">
        <f t="shared" si="46"/>
        <v>245.38513999999998</v>
      </c>
      <c r="E111" s="444">
        <f t="shared" si="46"/>
        <v>245.38513999999998</v>
      </c>
      <c r="F111" s="444">
        <f t="shared" si="46"/>
        <v>245.38513999999998</v>
      </c>
      <c r="G111" s="444">
        <f t="shared" si="46"/>
        <v>297.02035999999998</v>
      </c>
      <c r="H111" s="444">
        <f t="shared" si="46"/>
        <v>297.02035999999998</v>
      </c>
      <c r="I111" s="444">
        <f t="shared" si="46"/>
        <v>297.02035999999998</v>
      </c>
      <c r="J111" s="444">
        <f t="shared" si="46"/>
        <v>297.02035999999998</v>
      </c>
      <c r="K111" s="444">
        <f t="shared" si="46"/>
        <v>335.86462</v>
      </c>
      <c r="L111" s="444">
        <f t="shared" si="46"/>
        <v>335.86462</v>
      </c>
      <c r="M111" s="444">
        <f t="shared" si="46"/>
        <v>335.86462</v>
      </c>
      <c r="N111" s="444">
        <f>SUM(B111:M111)</f>
        <v>3422.6009999999992</v>
      </c>
    </row>
    <row r="112" spans="1:15">
      <c r="A112" s="443"/>
      <c r="B112" s="444"/>
      <c r="C112" s="444"/>
      <c r="D112" s="444"/>
      <c r="E112" s="444"/>
      <c r="F112" s="444"/>
      <c r="G112" s="444"/>
      <c r="H112" s="444"/>
      <c r="I112" s="444"/>
      <c r="J112" s="444"/>
      <c r="K112" s="444"/>
      <c r="L112" s="444"/>
      <c r="M112" s="444"/>
      <c r="N112" s="444"/>
    </row>
    <row r="113" spans="1:15">
      <c r="A113" s="443" t="s">
        <v>38</v>
      </c>
      <c r="B113" s="444"/>
      <c r="C113" s="444"/>
      <c r="D113" s="444"/>
      <c r="E113" s="444"/>
      <c r="F113" s="444"/>
      <c r="G113" s="444"/>
      <c r="H113" s="444"/>
      <c r="I113" s="444"/>
      <c r="J113" s="444"/>
      <c r="K113" s="444"/>
      <c r="L113" s="444"/>
      <c r="M113" s="444"/>
      <c r="N113" s="444"/>
    </row>
    <row r="114" spans="1:15">
      <c r="A114" s="447" t="s">
        <v>47</v>
      </c>
      <c r="B114" s="448">
        <f>B100</f>
        <v>18911</v>
      </c>
      <c r="C114" s="448">
        <f t="shared" ref="C114:M114" si="47">C100</f>
        <v>18911</v>
      </c>
      <c r="D114" s="448">
        <f t="shared" si="47"/>
        <v>18911</v>
      </c>
      <c r="E114" s="448">
        <f t="shared" si="47"/>
        <v>18911</v>
      </c>
      <c r="F114" s="448">
        <f t="shared" si="47"/>
        <v>18911</v>
      </c>
      <c r="G114" s="448">
        <f t="shared" si="47"/>
        <v>22891</v>
      </c>
      <c r="H114" s="448">
        <f t="shared" si="47"/>
        <v>22891</v>
      </c>
      <c r="I114" s="448">
        <f t="shared" si="47"/>
        <v>22891</v>
      </c>
      <c r="J114" s="448">
        <f t="shared" si="47"/>
        <v>22891</v>
      </c>
      <c r="K114" s="448">
        <f t="shared" si="47"/>
        <v>25884</v>
      </c>
      <c r="L114" s="448">
        <f t="shared" si="47"/>
        <v>25884</v>
      </c>
      <c r="M114" s="448">
        <f t="shared" si="47"/>
        <v>25884</v>
      </c>
      <c r="N114" s="444">
        <f>SUM(B114:M114)</f>
        <v>263771</v>
      </c>
    </row>
    <row r="115" spans="1:15">
      <c r="A115" s="447" t="s">
        <v>45</v>
      </c>
      <c r="B115" s="449">
        <f>ROUND(B114*'Transmission Formula Rate (7)'!$B$27,0)</f>
        <v>350</v>
      </c>
      <c r="C115" s="449">
        <f>ROUND(C114*'Transmission Formula Rate (7)'!$B$27,0)</f>
        <v>350</v>
      </c>
      <c r="D115" s="449">
        <f>ROUND(D114*'Transmission Formula Rate (7)'!$B$27,0)</f>
        <v>350</v>
      </c>
      <c r="E115" s="449">
        <f>ROUND(E114*'Transmission Formula Rate (7)'!$B$27,0)</f>
        <v>350</v>
      </c>
      <c r="F115" s="449">
        <f>ROUND(F114*'Transmission Formula Rate (7)'!$B$27,0)</f>
        <v>350</v>
      </c>
      <c r="G115" s="449">
        <f>ROUND(G114*'Transmission Formula Rate (7)'!$B$27,0)</f>
        <v>423</v>
      </c>
      <c r="H115" s="449">
        <f>ROUND(H114*'Transmission Formula Rate (7)'!$B$27,0)</f>
        <v>423</v>
      </c>
      <c r="I115" s="449">
        <f>ROUND(I114*'Transmission Formula Rate (7)'!$B$27,0)</f>
        <v>423</v>
      </c>
      <c r="J115" s="449">
        <f>ROUND(J114*'Transmission Formula Rate (7)'!$B$27,0)</f>
        <v>423</v>
      </c>
      <c r="K115" s="449">
        <f>ROUND(K114*'Transmission Formula Rate (7)'!$B$27,0)</f>
        <v>479</v>
      </c>
      <c r="L115" s="449">
        <f>ROUND(L114*'Transmission Formula Rate (7)'!$B$27,0)</f>
        <v>479</v>
      </c>
      <c r="M115" s="449">
        <f>ROUND(M114*'Transmission Formula Rate (7)'!$B$27,0)</f>
        <v>479</v>
      </c>
      <c r="N115" s="444">
        <f t="shared" ref="N115:N118" si="48">SUM(B115:M115)</f>
        <v>4879</v>
      </c>
    </row>
    <row r="116" spans="1:15">
      <c r="A116" s="447" t="str">
        <f>$A$16</f>
        <v xml:space="preserve">       Georgia Transmission Load</v>
      </c>
      <c r="B116" s="444">
        <f>B114+B115</f>
        <v>19261</v>
      </c>
      <c r="C116" s="444">
        <f t="shared" ref="C116:M116" si="49">C114+C115</f>
        <v>19261</v>
      </c>
      <c r="D116" s="444">
        <f t="shared" si="49"/>
        <v>19261</v>
      </c>
      <c r="E116" s="444">
        <f t="shared" si="49"/>
        <v>19261</v>
      </c>
      <c r="F116" s="444">
        <f t="shared" si="49"/>
        <v>19261</v>
      </c>
      <c r="G116" s="444">
        <f t="shared" si="49"/>
        <v>23314</v>
      </c>
      <c r="H116" s="444">
        <f t="shared" si="49"/>
        <v>23314</v>
      </c>
      <c r="I116" s="444">
        <f t="shared" si="49"/>
        <v>23314</v>
      </c>
      <c r="J116" s="444">
        <f t="shared" si="49"/>
        <v>23314</v>
      </c>
      <c r="K116" s="444">
        <f t="shared" si="49"/>
        <v>26363</v>
      </c>
      <c r="L116" s="444">
        <f t="shared" si="49"/>
        <v>26363</v>
      </c>
      <c r="M116" s="444">
        <f t="shared" si="49"/>
        <v>26363</v>
      </c>
      <c r="N116" s="450">
        <f t="shared" si="48"/>
        <v>268650</v>
      </c>
    </row>
    <row r="117" spans="1:15">
      <c r="A117" s="443" t="s">
        <v>150</v>
      </c>
      <c r="B117" s="452">
        <f>'charges (1 &amp; 2)'!G11</f>
        <v>0.1008</v>
      </c>
      <c r="C117" s="452">
        <f>B117</f>
        <v>0.1008</v>
      </c>
      <c r="D117" s="452">
        <f t="shared" ref="D117:M117" si="50">C117</f>
        <v>0.1008</v>
      </c>
      <c r="E117" s="452">
        <f t="shared" si="50"/>
        <v>0.1008</v>
      </c>
      <c r="F117" s="452">
        <f t="shared" si="50"/>
        <v>0.1008</v>
      </c>
      <c r="G117" s="452">
        <f t="shared" si="50"/>
        <v>0.1008</v>
      </c>
      <c r="H117" s="452">
        <f t="shared" si="50"/>
        <v>0.1008</v>
      </c>
      <c r="I117" s="452">
        <f t="shared" si="50"/>
        <v>0.1008</v>
      </c>
      <c r="J117" s="452">
        <f t="shared" si="50"/>
        <v>0.1008</v>
      </c>
      <c r="K117" s="452">
        <f t="shared" si="50"/>
        <v>0.1008</v>
      </c>
      <c r="L117" s="452">
        <f t="shared" si="50"/>
        <v>0.1008</v>
      </c>
      <c r="M117" s="452">
        <f t="shared" si="50"/>
        <v>0.1008</v>
      </c>
      <c r="N117" s="444"/>
    </row>
    <row r="118" spans="1:15">
      <c r="A118" s="443" t="s">
        <v>17</v>
      </c>
      <c r="B118" s="444">
        <f>B116*B117</f>
        <v>1941.5088000000001</v>
      </c>
      <c r="C118" s="444">
        <f t="shared" ref="C118:M118" si="51">C116*C117</f>
        <v>1941.5088000000001</v>
      </c>
      <c r="D118" s="444">
        <f t="shared" si="51"/>
        <v>1941.5088000000001</v>
      </c>
      <c r="E118" s="444">
        <f t="shared" si="51"/>
        <v>1941.5088000000001</v>
      </c>
      <c r="F118" s="444">
        <f t="shared" si="51"/>
        <v>1941.5088000000001</v>
      </c>
      <c r="G118" s="444">
        <f t="shared" si="51"/>
        <v>2350.0511999999999</v>
      </c>
      <c r="H118" s="444">
        <f t="shared" si="51"/>
        <v>2350.0511999999999</v>
      </c>
      <c r="I118" s="444">
        <f t="shared" si="51"/>
        <v>2350.0511999999999</v>
      </c>
      <c r="J118" s="444">
        <f t="shared" si="51"/>
        <v>2350.0511999999999</v>
      </c>
      <c r="K118" s="444">
        <f t="shared" si="51"/>
        <v>2657.3904000000002</v>
      </c>
      <c r="L118" s="444">
        <f t="shared" si="51"/>
        <v>2657.3904000000002</v>
      </c>
      <c r="M118" s="444">
        <f t="shared" si="51"/>
        <v>2657.3904000000002</v>
      </c>
      <c r="N118" s="444">
        <f t="shared" si="48"/>
        <v>27079.920000000002</v>
      </c>
    </row>
    <row r="120" spans="1:15">
      <c r="B120" s="442" t="s">
        <v>0</v>
      </c>
      <c r="C120" s="442" t="s">
        <v>1</v>
      </c>
      <c r="D120" s="442" t="s">
        <v>2</v>
      </c>
      <c r="E120" s="442" t="s">
        <v>3</v>
      </c>
      <c r="F120" s="442" t="s">
        <v>4</v>
      </c>
      <c r="G120" s="442" t="s">
        <v>5</v>
      </c>
      <c r="H120" s="442" t="s">
        <v>6</v>
      </c>
      <c r="I120" s="442" t="s">
        <v>7</v>
      </c>
      <c r="J120" s="442" t="s">
        <v>8</v>
      </c>
      <c r="K120" s="442" t="s">
        <v>9</v>
      </c>
      <c r="L120" s="442" t="s">
        <v>10</v>
      </c>
      <c r="M120" s="442" t="s">
        <v>11</v>
      </c>
      <c r="N120" s="442" t="s">
        <v>12</v>
      </c>
    </row>
    <row r="121" spans="1:15">
      <c r="A121" s="446">
        <f>A98+1</f>
        <v>2019</v>
      </c>
      <c r="B121" s="444"/>
      <c r="C121" s="444"/>
      <c r="D121" s="444"/>
      <c r="E121" s="444"/>
      <c r="F121" s="444"/>
      <c r="G121" s="444"/>
      <c r="H121" s="444"/>
      <c r="I121" s="444"/>
      <c r="J121" s="444"/>
      <c r="K121" s="444"/>
      <c r="L121" s="444"/>
      <c r="M121" s="444"/>
      <c r="N121" s="444"/>
    </row>
    <row r="122" spans="1:15">
      <c r="A122" s="443" t="s">
        <v>37</v>
      </c>
    </row>
    <row r="123" spans="1:15">
      <c r="A123" s="447" t="s">
        <v>47</v>
      </c>
      <c r="B123" s="448">
        <f>'[8]Table 1'!$F$18</f>
        <v>25884</v>
      </c>
      <c r="C123" s="448">
        <f>'[8]Table 1'!$F$18</f>
        <v>25884</v>
      </c>
      <c r="D123" s="448">
        <f>'[8]Table 1'!$F$18</f>
        <v>25884</v>
      </c>
      <c r="E123" s="448">
        <f>'[8]Table 1'!$F$18</f>
        <v>25884</v>
      </c>
      <c r="F123" s="448">
        <f>'[8]Table 1'!$F$18</f>
        <v>25884</v>
      </c>
      <c r="G123" s="448">
        <f>'[8]Table 1'!$G$13</f>
        <v>25883</v>
      </c>
      <c r="H123" s="448">
        <f>'[8]Table 1'!$G$13</f>
        <v>25883</v>
      </c>
      <c r="I123" s="448">
        <f>'[8]Table 1'!$G$13</f>
        <v>25883</v>
      </c>
      <c r="J123" s="448">
        <f>'[8]Table 1'!$G$13</f>
        <v>25883</v>
      </c>
      <c r="K123" s="448">
        <f>'[8]Table 1'!$G$18</f>
        <v>28869</v>
      </c>
      <c r="L123" s="448">
        <f>'[8]Table 1'!$G$18</f>
        <v>28869</v>
      </c>
      <c r="M123" s="448">
        <f>'[8]Table 1'!$G$18</f>
        <v>28869</v>
      </c>
      <c r="N123" s="444">
        <f>SUM(B123:M123)</f>
        <v>319559</v>
      </c>
    </row>
    <row r="124" spans="1:15">
      <c r="A124" s="447" t="s">
        <v>45</v>
      </c>
      <c r="B124" s="449">
        <f>ROUND(B123*'Transmission Formula Rate (7)'!$B$27,0)</f>
        <v>479</v>
      </c>
      <c r="C124" s="449">
        <f>ROUND(C123*'Transmission Formula Rate (7)'!$B$27,0)</f>
        <v>479</v>
      </c>
      <c r="D124" s="449">
        <f>ROUND(D123*'Transmission Formula Rate (7)'!$B$27,0)</f>
        <v>479</v>
      </c>
      <c r="E124" s="449">
        <f>ROUND(E123*'Transmission Formula Rate (7)'!$B$27,0)</f>
        <v>479</v>
      </c>
      <c r="F124" s="449">
        <f>ROUND(F123*'Transmission Formula Rate (7)'!$B$27,0)</f>
        <v>479</v>
      </c>
      <c r="G124" s="449">
        <f>ROUND(G123*'Transmission Formula Rate (7)'!$B$27,0)</f>
        <v>479</v>
      </c>
      <c r="H124" s="449">
        <f>ROUND(H123*'Transmission Formula Rate (7)'!$B$27,0)</f>
        <v>479</v>
      </c>
      <c r="I124" s="449">
        <f>ROUND(I123*'Transmission Formula Rate (7)'!$B$27,0)</f>
        <v>479</v>
      </c>
      <c r="J124" s="449">
        <f>ROUND(J123*'Transmission Formula Rate (7)'!$B$27,0)</f>
        <v>479</v>
      </c>
      <c r="K124" s="449">
        <f>ROUND(K123*'Transmission Formula Rate (7)'!$B$27,0)</f>
        <v>534</v>
      </c>
      <c r="L124" s="449">
        <f>ROUND(L123*'Transmission Formula Rate (7)'!$B$27,0)</f>
        <v>534</v>
      </c>
      <c r="M124" s="449">
        <f>ROUND(M123*'Transmission Formula Rate (7)'!$B$27,0)</f>
        <v>534</v>
      </c>
      <c r="N124" s="444">
        <f>SUM(B124:M124)</f>
        <v>5913</v>
      </c>
    </row>
    <row r="125" spans="1:15">
      <c r="A125" s="447" t="str">
        <f>$A$16</f>
        <v xml:space="preserve">       Georgia Transmission Load</v>
      </c>
      <c r="B125" s="449">
        <f t="shared" ref="B125:M125" si="52">B123+B124</f>
        <v>26363</v>
      </c>
      <c r="C125" s="449">
        <f t="shared" si="52"/>
        <v>26363</v>
      </c>
      <c r="D125" s="449">
        <f t="shared" si="52"/>
        <v>26363</v>
      </c>
      <c r="E125" s="449">
        <f t="shared" si="52"/>
        <v>26363</v>
      </c>
      <c r="F125" s="449">
        <f t="shared" si="52"/>
        <v>26363</v>
      </c>
      <c r="G125" s="449">
        <f t="shared" si="52"/>
        <v>26362</v>
      </c>
      <c r="H125" s="449">
        <f t="shared" si="52"/>
        <v>26362</v>
      </c>
      <c r="I125" s="449">
        <f t="shared" si="52"/>
        <v>26362</v>
      </c>
      <c r="J125" s="449">
        <f t="shared" si="52"/>
        <v>26362</v>
      </c>
      <c r="K125" s="449">
        <f t="shared" si="52"/>
        <v>29403</v>
      </c>
      <c r="L125" s="449">
        <f t="shared" si="52"/>
        <v>29403</v>
      </c>
      <c r="M125" s="449">
        <f t="shared" si="52"/>
        <v>29403</v>
      </c>
      <c r="N125" s="450">
        <f>SUM(B125:M125)</f>
        <v>325472</v>
      </c>
    </row>
    <row r="126" spans="1:15">
      <c r="A126" s="443" t="s">
        <v>20</v>
      </c>
      <c r="B126" s="451">
        <f>B103</f>
        <v>1.59</v>
      </c>
      <c r="C126" s="451">
        <f t="shared" ref="C126:M126" si="53">C103</f>
        <v>1.59</v>
      </c>
      <c r="D126" s="451">
        <f t="shared" si="53"/>
        <v>1.59</v>
      </c>
      <c r="E126" s="451">
        <f t="shared" si="53"/>
        <v>1.59</v>
      </c>
      <c r="F126" s="451">
        <f t="shared" si="53"/>
        <v>1.59</v>
      </c>
      <c r="G126" s="451">
        <f t="shared" si="53"/>
        <v>1.59</v>
      </c>
      <c r="H126" s="451">
        <f t="shared" si="53"/>
        <v>1.59</v>
      </c>
      <c r="I126" s="451">
        <f t="shared" si="53"/>
        <v>1.59</v>
      </c>
      <c r="J126" s="451">
        <f t="shared" si="53"/>
        <v>1.59</v>
      </c>
      <c r="K126" s="451">
        <f t="shared" si="53"/>
        <v>1.59</v>
      </c>
      <c r="L126" s="451">
        <f t="shared" si="53"/>
        <v>1.59</v>
      </c>
      <c r="M126" s="451">
        <f t="shared" si="53"/>
        <v>1.59</v>
      </c>
      <c r="O126" s="453"/>
    </row>
    <row r="127" spans="1:15">
      <c r="A127" s="443" t="s">
        <v>17</v>
      </c>
      <c r="B127" s="444">
        <f t="shared" ref="B127:M127" si="54">B125*B126</f>
        <v>41917.170000000006</v>
      </c>
      <c r="C127" s="444">
        <f t="shared" si="54"/>
        <v>41917.170000000006</v>
      </c>
      <c r="D127" s="444">
        <f t="shared" si="54"/>
        <v>41917.170000000006</v>
      </c>
      <c r="E127" s="444">
        <f t="shared" si="54"/>
        <v>41917.170000000006</v>
      </c>
      <c r="F127" s="444">
        <f t="shared" si="54"/>
        <v>41917.170000000006</v>
      </c>
      <c r="G127" s="444">
        <f t="shared" si="54"/>
        <v>41915.58</v>
      </c>
      <c r="H127" s="444">
        <f t="shared" si="54"/>
        <v>41915.58</v>
      </c>
      <c r="I127" s="444">
        <f t="shared" si="54"/>
        <v>41915.58</v>
      </c>
      <c r="J127" s="444">
        <f t="shared" si="54"/>
        <v>41915.58</v>
      </c>
      <c r="K127" s="444">
        <f t="shared" si="54"/>
        <v>46750.770000000004</v>
      </c>
      <c r="L127" s="444">
        <f t="shared" si="54"/>
        <v>46750.770000000004</v>
      </c>
      <c r="M127" s="444">
        <f t="shared" si="54"/>
        <v>46750.770000000004</v>
      </c>
      <c r="N127" s="444">
        <f>SUM(B127:M127)</f>
        <v>517500.48000000016</v>
      </c>
    </row>
    <row r="129" spans="1:14">
      <c r="A129" s="443" t="s">
        <v>141</v>
      </c>
    </row>
    <row r="130" spans="1:14">
      <c r="A130" s="447" t="s">
        <v>47</v>
      </c>
      <c r="B130" s="448">
        <f>B123</f>
        <v>25884</v>
      </c>
      <c r="C130" s="448">
        <f t="shared" ref="C130:M130" si="55">C123</f>
        <v>25884</v>
      </c>
      <c r="D130" s="448">
        <f t="shared" si="55"/>
        <v>25884</v>
      </c>
      <c r="E130" s="448">
        <f t="shared" si="55"/>
        <v>25884</v>
      </c>
      <c r="F130" s="448">
        <f t="shared" si="55"/>
        <v>25884</v>
      </c>
      <c r="G130" s="448">
        <f t="shared" si="55"/>
        <v>25883</v>
      </c>
      <c r="H130" s="448">
        <f t="shared" si="55"/>
        <v>25883</v>
      </c>
      <c r="I130" s="448">
        <f t="shared" si="55"/>
        <v>25883</v>
      </c>
      <c r="J130" s="448">
        <f t="shared" si="55"/>
        <v>25883</v>
      </c>
      <c r="K130" s="448">
        <f t="shared" si="55"/>
        <v>28869</v>
      </c>
      <c r="L130" s="448">
        <f t="shared" si="55"/>
        <v>28869</v>
      </c>
      <c r="M130" s="448">
        <f t="shared" si="55"/>
        <v>28869</v>
      </c>
      <c r="N130" s="444">
        <f>SUM(B130:M130)</f>
        <v>319559</v>
      </c>
    </row>
    <row r="131" spans="1:14">
      <c r="A131" s="447" t="s">
        <v>45</v>
      </c>
      <c r="B131" s="449">
        <f>ROUND(B130*'Transmission Formula Rate (7)'!$B$27,0)</f>
        <v>479</v>
      </c>
      <c r="C131" s="449">
        <f>ROUND(C130*'Transmission Formula Rate (7)'!$B$27,0)</f>
        <v>479</v>
      </c>
      <c r="D131" s="449">
        <f>ROUND(D130*'Transmission Formula Rate (7)'!$B$27,0)</f>
        <v>479</v>
      </c>
      <c r="E131" s="449">
        <f>ROUND(E130*'Transmission Formula Rate (7)'!$B$27,0)</f>
        <v>479</v>
      </c>
      <c r="F131" s="449">
        <f>ROUND(F130*'Transmission Formula Rate (7)'!$B$27,0)</f>
        <v>479</v>
      </c>
      <c r="G131" s="449">
        <f>ROUND(G130*'Transmission Formula Rate (7)'!$B$27,0)</f>
        <v>479</v>
      </c>
      <c r="H131" s="449">
        <f>ROUND(H130*'Transmission Formula Rate (7)'!$B$27,0)</f>
        <v>479</v>
      </c>
      <c r="I131" s="449">
        <f>ROUND(I130*'Transmission Formula Rate (7)'!$B$27,0)</f>
        <v>479</v>
      </c>
      <c r="J131" s="449">
        <f>ROUND(J130*'Transmission Formula Rate (7)'!$B$27,0)</f>
        <v>479</v>
      </c>
      <c r="K131" s="449">
        <f>ROUND(K130*'Transmission Formula Rate (7)'!$B$27,0)</f>
        <v>534</v>
      </c>
      <c r="L131" s="449">
        <f>ROUND(L130*'Transmission Formula Rate (7)'!$B$27,0)</f>
        <v>534</v>
      </c>
      <c r="M131" s="449">
        <f>ROUND(M130*'Transmission Formula Rate (7)'!$B$27,0)</f>
        <v>534</v>
      </c>
      <c r="N131" s="444">
        <f>SUM(B131:M131)</f>
        <v>5913</v>
      </c>
    </row>
    <row r="132" spans="1:14">
      <c r="A132" s="447" t="str">
        <f>$A$16</f>
        <v xml:space="preserve">       Georgia Transmission Load</v>
      </c>
      <c r="B132" s="449">
        <f t="shared" ref="B132:M132" si="56">B130+B131</f>
        <v>26363</v>
      </c>
      <c r="C132" s="449">
        <f t="shared" si="56"/>
        <v>26363</v>
      </c>
      <c r="D132" s="449">
        <f t="shared" si="56"/>
        <v>26363</v>
      </c>
      <c r="E132" s="449">
        <f t="shared" si="56"/>
        <v>26363</v>
      </c>
      <c r="F132" s="449">
        <f t="shared" si="56"/>
        <v>26363</v>
      </c>
      <c r="G132" s="449">
        <f t="shared" si="56"/>
        <v>26362</v>
      </c>
      <c r="H132" s="449">
        <f t="shared" si="56"/>
        <v>26362</v>
      </c>
      <c r="I132" s="449">
        <f t="shared" si="56"/>
        <v>26362</v>
      </c>
      <c r="J132" s="449">
        <f t="shared" si="56"/>
        <v>26362</v>
      </c>
      <c r="K132" s="449">
        <f t="shared" si="56"/>
        <v>29403</v>
      </c>
      <c r="L132" s="449">
        <f t="shared" si="56"/>
        <v>29403</v>
      </c>
      <c r="M132" s="449">
        <f t="shared" si="56"/>
        <v>29403</v>
      </c>
      <c r="N132" s="450">
        <f>SUM(B132:M132)</f>
        <v>325472</v>
      </c>
    </row>
    <row r="133" spans="1:14">
      <c r="A133" s="443" t="s">
        <v>149</v>
      </c>
      <c r="B133" s="452">
        <f>'charges (1 &amp; 2)'!$H$39</f>
        <v>1.274E-2</v>
      </c>
      <c r="C133" s="452">
        <f>B133</f>
        <v>1.274E-2</v>
      </c>
      <c r="D133" s="452">
        <f t="shared" ref="D133:M133" si="57">C133</f>
        <v>1.274E-2</v>
      </c>
      <c r="E133" s="452">
        <f t="shared" si="57"/>
        <v>1.274E-2</v>
      </c>
      <c r="F133" s="452">
        <f t="shared" si="57"/>
        <v>1.274E-2</v>
      </c>
      <c r="G133" s="452">
        <f t="shared" si="57"/>
        <v>1.274E-2</v>
      </c>
      <c r="H133" s="452">
        <f t="shared" si="57"/>
        <v>1.274E-2</v>
      </c>
      <c r="I133" s="452">
        <f t="shared" si="57"/>
        <v>1.274E-2</v>
      </c>
      <c r="J133" s="452">
        <f t="shared" si="57"/>
        <v>1.274E-2</v>
      </c>
      <c r="K133" s="452">
        <f t="shared" si="57"/>
        <v>1.274E-2</v>
      </c>
      <c r="L133" s="452">
        <f t="shared" si="57"/>
        <v>1.274E-2</v>
      </c>
      <c r="M133" s="452">
        <f t="shared" si="57"/>
        <v>1.274E-2</v>
      </c>
    </row>
    <row r="134" spans="1:14">
      <c r="A134" s="443" t="s">
        <v>17</v>
      </c>
      <c r="B134" s="444">
        <f>B132*B133</f>
        <v>335.86462</v>
      </c>
      <c r="C134" s="444">
        <f t="shared" ref="C134:M134" si="58">C132*C133</f>
        <v>335.86462</v>
      </c>
      <c r="D134" s="444">
        <f t="shared" si="58"/>
        <v>335.86462</v>
      </c>
      <c r="E134" s="444">
        <f t="shared" si="58"/>
        <v>335.86462</v>
      </c>
      <c r="F134" s="444">
        <f t="shared" si="58"/>
        <v>335.86462</v>
      </c>
      <c r="G134" s="444">
        <f t="shared" si="58"/>
        <v>335.85187999999999</v>
      </c>
      <c r="H134" s="444">
        <f t="shared" si="58"/>
        <v>335.85187999999999</v>
      </c>
      <c r="I134" s="444">
        <f t="shared" si="58"/>
        <v>335.85187999999999</v>
      </c>
      <c r="J134" s="444">
        <f t="shared" si="58"/>
        <v>335.85187999999999</v>
      </c>
      <c r="K134" s="444">
        <f t="shared" si="58"/>
        <v>374.59422000000001</v>
      </c>
      <c r="L134" s="444">
        <f t="shared" si="58"/>
        <v>374.59422000000001</v>
      </c>
      <c r="M134" s="444">
        <f t="shared" si="58"/>
        <v>374.59422000000001</v>
      </c>
      <c r="N134" s="444">
        <f>SUM(B134:M134)</f>
        <v>4146.5132800000001</v>
      </c>
    </row>
    <row r="135" spans="1:14">
      <c r="A135" s="443"/>
      <c r="B135" s="444"/>
      <c r="C135" s="444"/>
      <c r="D135" s="444"/>
      <c r="E135" s="444"/>
      <c r="F135" s="444"/>
      <c r="G135" s="444"/>
      <c r="H135" s="444"/>
      <c r="I135" s="444"/>
      <c r="J135" s="444"/>
      <c r="K135" s="444"/>
      <c r="L135" s="444"/>
      <c r="M135" s="444"/>
      <c r="N135" s="444"/>
    </row>
    <row r="136" spans="1:14">
      <c r="A136" s="443" t="s">
        <v>38</v>
      </c>
      <c r="B136" s="444"/>
      <c r="C136" s="444"/>
      <c r="D136" s="444"/>
      <c r="E136" s="444"/>
      <c r="F136" s="444"/>
      <c r="G136" s="444"/>
      <c r="H136" s="444"/>
      <c r="I136" s="444"/>
      <c r="J136" s="444"/>
      <c r="K136" s="444"/>
      <c r="L136" s="444"/>
      <c r="M136" s="444"/>
      <c r="N136" s="444"/>
    </row>
    <row r="137" spans="1:14">
      <c r="A137" s="447" t="s">
        <v>47</v>
      </c>
      <c r="B137" s="448">
        <f>B123</f>
        <v>25884</v>
      </c>
      <c r="C137" s="448">
        <f t="shared" ref="C137:M137" si="59">C123</f>
        <v>25884</v>
      </c>
      <c r="D137" s="448">
        <f t="shared" si="59"/>
        <v>25884</v>
      </c>
      <c r="E137" s="448">
        <f t="shared" si="59"/>
        <v>25884</v>
      </c>
      <c r="F137" s="448">
        <f t="shared" si="59"/>
        <v>25884</v>
      </c>
      <c r="G137" s="448">
        <f t="shared" si="59"/>
        <v>25883</v>
      </c>
      <c r="H137" s="448">
        <f t="shared" si="59"/>
        <v>25883</v>
      </c>
      <c r="I137" s="448">
        <f t="shared" si="59"/>
        <v>25883</v>
      </c>
      <c r="J137" s="448">
        <f t="shared" si="59"/>
        <v>25883</v>
      </c>
      <c r="K137" s="448">
        <f t="shared" si="59"/>
        <v>28869</v>
      </c>
      <c r="L137" s="448">
        <f t="shared" si="59"/>
        <v>28869</v>
      </c>
      <c r="M137" s="448">
        <f t="shared" si="59"/>
        <v>28869</v>
      </c>
      <c r="N137" s="444">
        <f>SUM(B137:M137)</f>
        <v>319559</v>
      </c>
    </row>
    <row r="138" spans="1:14">
      <c r="A138" s="447" t="s">
        <v>45</v>
      </c>
      <c r="B138" s="449">
        <f>ROUND(B137*'Transmission Formula Rate (7)'!$B$27,0)</f>
        <v>479</v>
      </c>
      <c r="C138" s="449">
        <f>ROUND(C137*'Transmission Formula Rate (7)'!$B$27,0)</f>
        <v>479</v>
      </c>
      <c r="D138" s="449">
        <f>ROUND(D137*'Transmission Formula Rate (7)'!$B$27,0)</f>
        <v>479</v>
      </c>
      <c r="E138" s="449">
        <f>ROUND(E137*'Transmission Formula Rate (7)'!$B$27,0)</f>
        <v>479</v>
      </c>
      <c r="F138" s="449">
        <f>ROUND(F137*'Transmission Formula Rate (7)'!$B$27,0)</f>
        <v>479</v>
      </c>
      <c r="G138" s="449">
        <f>ROUND(G137*'Transmission Formula Rate (7)'!$B$27,0)</f>
        <v>479</v>
      </c>
      <c r="H138" s="449">
        <f>ROUND(H137*'Transmission Formula Rate (7)'!$B$27,0)</f>
        <v>479</v>
      </c>
      <c r="I138" s="449">
        <f>ROUND(I137*'Transmission Formula Rate (7)'!$B$27,0)</f>
        <v>479</v>
      </c>
      <c r="J138" s="449">
        <f>ROUND(J137*'Transmission Formula Rate (7)'!$B$27,0)</f>
        <v>479</v>
      </c>
      <c r="K138" s="449">
        <f>ROUND(K137*'Transmission Formula Rate (7)'!$B$27,0)</f>
        <v>534</v>
      </c>
      <c r="L138" s="449">
        <f>ROUND(L137*'Transmission Formula Rate (7)'!$B$27,0)</f>
        <v>534</v>
      </c>
      <c r="M138" s="449">
        <f>ROUND(M137*'Transmission Formula Rate (7)'!$B$27,0)</f>
        <v>534</v>
      </c>
      <c r="N138" s="444">
        <f t="shared" ref="N138:N141" si="60">SUM(B138:M138)</f>
        <v>5913</v>
      </c>
    </row>
    <row r="139" spans="1:14">
      <c r="A139" s="447" t="str">
        <f>$A$16</f>
        <v xml:space="preserve">       Georgia Transmission Load</v>
      </c>
      <c r="B139" s="444">
        <f>B137+B138</f>
        <v>26363</v>
      </c>
      <c r="C139" s="444">
        <f t="shared" ref="C139:M139" si="61">C137+C138</f>
        <v>26363</v>
      </c>
      <c r="D139" s="444">
        <f t="shared" si="61"/>
        <v>26363</v>
      </c>
      <c r="E139" s="444">
        <f t="shared" si="61"/>
        <v>26363</v>
      </c>
      <c r="F139" s="444">
        <f t="shared" si="61"/>
        <v>26363</v>
      </c>
      <c r="G139" s="444">
        <f t="shared" si="61"/>
        <v>26362</v>
      </c>
      <c r="H139" s="444">
        <f t="shared" si="61"/>
        <v>26362</v>
      </c>
      <c r="I139" s="444">
        <f t="shared" si="61"/>
        <v>26362</v>
      </c>
      <c r="J139" s="444">
        <f t="shared" si="61"/>
        <v>26362</v>
      </c>
      <c r="K139" s="444">
        <f t="shared" si="61"/>
        <v>29403</v>
      </c>
      <c r="L139" s="444">
        <f t="shared" si="61"/>
        <v>29403</v>
      </c>
      <c r="M139" s="444">
        <f t="shared" si="61"/>
        <v>29403</v>
      </c>
      <c r="N139" s="450">
        <f t="shared" si="60"/>
        <v>325472</v>
      </c>
    </row>
    <row r="140" spans="1:14">
      <c r="A140" s="443" t="s">
        <v>150</v>
      </c>
      <c r="B140" s="452">
        <f>'charges (1 &amp; 2)'!H11</f>
        <v>0.1008</v>
      </c>
      <c r="C140" s="452">
        <f>B140</f>
        <v>0.1008</v>
      </c>
      <c r="D140" s="452">
        <f t="shared" ref="D140:M140" si="62">C140</f>
        <v>0.1008</v>
      </c>
      <c r="E140" s="452">
        <f t="shared" si="62"/>
        <v>0.1008</v>
      </c>
      <c r="F140" s="452">
        <f t="shared" si="62"/>
        <v>0.1008</v>
      </c>
      <c r="G140" s="452">
        <f t="shared" si="62"/>
        <v>0.1008</v>
      </c>
      <c r="H140" s="452">
        <f t="shared" si="62"/>
        <v>0.1008</v>
      </c>
      <c r="I140" s="452">
        <f t="shared" si="62"/>
        <v>0.1008</v>
      </c>
      <c r="J140" s="452">
        <f t="shared" si="62"/>
        <v>0.1008</v>
      </c>
      <c r="K140" s="452">
        <f t="shared" si="62"/>
        <v>0.1008</v>
      </c>
      <c r="L140" s="452">
        <f t="shared" si="62"/>
        <v>0.1008</v>
      </c>
      <c r="M140" s="452">
        <f t="shared" si="62"/>
        <v>0.1008</v>
      </c>
      <c r="N140" s="444"/>
    </row>
    <row r="141" spans="1:14">
      <c r="A141" s="443" t="s">
        <v>17</v>
      </c>
      <c r="B141" s="444">
        <f>B139*B140</f>
        <v>2657.3904000000002</v>
      </c>
      <c r="C141" s="444">
        <f t="shared" ref="C141:M141" si="63">C139*C140</f>
        <v>2657.3904000000002</v>
      </c>
      <c r="D141" s="444">
        <f t="shared" si="63"/>
        <v>2657.3904000000002</v>
      </c>
      <c r="E141" s="444">
        <f t="shared" si="63"/>
        <v>2657.3904000000002</v>
      </c>
      <c r="F141" s="444">
        <f t="shared" si="63"/>
        <v>2657.3904000000002</v>
      </c>
      <c r="G141" s="444">
        <f t="shared" si="63"/>
        <v>2657.2896000000001</v>
      </c>
      <c r="H141" s="444">
        <f t="shared" si="63"/>
        <v>2657.2896000000001</v>
      </c>
      <c r="I141" s="444">
        <f t="shared" si="63"/>
        <v>2657.2896000000001</v>
      </c>
      <c r="J141" s="444">
        <f t="shared" si="63"/>
        <v>2657.2896000000001</v>
      </c>
      <c r="K141" s="444">
        <f t="shared" si="63"/>
        <v>2963.8224</v>
      </c>
      <c r="L141" s="444">
        <f t="shared" si="63"/>
        <v>2963.8224</v>
      </c>
      <c r="M141" s="444">
        <f t="shared" si="63"/>
        <v>2963.8224</v>
      </c>
      <c r="N141" s="444">
        <f t="shared" si="60"/>
        <v>32807.577600000004</v>
      </c>
    </row>
    <row r="143" spans="1:14">
      <c r="B143" s="442" t="s">
        <v>0</v>
      </c>
      <c r="C143" s="442" t="s">
        <v>1</v>
      </c>
      <c r="D143" s="442" t="s">
        <v>2</v>
      </c>
      <c r="E143" s="442" t="s">
        <v>3</v>
      </c>
      <c r="F143" s="442" t="s">
        <v>4</v>
      </c>
      <c r="G143" s="442" t="s">
        <v>5</v>
      </c>
      <c r="H143" s="442" t="s">
        <v>6</v>
      </c>
      <c r="I143" s="442" t="s">
        <v>7</v>
      </c>
      <c r="J143" s="442" t="s">
        <v>8</v>
      </c>
      <c r="K143" s="442" t="s">
        <v>9</v>
      </c>
      <c r="L143" s="442" t="s">
        <v>10</v>
      </c>
      <c r="M143" s="442" t="s">
        <v>11</v>
      </c>
      <c r="N143" s="442" t="s">
        <v>12</v>
      </c>
    </row>
    <row r="144" spans="1:14">
      <c r="A144" s="446">
        <f>A121+1</f>
        <v>2020</v>
      </c>
      <c r="B144" s="444"/>
      <c r="C144" s="444"/>
      <c r="D144" s="444"/>
      <c r="E144" s="444"/>
      <c r="F144" s="444"/>
      <c r="G144" s="444"/>
      <c r="H144" s="444"/>
      <c r="I144" s="444"/>
      <c r="J144" s="444"/>
      <c r="K144" s="444"/>
      <c r="L144" s="444"/>
      <c r="M144" s="444"/>
      <c r="N144" s="444"/>
    </row>
    <row r="145" spans="1:16">
      <c r="A145" s="443" t="s">
        <v>37</v>
      </c>
    </row>
    <row r="146" spans="1:16">
      <c r="A146" s="447" t="s">
        <v>47</v>
      </c>
      <c r="B146" s="448">
        <f>'[8]Table 1'!$G$18</f>
        <v>28869</v>
      </c>
      <c r="C146" s="448">
        <v>0</v>
      </c>
      <c r="D146" s="448">
        <v>0</v>
      </c>
      <c r="E146" s="448">
        <v>0</v>
      </c>
      <c r="F146" s="448">
        <v>0</v>
      </c>
      <c r="G146" s="448">
        <v>0</v>
      </c>
      <c r="H146" s="448">
        <v>0</v>
      </c>
      <c r="I146" s="448">
        <v>0</v>
      </c>
      <c r="J146" s="448">
        <v>0</v>
      </c>
      <c r="K146" s="448">
        <v>0</v>
      </c>
      <c r="L146" s="448">
        <v>0</v>
      </c>
      <c r="M146" s="448">
        <v>0</v>
      </c>
      <c r="N146" s="444">
        <f>SUM(B146:M146)</f>
        <v>28869</v>
      </c>
      <c r="P146" s="437" t="s">
        <v>453</v>
      </c>
    </row>
    <row r="147" spans="1:16">
      <c r="A147" s="447" t="s">
        <v>45</v>
      </c>
      <c r="B147" s="449">
        <f>ROUND(B146*'Transmission Formula Rate (7)'!$B$27,0)</f>
        <v>534</v>
      </c>
      <c r="C147" s="449">
        <f>ROUND(C146*'Transmission Formula Rate (7)'!$B$27,0)</f>
        <v>0</v>
      </c>
      <c r="D147" s="449">
        <f>ROUND(D146*'Transmission Formula Rate (7)'!$B$27,0)</f>
        <v>0</v>
      </c>
      <c r="E147" s="449">
        <f>ROUND(E146*'Transmission Formula Rate (7)'!$B$27,0)</f>
        <v>0</v>
      </c>
      <c r="F147" s="449">
        <f>ROUND(F146*'Transmission Formula Rate (7)'!$B$27,0)</f>
        <v>0</v>
      </c>
      <c r="G147" s="449">
        <f>ROUND(G146*'Transmission Formula Rate (7)'!$B$27,0)</f>
        <v>0</v>
      </c>
      <c r="H147" s="449">
        <f>ROUND(H146*'Transmission Formula Rate (7)'!$B$27,0)</f>
        <v>0</v>
      </c>
      <c r="I147" s="449">
        <f>ROUND(I146*'Transmission Formula Rate (7)'!$B$27,0)</f>
        <v>0</v>
      </c>
      <c r="J147" s="449">
        <f>ROUND(J146*'Transmission Formula Rate (7)'!$B$27,0)</f>
        <v>0</v>
      </c>
      <c r="K147" s="449">
        <f>ROUND(K146*'Transmission Formula Rate (7)'!$B$27,0)</f>
        <v>0</v>
      </c>
      <c r="L147" s="449">
        <f>ROUND(L146*'Transmission Formula Rate (7)'!$B$27,0)</f>
        <v>0</v>
      </c>
      <c r="M147" s="449">
        <f>ROUND(M146*'Transmission Formula Rate (7)'!$B$27,0)</f>
        <v>0</v>
      </c>
      <c r="N147" s="444">
        <f>SUM(B147:M147)</f>
        <v>534</v>
      </c>
    </row>
    <row r="148" spans="1:16">
      <c r="A148" s="447" t="str">
        <f>$A$16</f>
        <v xml:space="preserve">       Georgia Transmission Load</v>
      </c>
      <c r="B148" s="449">
        <f t="shared" ref="B148:M148" si="64">B146+B147</f>
        <v>29403</v>
      </c>
      <c r="C148" s="449">
        <f t="shared" si="64"/>
        <v>0</v>
      </c>
      <c r="D148" s="449">
        <f t="shared" si="64"/>
        <v>0</v>
      </c>
      <c r="E148" s="449">
        <f t="shared" si="64"/>
        <v>0</v>
      </c>
      <c r="F148" s="449">
        <f t="shared" si="64"/>
        <v>0</v>
      </c>
      <c r="G148" s="449">
        <f t="shared" si="64"/>
        <v>0</v>
      </c>
      <c r="H148" s="449">
        <f t="shared" si="64"/>
        <v>0</v>
      </c>
      <c r="I148" s="449">
        <f t="shared" si="64"/>
        <v>0</v>
      </c>
      <c r="J148" s="449">
        <f t="shared" si="64"/>
        <v>0</v>
      </c>
      <c r="K148" s="449">
        <f t="shared" si="64"/>
        <v>0</v>
      </c>
      <c r="L148" s="449">
        <f t="shared" si="64"/>
        <v>0</v>
      </c>
      <c r="M148" s="449">
        <f t="shared" si="64"/>
        <v>0</v>
      </c>
      <c r="N148" s="450">
        <f>SUM(B148:M148)</f>
        <v>29403</v>
      </c>
    </row>
    <row r="149" spans="1:16">
      <c r="A149" s="443" t="s">
        <v>20</v>
      </c>
      <c r="B149" s="451">
        <f>B126</f>
        <v>1.59</v>
      </c>
      <c r="C149" s="451">
        <f t="shared" ref="C149:M149" si="65">C126</f>
        <v>1.59</v>
      </c>
      <c r="D149" s="451">
        <f t="shared" si="65"/>
        <v>1.59</v>
      </c>
      <c r="E149" s="451">
        <f t="shared" si="65"/>
        <v>1.59</v>
      </c>
      <c r="F149" s="451">
        <f t="shared" si="65"/>
        <v>1.59</v>
      </c>
      <c r="G149" s="451">
        <f t="shared" si="65"/>
        <v>1.59</v>
      </c>
      <c r="H149" s="451">
        <f t="shared" si="65"/>
        <v>1.59</v>
      </c>
      <c r="I149" s="451">
        <f t="shared" si="65"/>
        <v>1.59</v>
      </c>
      <c r="J149" s="451">
        <f t="shared" si="65"/>
        <v>1.59</v>
      </c>
      <c r="K149" s="451">
        <f t="shared" si="65"/>
        <v>1.59</v>
      </c>
      <c r="L149" s="451">
        <f t="shared" si="65"/>
        <v>1.59</v>
      </c>
      <c r="M149" s="451">
        <f t="shared" si="65"/>
        <v>1.59</v>
      </c>
    </row>
    <row r="150" spans="1:16">
      <c r="A150" s="443" t="s">
        <v>17</v>
      </c>
      <c r="B150" s="444">
        <f t="shared" ref="B150:M150" si="66">B148*B149</f>
        <v>46750.770000000004</v>
      </c>
      <c r="C150" s="444">
        <f t="shared" si="66"/>
        <v>0</v>
      </c>
      <c r="D150" s="444">
        <f t="shared" si="66"/>
        <v>0</v>
      </c>
      <c r="E150" s="444">
        <f t="shared" si="66"/>
        <v>0</v>
      </c>
      <c r="F150" s="444">
        <f t="shared" si="66"/>
        <v>0</v>
      </c>
      <c r="G150" s="444">
        <f t="shared" si="66"/>
        <v>0</v>
      </c>
      <c r="H150" s="444">
        <f t="shared" si="66"/>
        <v>0</v>
      </c>
      <c r="I150" s="444">
        <f t="shared" si="66"/>
        <v>0</v>
      </c>
      <c r="J150" s="444">
        <f t="shared" si="66"/>
        <v>0</v>
      </c>
      <c r="K150" s="444">
        <f t="shared" si="66"/>
        <v>0</v>
      </c>
      <c r="L150" s="444">
        <f t="shared" si="66"/>
        <v>0</v>
      </c>
      <c r="M150" s="444">
        <f t="shared" si="66"/>
        <v>0</v>
      </c>
      <c r="N150" s="444">
        <f>SUM(B150:M150)</f>
        <v>46750.770000000004</v>
      </c>
    </row>
    <row r="152" spans="1:16">
      <c r="A152" s="443" t="s">
        <v>141</v>
      </c>
    </row>
    <row r="153" spans="1:16">
      <c r="A153" s="447" t="s">
        <v>47</v>
      </c>
      <c r="B153" s="448">
        <f>B146</f>
        <v>28869</v>
      </c>
      <c r="C153" s="448">
        <f t="shared" ref="C153:M153" si="67">C146</f>
        <v>0</v>
      </c>
      <c r="D153" s="448">
        <f t="shared" si="67"/>
        <v>0</v>
      </c>
      <c r="E153" s="448">
        <f t="shared" si="67"/>
        <v>0</v>
      </c>
      <c r="F153" s="448">
        <f t="shared" si="67"/>
        <v>0</v>
      </c>
      <c r="G153" s="448">
        <f t="shared" si="67"/>
        <v>0</v>
      </c>
      <c r="H153" s="448">
        <f t="shared" si="67"/>
        <v>0</v>
      </c>
      <c r="I153" s="448">
        <f t="shared" si="67"/>
        <v>0</v>
      </c>
      <c r="J153" s="448">
        <f t="shared" si="67"/>
        <v>0</v>
      </c>
      <c r="K153" s="448">
        <f t="shared" si="67"/>
        <v>0</v>
      </c>
      <c r="L153" s="448">
        <f t="shared" si="67"/>
        <v>0</v>
      </c>
      <c r="M153" s="448">
        <f t="shared" si="67"/>
        <v>0</v>
      </c>
      <c r="N153" s="444">
        <f>SUM(B153:M153)</f>
        <v>28869</v>
      </c>
    </row>
    <row r="154" spans="1:16">
      <c r="A154" s="447" t="s">
        <v>45</v>
      </c>
      <c r="B154" s="449">
        <f>ROUND(B153*'Transmission Formula Rate (7)'!$B$27,0)</f>
        <v>534</v>
      </c>
      <c r="C154" s="449">
        <f>ROUND(C153*'Transmission Formula Rate (7)'!$B$27,0)</f>
        <v>0</v>
      </c>
      <c r="D154" s="449">
        <f>ROUND(D153*'Transmission Formula Rate (7)'!$B$27,0)</f>
        <v>0</v>
      </c>
      <c r="E154" s="449">
        <f>ROUND(E153*'Transmission Formula Rate (7)'!$B$27,0)</f>
        <v>0</v>
      </c>
      <c r="F154" s="449">
        <f>ROUND(F153*'Transmission Formula Rate (7)'!$B$27,0)</f>
        <v>0</v>
      </c>
      <c r="G154" s="449">
        <f>ROUND(G153*'Transmission Formula Rate (7)'!$B$27,0)</f>
        <v>0</v>
      </c>
      <c r="H154" s="449">
        <f>ROUND(H153*'Transmission Formula Rate (7)'!$B$27,0)</f>
        <v>0</v>
      </c>
      <c r="I154" s="449">
        <f>ROUND(I153*'Transmission Formula Rate (7)'!$B$27,0)</f>
        <v>0</v>
      </c>
      <c r="J154" s="449">
        <f>ROUND(J153*'Transmission Formula Rate (7)'!$B$27,0)</f>
        <v>0</v>
      </c>
      <c r="K154" s="449">
        <f>ROUND(K153*'Transmission Formula Rate (7)'!$B$27,0)</f>
        <v>0</v>
      </c>
      <c r="L154" s="449">
        <f>ROUND(L153*'Transmission Formula Rate (7)'!$B$27,0)</f>
        <v>0</v>
      </c>
      <c r="M154" s="449">
        <f>ROUND(M153*'Transmission Formula Rate (7)'!$B$27,0)</f>
        <v>0</v>
      </c>
      <c r="N154" s="444">
        <f>SUM(B154:M154)</f>
        <v>534</v>
      </c>
    </row>
    <row r="155" spans="1:16">
      <c r="A155" s="447" t="str">
        <f>$A$16</f>
        <v xml:space="preserve">       Georgia Transmission Load</v>
      </c>
      <c r="B155" s="449">
        <f t="shared" ref="B155:M155" si="68">B153+B154</f>
        <v>29403</v>
      </c>
      <c r="C155" s="449">
        <f t="shared" si="68"/>
        <v>0</v>
      </c>
      <c r="D155" s="449">
        <f t="shared" si="68"/>
        <v>0</v>
      </c>
      <c r="E155" s="449">
        <f t="shared" si="68"/>
        <v>0</v>
      </c>
      <c r="F155" s="449">
        <f t="shared" si="68"/>
        <v>0</v>
      </c>
      <c r="G155" s="449">
        <f t="shared" si="68"/>
        <v>0</v>
      </c>
      <c r="H155" s="449">
        <f t="shared" si="68"/>
        <v>0</v>
      </c>
      <c r="I155" s="449">
        <f t="shared" si="68"/>
        <v>0</v>
      </c>
      <c r="J155" s="449">
        <f t="shared" si="68"/>
        <v>0</v>
      </c>
      <c r="K155" s="449">
        <f t="shared" si="68"/>
        <v>0</v>
      </c>
      <c r="L155" s="449">
        <f t="shared" si="68"/>
        <v>0</v>
      </c>
      <c r="M155" s="449">
        <f t="shared" si="68"/>
        <v>0</v>
      </c>
      <c r="N155" s="450">
        <f>SUM(B155:M155)</f>
        <v>29403</v>
      </c>
    </row>
    <row r="156" spans="1:16">
      <c r="A156" s="443" t="s">
        <v>149</v>
      </c>
      <c r="B156" s="452">
        <f>'charges (1 &amp; 2)'!$H$39</f>
        <v>1.274E-2</v>
      </c>
      <c r="C156" s="452">
        <f>B156</f>
        <v>1.274E-2</v>
      </c>
      <c r="D156" s="452">
        <f t="shared" ref="D156" si="69">C156</f>
        <v>1.274E-2</v>
      </c>
      <c r="E156" s="452">
        <f t="shared" ref="E156" si="70">D156</f>
        <v>1.274E-2</v>
      </c>
      <c r="F156" s="452">
        <f t="shared" ref="F156" si="71">E156</f>
        <v>1.274E-2</v>
      </c>
      <c r="G156" s="452">
        <f t="shared" ref="G156" si="72">F156</f>
        <v>1.274E-2</v>
      </c>
      <c r="H156" s="452">
        <f t="shared" ref="H156" si="73">G156</f>
        <v>1.274E-2</v>
      </c>
      <c r="I156" s="452">
        <f t="shared" ref="I156" si="74">H156</f>
        <v>1.274E-2</v>
      </c>
      <c r="J156" s="452">
        <f t="shared" ref="J156" si="75">I156</f>
        <v>1.274E-2</v>
      </c>
      <c r="K156" s="452">
        <f t="shared" ref="K156" si="76">J156</f>
        <v>1.274E-2</v>
      </c>
      <c r="L156" s="452">
        <f t="shared" ref="L156" si="77">K156</f>
        <v>1.274E-2</v>
      </c>
      <c r="M156" s="452">
        <f t="shared" ref="M156" si="78">L156</f>
        <v>1.274E-2</v>
      </c>
    </row>
    <row r="157" spans="1:16">
      <c r="A157" s="443" t="s">
        <v>17</v>
      </c>
      <c r="B157" s="444">
        <f>B155*B156</f>
        <v>374.59422000000001</v>
      </c>
      <c r="C157" s="444">
        <f t="shared" ref="C157:M157" si="79">C155*C156</f>
        <v>0</v>
      </c>
      <c r="D157" s="444">
        <f t="shared" si="79"/>
        <v>0</v>
      </c>
      <c r="E157" s="444">
        <f t="shared" si="79"/>
        <v>0</v>
      </c>
      <c r="F157" s="444">
        <f t="shared" si="79"/>
        <v>0</v>
      </c>
      <c r="G157" s="444">
        <f t="shared" si="79"/>
        <v>0</v>
      </c>
      <c r="H157" s="444">
        <f t="shared" si="79"/>
        <v>0</v>
      </c>
      <c r="I157" s="444">
        <f t="shared" si="79"/>
        <v>0</v>
      </c>
      <c r="J157" s="444">
        <f t="shared" si="79"/>
        <v>0</v>
      </c>
      <c r="K157" s="444">
        <f t="shared" si="79"/>
        <v>0</v>
      </c>
      <c r="L157" s="444">
        <f t="shared" si="79"/>
        <v>0</v>
      </c>
      <c r="M157" s="444">
        <f t="shared" si="79"/>
        <v>0</v>
      </c>
      <c r="N157" s="444">
        <f>SUM(B157:M157)</f>
        <v>374.59422000000001</v>
      </c>
    </row>
    <row r="159" spans="1:16">
      <c r="A159" s="443" t="s">
        <v>38</v>
      </c>
    </row>
    <row r="160" spans="1:16">
      <c r="A160" s="447" t="s">
        <v>47</v>
      </c>
      <c r="B160" s="448">
        <f>B146</f>
        <v>28869</v>
      </c>
      <c r="C160" s="448">
        <f t="shared" ref="C160:M160" si="80">C146</f>
        <v>0</v>
      </c>
      <c r="D160" s="448">
        <f t="shared" si="80"/>
        <v>0</v>
      </c>
      <c r="E160" s="448">
        <f t="shared" si="80"/>
        <v>0</v>
      </c>
      <c r="F160" s="448">
        <f t="shared" si="80"/>
        <v>0</v>
      </c>
      <c r="G160" s="448">
        <f t="shared" si="80"/>
        <v>0</v>
      </c>
      <c r="H160" s="448">
        <f t="shared" si="80"/>
        <v>0</v>
      </c>
      <c r="I160" s="448">
        <f t="shared" si="80"/>
        <v>0</v>
      </c>
      <c r="J160" s="448">
        <f t="shared" si="80"/>
        <v>0</v>
      </c>
      <c r="K160" s="448">
        <f t="shared" si="80"/>
        <v>0</v>
      </c>
      <c r="L160" s="448">
        <f t="shared" si="80"/>
        <v>0</v>
      </c>
      <c r="M160" s="448">
        <f t="shared" si="80"/>
        <v>0</v>
      </c>
      <c r="N160" s="444">
        <f>SUM(B160:M160)</f>
        <v>28869</v>
      </c>
    </row>
    <row r="161" spans="1:14">
      <c r="A161" s="447" t="s">
        <v>45</v>
      </c>
      <c r="B161" s="449">
        <f>ROUND(B160*'Transmission Formula Rate (7)'!$B$27,0)</f>
        <v>534</v>
      </c>
      <c r="C161" s="449">
        <f>ROUND(C160*'Transmission Formula Rate (7)'!$B$27,0)</f>
        <v>0</v>
      </c>
      <c r="D161" s="449">
        <f>ROUND(D160*'Transmission Formula Rate (7)'!$B$27,0)</f>
        <v>0</v>
      </c>
      <c r="E161" s="449">
        <f>ROUND(E160*'Transmission Formula Rate (7)'!$B$27,0)</f>
        <v>0</v>
      </c>
      <c r="F161" s="449">
        <f>ROUND(F160*'Transmission Formula Rate (7)'!$B$27,0)</f>
        <v>0</v>
      </c>
      <c r="G161" s="449">
        <f>ROUND(G160*'Transmission Formula Rate (7)'!$B$27,0)</f>
        <v>0</v>
      </c>
      <c r="H161" s="449">
        <f>ROUND(H160*'Transmission Formula Rate (7)'!$B$27,0)</f>
        <v>0</v>
      </c>
      <c r="I161" s="449">
        <f>ROUND(I160*'Transmission Formula Rate (7)'!$B$27,0)</f>
        <v>0</v>
      </c>
      <c r="J161" s="449">
        <f>ROUND(J160*'Transmission Formula Rate (7)'!$B$27,0)</f>
        <v>0</v>
      </c>
      <c r="K161" s="449">
        <f>ROUND(K160*'Transmission Formula Rate (7)'!$B$27,0)</f>
        <v>0</v>
      </c>
      <c r="L161" s="449">
        <f>ROUND(L160*'Transmission Formula Rate (7)'!$B$27,0)</f>
        <v>0</v>
      </c>
      <c r="M161" s="449">
        <f>ROUND(M160*'Transmission Formula Rate (7)'!$B$27,0)</f>
        <v>0</v>
      </c>
      <c r="N161" s="444">
        <f t="shared" ref="N161:N164" si="81">SUM(B161:M161)</f>
        <v>534</v>
      </c>
    </row>
    <row r="162" spans="1:14">
      <c r="A162" s="447" t="str">
        <f>$A$16</f>
        <v xml:space="preserve">       Georgia Transmission Load</v>
      </c>
      <c r="B162" s="449">
        <f>B160+B161</f>
        <v>29403</v>
      </c>
      <c r="C162" s="449">
        <f t="shared" ref="C162:M162" si="82">C160+C161</f>
        <v>0</v>
      </c>
      <c r="D162" s="449">
        <f t="shared" si="82"/>
        <v>0</v>
      </c>
      <c r="E162" s="449">
        <f t="shared" si="82"/>
        <v>0</v>
      </c>
      <c r="F162" s="449">
        <f t="shared" si="82"/>
        <v>0</v>
      </c>
      <c r="G162" s="449">
        <f t="shared" si="82"/>
        <v>0</v>
      </c>
      <c r="H162" s="449">
        <f t="shared" si="82"/>
        <v>0</v>
      </c>
      <c r="I162" s="449">
        <f t="shared" si="82"/>
        <v>0</v>
      </c>
      <c r="J162" s="449">
        <f t="shared" si="82"/>
        <v>0</v>
      </c>
      <c r="K162" s="449">
        <f t="shared" si="82"/>
        <v>0</v>
      </c>
      <c r="L162" s="449">
        <f t="shared" si="82"/>
        <v>0</v>
      </c>
      <c r="M162" s="449">
        <f t="shared" si="82"/>
        <v>0</v>
      </c>
      <c r="N162" s="450">
        <f t="shared" si="81"/>
        <v>29403</v>
      </c>
    </row>
    <row r="163" spans="1:14">
      <c r="A163" s="443" t="s">
        <v>150</v>
      </c>
      <c r="B163" s="452">
        <f>'charges (1 &amp; 2)'!H11</f>
        <v>0.1008</v>
      </c>
      <c r="C163" s="452">
        <f>B163</f>
        <v>0.1008</v>
      </c>
      <c r="D163" s="452">
        <f t="shared" ref="D163:M163" si="83">C163</f>
        <v>0.1008</v>
      </c>
      <c r="E163" s="452">
        <f t="shared" si="83"/>
        <v>0.1008</v>
      </c>
      <c r="F163" s="452">
        <f t="shared" si="83"/>
        <v>0.1008</v>
      </c>
      <c r="G163" s="452">
        <f t="shared" si="83"/>
        <v>0.1008</v>
      </c>
      <c r="H163" s="452">
        <f t="shared" si="83"/>
        <v>0.1008</v>
      </c>
      <c r="I163" s="452">
        <f t="shared" si="83"/>
        <v>0.1008</v>
      </c>
      <c r="J163" s="452">
        <f t="shared" si="83"/>
        <v>0.1008</v>
      </c>
      <c r="K163" s="452">
        <f t="shared" si="83"/>
        <v>0.1008</v>
      </c>
      <c r="L163" s="452">
        <f t="shared" si="83"/>
        <v>0.1008</v>
      </c>
      <c r="M163" s="452">
        <f t="shared" si="83"/>
        <v>0.1008</v>
      </c>
    </row>
    <row r="164" spans="1:14">
      <c r="A164" s="443" t="s">
        <v>17</v>
      </c>
      <c r="B164" s="444">
        <f>B162*B163</f>
        <v>2963.8224</v>
      </c>
      <c r="C164" s="444">
        <f t="shared" ref="C164:M164" si="84">C162*C163</f>
        <v>0</v>
      </c>
      <c r="D164" s="444">
        <f t="shared" si="84"/>
        <v>0</v>
      </c>
      <c r="E164" s="444">
        <f t="shared" si="84"/>
        <v>0</v>
      </c>
      <c r="F164" s="444">
        <f t="shared" si="84"/>
        <v>0</v>
      </c>
      <c r="G164" s="444">
        <f t="shared" si="84"/>
        <v>0</v>
      </c>
      <c r="H164" s="444">
        <f t="shared" si="84"/>
        <v>0</v>
      </c>
      <c r="I164" s="444">
        <f t="shared" si="84"/>
        <v>0</v>
      </c>
      <c r="J164" s="444">
        <f t="shared" si="84"/>
        <v>0</v>
      </c>
      <c r="K164" s="444">
        <f t="shared" si="84"/>
        <v>0</v>
      </c>
      <c r="L164" s="444">
        <f t="shared" si="84"/>
        <v>0</v>
      </c>
      <c r="M164" s="444">
        <f t="shared" si="84"/>
        <v>0</v>
      </c>
      <c r="N164" s="444">
        <f t="shared" si="81"/>
        <v>2963.8224</v>
      </c>
    </row>
  </sheetData>
  <pageMargins left="0.7" right="0.7" top="0.75" bottom="0.75" header="0.3" footer="0.3"/>
  <pageSetup scale="74" orientation="landscape" r:id="rId1"/>
  <rowBreaks count="2" manualBreakCount="2">
    <brk id="49" max="16383" man="1"/>
    <brk id="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9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487</v>
      </c>
    </row>
    <row r="2" spans="1:16" ht="13.2">
      <c r="A2" s="480" t="s">
        <v>473</v>
      </c>
    </row>
    <row r="3" spans="1:16" s="16" customFormat="1" ht="13.8">
      <c r="A3" s="250"/>
      <c r="B3" s="14">
        <f ca="1">TRUNC(NOW())</f>
        <v>42475</v>
      </c>
      <c r="C3" s="15"/>
      <c r="D3" s="17" t="s">
        <v>15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6" customFormat="1" ht="13.8">
      <c r="A4" s="251"/>
      <c r="B4" s="18">
        <f ca="1">NOW()</f>
        <v>42475.808831944443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2" t="s">
        <v>304</v>
      </c>
      <c r="B5" s="15"/>
      <c r="C5" s="15"/>
      <c r="D5" s="15"/>
      <c r="G5" s="15"/>
      <c r="H5" s="15"/>
      <c r="I5" s="15"/>
      <c r="J5" s="15"/>
      <c r="K5" s="15"/>
      <c r="L5" s="15"/>
      <c r="M5" s="15"/>
      <c r="O5" s="15"/>
      <c r="P5" s="15"/>
    </row>
    <row r="6" spans="1:16" s="16" customFormat="1" ht="13.8">
      <c r="A6" s="253"/>
      <c r="B6" s="245">
        <v>1</v>
      </c>
      <c r="C6" s="245">
        <f>1+B6</f>
        <v>2</v>
      </c>
      <c r="D6" s="245">
        <f t="shared" ref="D6:M6" si="0">1+C6</f>
        <v>3</v>
      </c>
      <c r="E6" s="245">
        <f t="shared" si="0"/>
        <v>4</v>
      </c>
      <c r="F6" s="245">
        <f t="shared" si="0"/>
        <v>5</v>
      </c>
      <c r="G6" s="245">
        <f t="shared" si="0"/>
        <v>6</v>
      </c>
      <c r="H6" s="245">
        <f t="shared" si="0"/>
        <v>7</v>
      </c>
      <c r="I6" s="245">
        <f t="shared" si="0"/>
        <v>8</v>
      </c>
      <c r="J6" s="245">
        <f t="shared" si="0"/>
        <v>9</v>
      </c>
      <c r="K6" s="245">
        <f t="shared" si="0"/>
        <v>10</v>
      </c>
      <c r="L6" s="245">
        <f t="shared" si="0"/>
        <v>11</v>
      </c>
      <c r="M6" s="245">
        <f t="shared" si="0"/>
        <v>12</v>
      </c>
    </row>
    <row r="7" spans="1:16" s="20" customFormat="1" ht="10.199999999999999">
      <c r="A7" s="253"/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6" s="20" customFormat="1" ht="10.199999999999999">
      <c r="A8" s="254"/>
    </row>
    <row r="9" spans="1:16" s="20" customFormat="1" ht="10.199999999999999">
      <c r="A9" s="25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6">
      <c r="B10" s="24" t="s">
        <v>0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  <c r="L10" s="24" t="s">
        <v>10</v>
      </c>
      <c r="M10" s="24" t="s">
        <v>11</v>
      </c>
      <c r="N10" s="24" t="s">
        <v>12</v>
      </c>
    </row>
    <row r="11" spans="1:16">
      <c r="A11" s="255">
        <v>2014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>
      <c r="A12" s="254" t="s">
        <v>37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6">
      <c r="A13" s="256" t="s">
        <v>47</v>
      </c>
      <c r="B13" s="239">
        <f>'Lake Worth Forecast'!E10</f>
        <v>72000</v>
      </c>
      <c r="C13" s="239">
        <f>'Lake Worth Forecast'!F10</f>
        <v>72000</v>
      </c>
      <c r="D13" s="239">
        <f>'Lake Worth Forecast'!G10</f>
        <v>72000</v>
      </c>
      <c r="E13" s="239">
        <f>'Lake Worth Forecast'!H10</f>
        <v>72000</v>
      </c>
      <c r="F13" s="239">
        <f>'Lake Worth Forecast'!I10</f>
        <v>85000</v>
      </c>
      <c r="G13" s="239">
        <f>'Lake Worth Forecast'!J10</f>
        <v>85000</v>
      </c>
      <c r="H13" s="239">
        <f>'Lake Worth Forecast'!K10</f>
        <v>85000</v>
      </c>
      <c r="I13" s="239">
        <f>'Lake Worth Forecast'!L10</f>
        <v>85000</v>
      </c>
      <c r="J13" s="239">
        <f>'Lake Worth Forecast'!M10</f>
        <v>85000</v>
      </c>
      <c r="K13" s="239">
        <f>'Lake Worth Forecast'!N10</f>
        <v>72000</v>
      </c>
      <c r="L13" s="239">
        <f>'Lake Worth Forecast'!O10</f>
        <v>72000</v>
      </c>
      <c r="M13" s="239">
        <f>'Lake Worth Forecast'!P10</f>
        <v>72000</v>
      </c>
      <c r="N13" s="21">
        <f>SUM(B13:M13)</f>
        <v>929000</v>
      </c>
    </row>
    <row r="14" spans="1:16">
      <c r="A14" s="256" t="s">
        <v>45</v>
      </c>
      <c r="B14" s="28">
        <f>ROUND(B13*'Transmission Formula Rate (7)'!$B$27,0)</f>
        <v>1332</v>
      </c>
      <c r="C14" s="28">
        <f>ROUND(C13*'Transmission Formula Rate (7)'!$B$27,0)</f>
        <v>1332</v>
      </c>
      <c r="D14" s="28">
        <f>ROUND(D13*'Transmission Formula Rate (7)'!$B$27,0)</f>
        <v>1332</v>
      </c>
      <c r="E14" s="28">
        <f>ROUND(E13*'Transmission Formula Rate (7)'!$B$27,0)</f>
        <v>1332</v>
      </c>
      <c r="F14" s="28">
        <f>ROUND(F13*'Transmission Formula Rate (7)'!$B$27,0)</f>
        <v>1573</v>
      </c>
      <c r="G14" s="28">
        <f>ROUND(G13*'Transmission Formula Rate (7)'!$B$27,0)</f>
        <v>1573</v>
      </c>
      <c r="H14" s="28">
        <f>ROUND(H13*'Transmission Formula Rate (7)'!$B$27,0)</f>
        <v>1573</v>
      </c>
      <c r="I14" s="28">
        <f>ROUND(I13*'Transmission Formula Rate (7)'!$B$27,0)</f>
        <v>1573</v>
      </c>
      <c r="J14" s="28">
        <f>ROUND(J13*'Transmission Formula Rate (7)'!$B$27,0)</f>
        <v>1573</v>
      </c>
      <c r="K14" s="28">
        <f>ROUND(K13*'Transmission Formula Rate (7)'!$B$27,0)</f>
        <v>1332</v>
      </c>
      <c r="L14" s="28">
        <f>ROUND(L13*'Transmission Formula Rate (7)'!$B$27,0)</f>
        <v>1332</v>
      </c>
      <c r="M14" s="28">
        <f>ROUND(M13*'Transmission Formula Rate (7)'!$B$27,0)</f>
        <v>1332</v>
      </c>
      <c r="N14" s="21">
        <f>SUM(B14:M14)</f>
        <v>17189</v>
      </c>
    </row>
    <row r="15" spans="1:16">
      <c r="A15" s="256" t="s">
        <v>305</v>
      </c>
      <c r="B15" s="28">
        <f t="shared" ref="B15:M15" si="1">B13+B14</f>
        <v>73332</v>
      </c>
      <c r="C15" s="28">
        <f t="shared" si="1"/>
        <v>73332</v>
      </c>
      <c r="D15" s="28">
        <f t="shared" si="1"/>
        <v>73332</v>
      </c>
      <c r="E15" s="28">
        <f t="shared" si="1"/>
        <v>73332</v>
      </c>
      <c r="F15" s="28">
        <f t="shared" si="1"/>
        <v>86573</v>
      </c>
      <c r="G15" s="28">
        <f t="shared" si="1"/>
        <v>86573</v>
      </c>
      <c r="H15" s="28">
        <f t="shared" si="1"/>
        <v>86573</v>
      </c>
      <c r="I15" s="28">
        <f t="shared" si="1"/>
        <v>86573</v>
      </c>
      <c r="J15" s="28">
        <f t="shared" si="1"/>
        <v>86573</v>
      </c>
      <c r="K15" s="28">
        <f t="shared" si="1"/>
        <v>73332</v>
      </c>
      <c r="L15" s="28">
        <f t="shared" si="1"/>
        <v>73332</v>
      </c>
      <c r="M15" s="28">
        <f t="shared" si="1"/>
        <v>73332</v>
      </c>
      <c r="N15" s="124">
        <f>SUM(B15:M15)</f>
        <v>946189</v>
      </c>
    </row>
    <row r="16" spans="1:16">
      <c r="A16" s="254" t="s">
        <v>20</v>
      </c>
      <c r="B16" s="30">
        <f>'Transmission Formula Rate (7)'!B8</f>
        <v>1.59</v>
      </c>
      <c r="C16" s="30">
        <f>'Transmission Formula Rate (7)'!C8</f>
        <v>1.59</v>
      </c>
      <c r="D16" s="30">
        <f>'Transmission Formula Rate (7)'!D8</f>
        <v>1.59</v>
      </c>
      <c r="E16" s="30">
        <f>'Transmission Formula Rate (7)'!E8</f>
        <v>1.59</v>
      </c>
      <c r="F16" s="30">
        <f>'Transmission Formula Rate (7)'!F8</f>
        <v>1.59</v>
      </c>
      <c r="G16" s="30">
        <f>'Transmission Formula Rate (7)'!G8</f>
        <v>1.59</v>
      </c>
      <c r="H16" s="30">
        <f>'Transmission Formula Rate (7)'!H8</f>
        <v>1.59</v>
      </c>
      <c r="I16" s="30">
        <f>'Transmission Formula Rate (7)'!I8</f>
        <v>1.59</v>
      </c>
      <c r="J16" s="30">
        <f>'Transmission Formula Rate (7)'!J8</f>
        <v>1.59</v>
      </c>
      <c r="K16" s="30">
        <f>'Transmission Formula Rate (7)'!K8</f>
        <v>1.59</v>
      </c>
      <c r="L16" s="30">
        <f>'Transmission Formula Rate (7)'!L8</f>
        <v>1.59</v>
      </c>
      <c r="M16" s="30">
        <f>'Transmission Formula Rate (7)'!M8</f>
        <v>1.59</v>
      </c>
      <c r="N16" s="20"/>
    </row>
    <row r="17" spans="1:14">
      <c r="A17" s="254" t="s">
        <v>17</v>
      </c>
      <c r="B17" s="21">
        <f t="shared" ref="B17:M17" si="2">B15*B16</f>
        <v>116597.88</v>
      </c>
      <c r="C17" s="21">
        <f t="shared" si="2"/>
        <v>116597.88</v>
      </c>
      <c r="D17" s="21">
        <f t="shared" si="2"/>
        <v>116597.88</v>
      </c>
      <c r="E17" s="21">
        <f t="shared" si="2"/>
        <v>116597.88</v>
      </c>
      <c r="F17" s="21">
        <f t="shared" si="2"/>
        <v>137651.07</v>
      </c>
      <c r="G17" s="21">
        <f t="shared" si="2"/>
        <v>137651.07</v>
      </c>
      <c r="H17" s="21">
        <f t="shared" si="2"/>
        <v>137651.07</v>
      </c>
      <c r="I17" s="21">
        <f t="shared" si="2"/>
        <v>137651.07</v>
      </c>
      <c r="J17" s="21">
        <f t="shared" si="2"/>
        <v>137651.07</v>
      </c>
      <c r="K17" s="21">
        <f t="shared" si="2"/>
        <v>116597.88</v>
      </c>
      <c r="L17" s="21">
        <f t="shared" si="2"/>
        <v>116597.88</v>
      </c>
      <c r="M17" s="21">
        <f t="shared" si="2"/>
        <v>116597.88</v>
      </c>
      <c r="N17" s="21">
        <f>SUM(B17:M17)</f>
        <v>1504440.5100000002</v>
      </c>
    </row>
    <row r="18" spans="1:14">
      <c r="A18" s="255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>
      <c r="A19" s="254" t="s">
        <v>141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256" t="s">
        <v>47</v>
      </c>
      <c r="B20" s="239">
        <f>B13</f>
        <v>72000</v>
      </c>
      <c r="C20" s="239">
        <f t="shared" ref="C20:M20" si="3">C13</f>
        <v>72000</v>
      </c>
      <c r="D20" s="239">
        <f t="shared" si="3"/>
        <v>72000</v>
      </c>
      <c r="E20" s="239">
        <f t="shared" si="3"/>
        <v>72000</v>
      </c>
      <c r="F20" s="239">
        <f t="shared" si="3"/>
        <v>85000</v>
      </c>
      <c r="G20" s="239">
        <f t="shared" si="3"/>
        <v>85000</v>
      </c>
      <c r="H20" s="239">
        <f t="shared" si="3"/>
        <v>85000</v>
      </c>
      <c r="I20" s="239">
        <f t="shared" si="3"/>
        <v>85000</v>
      </c>
      <c r="J20" s="239">
        <f t="shared" si="3"/>
        <v>85000</v>
      </c>
      <c r="K20" s="239">
        <f t="shared" si="3"/>
        <v>72000</v>
      </c>
      <c r="L20" s="239">
        <f t="shared" si="3"/>
        <v>72000</v>
      </c>
      <c r="M20" s="239">
        <f t="shared" si="3"/>
        <v>72000</v>
      </c>
      <c r="N20" s="21">
        <f>SUM(B20:M20)</f>
        <v>929000</v>
      </c>
    </row>
    <row r="21" spans="1:14">
      <c r="A21" s="256" t="s">
        <v>45</v>
      </c>
      <c r="B21" s="28">
        <f>ROUND(B20*'Transmission Formula Rate (7)'!$B$27,0)</f>
        <v>1332</v>
      </c>
      <c r="C21" s="28">
        <f>ROUND(C20*'Transmission Formula Rate (7)'!$B$27,0)</f>
        <v>1332</v>
      </c>
      <c r="D21" s="28">
        <f>ROUND(D20*'Transmission Formula Rate (7)'!$B$27,0)</f>
        <v>1332</v>
      </c>
      <c r="E21" s="28">
        <f>ROUND(E20*'Transmission Formula Rate (7)'!$B$27,0)</f>
        <v>1332</v>
      </c>
      <c r="F21" s="28">
        <f>ROUND(F20*'Transmission Formula Rate (7)'!$B$27,0)</f>
        <v>1573</v>
      </c>
      <c r="G21" s="28">
        <f>ROUND(G20*'Transmission Formula Rate (7)'!$B$27,0)</f>
        <v>1573</v>
      </c>
      <c r="H21" s="28">
        <f>ROUND(H20*'Transmission Formula Rate (7)'!$B$27,0)</f>
        <v>1573</v>
      </c>
      <c r="I21" s="28">
        <f>ROUND(I20*'Transmission Formula Rate (7)'!$B$27,0)</f>
        <v>1573</v>
      </c>
      <c r="J21" s="28">
        <f>ROUND(J20*'Transmission Formula Rate (7)'!$B$27,0)</f>
        <v>1573</v>
      </c>
      <c r="K21" s="28">
        <f>ROUND(K20*'Transmission Formula Rate (7)'!$B$27,0)</f>
        <v>1332</v>
      </c>
      <c r="L21" s="28">
        <f>ROUND(L20*'Transmission Formula Rate (7)'!$B$27,0)</f>
        <v>1332</v>
      </c>
      <c r="M21" s="28">
        <f>ROUND(M20*'Transmission Formula Rate (7)'!$B$27,0)</f>
        <v>1332</v>
      </c>
      <c r="N21" s="21">
        <f>SUM(B21:M21)</f>
        <v>17189</v>
      </c>
    </row>
    <row r="22" spans="1:14">
      <c r="A22" s="256" t="s">
        <v>305</v>
      </c>
      <c r="B22" s="28">
        <f>B20+B21</f>
        <v>73332</v>
      </c>
      <c r="C22" s="28">
        <f t="shared" ref="C22:M22" si="4">C20+C21</f>
        <v>73332</v>
      </c>
      <c r="D22" s="28">
        <f t="shared" si="4"/>
        <v>73332</v>
      </c>
      <c r="E22" s="28">
        <f t="shared" si="4"/>
        <v>73332</v>
      </c>
      <c r="F22" s="28">
        <f t="shared" si="4"/>
        <v>86573</v>
      </c>
      <c r="G22" s="28">
        <f t="shared" si="4"/>
        <v>86573</v>
      </c>
      <c r="H22" s="28">
        <f t="shared" si="4"/>
        <v>86573</v>
      </c>
      <c r="I22" s="28">
        <f t="shared" si="4"/>
        <v>86573</v>
      </c>
      <c r="J22" s="28">
        <f t="shared" si="4"/>
        <v>86573</v>
      </c>
      <c r="K22" s="28">
        <f t="shared" si="4"/>
        <v>73332</v>
      </c>
      <c r="L22" s="28">
        <f t="shared" si="4"/>
        <v>73332</v>
      </c>
      <c r="M22" s="28">
        <f t="shared" si="4"/>
        <v>73332</v>
      </c>
      <c r="N22" s="124">
        <f>SUM(B22:M22)</f>
        <v>946189</v>
      </c>
    </row>
    <row r="23" spans="1:14">
      <c r="A23" s="254" t="s">
        <v>149</v>
      </c>
      <c r="B23" s="32">
        <f>'charges (1 &amp; 2)'!E33</f>
        <v>1.274E-2</v>
      </c>
      <c r="C23" s="32">
        <f>B23</f>
        <v>1.274E-2</v>
      </c>
      <c r="D23" s="32">
        <f t="shared" ref="D23:M23" si="5">C23</f>
        <v>1.274E-2</v>
      </c>
      <c r="E23" s="32">
        <f t="shared" si="5"/>
        <v>1.274E-2</v>
      </c>
      <c r="F23" s="32">
        <f t="shared" si="5"/>
        <v>1.274E-2</v>
      </c>
      <c r="G23" s="32">
        <f t="shared" si="5"/>
        <v>1.274E-2</v>
      </c>
      <c r="H23" s="32">
        <f t="shared" si="5"/>
        <v>1.274E-2</v>
      </c>
      <c r="I23" s="32">
        <f t="shared" si="5"/>
        <v>1.274E-2</v>
      </c>
      <c r="J23" s="32">
        <f t="shared" si="5"/>
        <v>1.274E-2</v>
      </c>
      <c r="K23" s="32">
        <f t="shared" si="5"/>
        <v>1.274E-2</v>
      </c>
      <c r="L23" s="32">
        <f t="shared" si="5"/>
        <v>1.274E-2</v>
      </c>
      <c r="M23" s="32">
        <f t="shared" si="5"/>
        <v>1.274E-2</v>
      </c>
      <c r="N23" s="20"/>
    </row>
    <row r="24" spans="1:14">
      <c r="A24" s="254" t="s">
        <v>17</v>
      </c>
      <c r="B24" s="21">
        <f t="shared" ref="B24:M24" si="6">B22*B23</f>
        <v>934.24968000000001</v>
      </c>
      <c r="C24" s="21">
        <f t="shared" si="6"/>
        <v>934.24968000000001</v>
      </c>
      <c r="D24" s="21">
        <f t="shared" si="6"/>
        <v>934.24968000000001</v>
      </c>
      <c r="E24" s="21">
        <f t="shared" si="6"/>
        <v>934.24968000000001</v>
      </c>
      <c r="F24" s="21">
        <f t="shared" si="6"/>
        <v>1102.94002</v>
      </c>
      <c r="G24" s="21">
        <f t="shared" si="6"/>
        <v>1102.94002</v>
      </c>
      <c r="H24" s="21">
        <f t="shared" si="6"/>
        <v>1102.94002</v>
      </c>
      <c r="I24" s="21">
        <f t="shared" si="6"/>
        <v>1102.94002</v>
      </c>
      <c r="J24" s="21">
        <f t="shared" si="6"/>
        <v>1102.94002</v>
      </c>
      <c r="K24" s="21">
        <f t="shared" si="6"/>
        <v>934.24968000000001</v>
      </c>
      <c r="L24" s="21">
        <f t="shared" si="6"/>
        <v>934.24968000000001</v>
      </c>
      <c r="M24" s="21">
        <f t="shared" si="6"/>
        <v>934.24968000000001</v>
      </c>
      <c r="N24" s="21">
        <f>SUM(B24:M24)</f>
        <v>12054.447860000002</v>
      </c>
    </row>
    <row r="25" spans="1:14">
      <c r="A25" s="25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25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B27" s="24" t="s">
        <v>0</v>
      </c>
      <c r="C27" s="24" t="s">
        <v>1</v>
      </c>
      <c r="D27" s="24" t="s">
        <v>2</v>
      </c>
      <c r="E27" s="24" t="s">
        <v>3</v>
      </c>
      <c r="F27" s="24" t="s">
        <v>4</v>
      </c>
      <c r="G27" s="24" t="s">
        <v>5</v>
      </c>
      <c r="H27" s="24" t="s">
        <v>6</v>
      </c>
      <c r="I27" s="24" t="s">
        <v>7</v>
      </c>
      <c r="J27" s="24" t="s">
        <v>8</v>
      </c>
      <c r="K27" s="24" t="s">
        <v>9</v>
      </c>
      <c r="L27" s="24" t="s">
        <v>10</v>
      </c>
      <c r="M27" s="24" t="s">
        <v>11</v>
      </c>
      <c r="N27" s="24" t="s">
        <v>12</v>
      </c>
    </row>
    <row r="28" spans="1:14">
      <c r="A28" s="255">
        <f>+A11+1</f>
        <v>2015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>
      <c r="A29" s="254" t="s">
        <v>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56" t="s">
        <v>47</v>
      </c>
      <c r="B30" s="239">
        <f>'Lake Worth Forecast'!E11</f>
        <v>72000</v>
      </c>
      <c r="C30" s="239">
        <f>'Lake Worth Forecast'!F11</f>
        <v>72000</v>
      </c>
      <c r="D30" s="239">
        <f>'Lake Worth Forecast'!G11</f>
        <v>72000</v>
      </c>
      <c r="E30" s="239">
        <f>'Lake Worth Forecast'!H11</f>
        <v>72000</v>
      </c>
      <c r="F30" s="239">
        <f>'Lake Worth Forecast'!I11</f>
        <v>85000</v>
      </c>
      <c r="G30" s="239">
        <f>'Lake Worth Forecast'!J11</f>
        <v>85000</v>
      </c>
      <c r="H30" s="239">
        <f>'Lake Worth Forecast'!K11</f>
        <v>85000</v>
      </c>
      <c r="I30" s="239">
        <f>'Lake Worth Forecast'!L11</f>
        <v>85000</v>
      </c>
      <c r="J30" s="239">
        <f>'Lake Worth Forecast'!M11</f>
        <v>85000</v>
      </c>
      <c r="K30" s="239">
        <f>'Lake Worth Forecast'!N11</f>
        <v>72000</v>
      </c>
      <c r="L30" s="239">
        <f>'Lake Worth Forecast'!O11</f>
        <v>72000</v>
      </c>
      <c r="M30" s="239">
        <f>'Lake Worth Forecast'!P11</f>
        <v>72000</v>
      </c>
      <c r="N30" s="21">
        <f>SUM(B30:M30)</f>
        <v>929000</v>
      </c>
    </row>
    <row r="31" spans="1:14">
      <c r="A31" s="256" t="s">
        <v>45</v>
      </c>
      <c r="B31" s="28">
        <f>ROUND(B30*'Transmission Formula Rate (7)'!$B$27,0)</f>
        <v>1332</v>
      </c>
      <c r="C31" s="28">
        <f>ROUND(C30*'Transmission Formula Rate (7)'!$B$27,0)</f>
        <v>1332</v>
      </c>
      <c r="D31" s="28">
        <f>ROUND(D30*'Transmission Formula Rate (7)'!$B$27,0)</f>
        <v>1332</v>
      </c>
      <c r="E31" s="28">
        <f>ROUND(E30*'Transmission Formula Rate (7)'!$B$27,0)</f>
        <v>1332</v>
      </c>
      <c r="F31" s="28">
        <f>ROUND(F30*'Transmission Formula Rate (7)'!$B$27,0)</f>
        <v>1573</v>
      </c>
      <c r="G31" s="28">
        <f>ROUND(G30*'Transmission Formula Rate (7)'!$B$27,0)</f>
        <v>1573</v>
      </c>
      <c r="H31" s="28">
        <f>ROUND(H30*'Transmission Formula Rate (7)'!$B$27,0)</f>
        <v>1573</v>
      </c>
      <c r="I31" s="28">
        <f>ROUND(I30*'Transmission Formula Rate (7)'!$B$27,0)</f>
        <v>1573</v>
      </c>
      <c r="J31" s="28">
        <f>ROUND(J30*'Transmission Formula Rate (7)'!$B$27,0)</f>
        <v>1573</v>
      </c>
      <c r="K31" s="28">
        <f>ROUND(K30*'Transmission Formula Rate (7)'!$B$27,0)</f>
        <v>1332</v>
      </c>
      <c r="L31" s="28">
        <f>ROUND(L30*'Transmission Formula Rate (7)'!$B$27,0)</f>
        <v>1332</v>
      </c>
      <c r="M31" s="28">
        <f>ROUND(M30*'Transmission Formula Rate (7)'!$B$27,0)</f>
        <v>1332</v>
      </c>
      <c r="N31" s="21">
        <f>SUM(B31:M31)</f>
        <v>17189</v>
      </c>
    </row>
    <row r="32" spans="1:14">
      <c r="A32" s="256" t="s">
        <v>305</v>
      </c>
      <c r="B32" s="28">
        <f t="shared" ref="B32:M32" si="7">B30+B31</f>
        <v>73332</v>
      </c>
      <c r="C32" s="28">
        <f t="shared" si="7"/>
        <v>73332</v>
      </c>
      <c r="D32" s="28">
        <f t="shared" si="7"/>
        <v>73332</v>
      </c>
      <c r="E32" s="28">
        <f t="shared" si="7"/>
        <v>73332</v>
      </c>
      <c r="F32" s="28">
        <f t="shared" si="7"/>
        <v>86573</v>
      </c>
      <c r="G32" s="28">
        <f t="shared" si="7"/>
        <v>86573</v>
      </c>
      <c r="H32" s="28">
        <f t="shared" si="7"/>
        <v>86573</v>
      </c>
      <c r="I32" s="28">
        <f t="shared" si="7"/>
        <v>86573</v>
      </c>
      <c r="J32" s="28">
        <f t="shared" si="7"/>
        <v>86573</v>
      </c>
      <c r="K32" s="28">
        <f t="shared" si="7"/>
        <v>73332</v>
      </c>
      <c r="L32" s="28">
        <f t="shared" si="7"/>
        <v>73332</v>
      </c>
      <c r="M32" s="28">
        <f t="shared" si="7"/>
        <v>73332</v>
      </c>
      <c r="N32" s="124">
        <f>SUM(B32:M32)</f>
        <v>946189</v>
      </c>
    </row>
    <row r="33" spans="1:14">
      <c r="A33" s="254" t="s">
        <v>20</v>
      </c>
      <c r="B33" s="30">
        <f>'Transmission Formula Rate (7)'!B10</f>
        <v>1.59</v>
      </c>
      <c r="C33" s="30">
        <f>'Transmission Formula Rate (7)'!C10</f>
        <v>1.59</v>
      </c>
      <c r="D33" s="30">
        <f>'Transmission Formula Rate (7)'!D10</f>
        <v>1.59</v>
      </c>
      <c r="E33" s="30">
        <f>'Transmission Formula Rate (7)'!E10</f>
        <v>1.59</v>
      </c>
      <c r="F33" s="30">
        <f>'Transmission Formula Rate (7)'!F10</f>
        <v>1.59</v>
      </c>
      <c r="G33" s="30">
        <f>'Transmission Formula Rate (7)'!G10</f>
        <v>1.59</v>
      </c>
      <c r="H33" s="30">
        <f>'Transmission Formula Rate (7)'!H10</f>
        <v>1.59</v>
      </c>
      <c r="I33" s="30">
        <f>'Transmission Formula Rate (7)'!I10</f>
        <v>1.59</v>
      </c>
      <c r="J33" s="30">
        <f>'Transmission Formula Rate (7)'!J10</f>
        <v>1.59</v>
      </c>
      <c r="K33" s="30">
        <f>'Transmission Formula Rate (7)'!K10</f>
        <v>1.59</v>
      </c>
      <c r="L33" s="30">
        <f>'Transmission Formula Rate (7)'!L10</f>
        <v>1.59</v>
      </c>
      <c r="M33" s="30">
        <f>'Transmission Formula Rate (7)'!M10</f>
        <v>1.59</v>
      </c>
      <c r="N33" s="20"/>
    </row>
    <row r="34" spans="1:14">
      <c r="A34" s="254" t="s">
        <v>17</v>
      </c>
      <c r="B34" s="21">
        <f t="shared" ref="B34:M34" si="8">B32*B33</f>
        <v>116597.88</v>
      </c>
      <c r="C34" s="21">
        <f t="shared" si="8"/>
        <v>116597.88</v>
      </c>
      <c r="D34" s="21">
        <f t="shared" si="8"/>
        <v>116597.88</v>
      </c>
      <c r="E34" s="21">
        <f t="shared" si="8"/>
        <v>116597.88</v>
      </c>
      <c r="F34" s="21">
        <f t="shared" si="8"/>
        <v>137651.07</v>
      </c>
      <c r="G34" s="21">
        <f t="shared" si="8"/>
        <v>137651.07</v>
      </c>
      <c r="H34" s="21">
        <f t="shared" si="8"/>
        <v>137651.07</v>
      </c>
      <c r="I34" s="21">
        <f t="shared" si="8"/>
        <v>137651.07</v>
      </c>
      <c r="J34" s="21">
        <f t="shared" si="8"/>
        <v>137651.07</v>
      </c>
      <c r="K34" s="21">
        <f>K32*K33</f>
        <v>116597.88</v>
      </c>
      <c r="L34" s="21">
        <f t="shared" si="8"/>
        <v>116597.88</v>
      </c>
      <c r="M34" s="21">
        <f t="shared" si="8"/>
        <v>116597.88</v>
      </c>
      <c r="N34" s="21">
        <f>SUM(B34:M34)</f>
        <v>1504440.5100000002</v>
      </c>
    </row>
    <row r="35" spans="1:14">
      <c r="A35" s="257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254" t="s">
        <v>141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56" t="s">
        <v>47</v>
      </c>
      <c r="B37" s="239">
        <f>B30</f>
        <v>72000</v>
      </c>
      <c r="C37" s="239">
        <f t="shared" ref="C37:M37" si="9">C30</f>
        <v>72000</v>
      </c>
      <c r="D37" s="239">
        <f t="shared" si="9"/>
        <v>72000</v>
      </c>
      <c r="E37" s="239">
        <f t="shared" si="9"/>
        <v>72000</v>
      </c>
      <c r="F37" s="239">
        <f t="shared" si="9"/>
        <v>85000</v>
      </c>
      <c r="G37" s="239">
        <f t="shared" si="9"/>
        <v>85000</v>
      </c>
      <c r="H37" s="239">
        <f t="shared" si="9"/>
        <v>85000</v>
      </c>
      <c r="I37" s="239">
        <f t="shared" si="9"/>
        <v>85000</v>
      </c>
      <c r="J37" s="239">
        <f t="shared" si="9"/>
        <v>85000</v>
      </c>
      <c r="K37" s="239">
        <f t="shared" si="9"/>
        <v>72000</v>
      </c>
      <c r="L37" s="239">
        <f t="shared" si="9"/>
        <v>72000</v>
      </c>
      <c r="M37" s="239">
        <f t="shared" si="9"/>
        <v>72000</v>
      </c>
      <c r="N37" s="21">
        <f>SUM(B37:M37)</f>
        <v>929000</v>
      </c>
    </row>
    <row r="38" spans="1:14">
      <c r="A38" s="256" t="s">
        <v>45</v>
      </c>
      <c r="B38" s="28">
        <f>ROUND(B37*'Transmission Formula Rate (7)'!$B$27,0)</f>
        <v>1332</v>
      </c>
      <c r="C38" s="28">
        <f>ROUND(C37*'Transmission Formula Rate (7)'!$B$27,0)</f>
        <v>1332</v>
      </c>
      <c r="D38" s="28">
        <f>ROUND(D37*'Transmission Formula Rate (7)'!$B$27,0)</f>
        <v>1332</v>
      </c>
      <c r="E38" s="28">
        <f>ROUND(E37*'Transmission Formula Rate (7)'!$B$27,0)</f>
        <v>1332</v>
      </c>
      <c r="F38" s="28">
        <f>ROUND(F37*'Transmission Formula Rate (7)'!$B$27,0)</f>
        <v>1573</v>
      </c>
      <c r="G38" s="28">
        <f>ROUND(G37*'Transmission Formula Rate (7)'!$B$27,0)</f>
        <v>1573</v>
      </c>
      <c r="H38" s="28">
        <f>ROUND(H37*'Transmission Formula Rate (7)'!$B$27,0)</f>
        <v>1573</v>
      </c>
      <c r="I38" s="28">
        <f>ROUND(I37*'Transmission Formula Rate (7)'!$B$27,0)</f>
        <v>1573</v>
      </c>
      <c r="J38" s="28">
        <f>ROUND(J37*'Transmission Formula Rate (7)'!$B$27,0)</f>
        <v>1573</v>
      </c>
      <c r="K38" s="28">
        <f>ROUND(K37*'Transmission Formula Rate (7)'!$B$27,0)</f>
        <v>1332</v>
      </c>
      <c r="L38" s="28">
        <f>ROUND(L37*'Transmission Formula Rate (7)'!$B$27,0)</f>
        <v>1332</v>
      </c>
      <c r="M38" s="28">
        <f>ROUND(M37*'Transmission Formula Rate (7)'!$B$27,0)</f>
        <v>1332</v>
      </c>
      <c r="N38" s="21">
        <f>SUM(B38:M38)</f>
        <v>17189</v>
      </c>
    </row>
    <row r="39" spans="1:14">
      <c r="A39" s="256" t="s">
        <v>305</v>
      </c>
      <c r="B39" s="28">
        <f t="shared" ref="B39:M39" si="10">B37+B38</f>
        <v>73332</v>
      </c>
      <c r="C39" s="28">
        <f t="shared" si="10"/>
        <v>73332</v>
      </c>
      <c r="D39" s="28">
        <f t="shared" si="10"/>
        <v>73332</v>
      </c>
      <c r="E39" s="28">
        <f t="shared" si="10"/>
        <v>73332</v>
      </c>
      <c r="F39" s="28">
        <f t="shared" si="10"/>
        <v>86573</v>
      </c>
      <c r="G39" s="28">
        <f t="shared" si="10"/>
        <v>86573</v>
      </c>
      <c r="H39" s="28">
        <f t="shared" si="10"/>
        <v>86573</v>
      </c>
      <c r="I39" s="28">
        <f t="shared" si="10"/>
        <v>86573</v>
      </c>
      <c r="J39" s="28">
        <f t="shared" si="10"/>
        <v>86573</v>
      </c>
      <c r="K39" s="28">
        <f t="shared" si="10"/>
        <v>73332</v>
      </c>
      <c r="L39" s="28">
        <f t="shared" si="10"/>
        <v>73332</v>
      </c>
      <c r="M39" s="28">
        <f t="shared" si="10"/>
        <v>73332</v>
      </c>
      <c r="N39" s="124">
        <f>SUM(B39:M39)</f>
        <v>946189</v>
      </c>
    </row>
    <row r="40" spans="1:14">
      <c r="A40" s="254" t="s">
        <v>149</v>
      </c>
      <c r="B40" s="32">
        <f>'charges (1 &amp; 2)'!F33</f>
        <v>1.274E-2</v>
      </c>
      <c r="C40" s="32">
        <f>B40</f>
        <v>1.274E-2</v>
      </c>
      <c r="D40" s="32">
        <f t="shared" ref="D40:M40" si="11">C40</f>
        <v>1.274E-2</v>
      </c>
      <c r="E40" s="32">
        <f t="shared" si="11"/>
        <v>1.274E-2</v>
      </c>
      <c r="F40" s="32">
        <f t="shared" si="11"/>
        <v>1.274E-2</v>
      </c>
      <c r="G40" s="32">
        <f t="shared" si="11"/>
        <v>1.274E-2</v>
      </c>
      <c r="H40" s="32">
        <f t="shared" si="11"/>
        <v>1.274E-2</v>
      </c>
      <c r="I40" s="32">
        <f t="shared" si="11"/>
        <v>1.274E-2</v>
      </c>
      <c r="J40" s="32">
        <f t="shared" si="11"/>
        <v>1.274E-2</v>
      </c>
      <c r="K40" s="32">
        <f t="shared" si="11"/>
        <v>1.274E-2</v>
      </c>
      <c r="L40" s="32">
        <f t="shared" si="11"/>
        <v>1.274E-2</v>
      </c>
      <c r="M40" s="32">
        <f t="shared" si="11"/>
        <v>1.274E-2</v>
      </c>
      <c r="N40" s="20"/>
    </row>
    <row r="41" spans="1:14">
      <c r="A41" s="254" t="s">
        <v>17</v>
      </c>
      <c r="B41" s="21">
        <f t="shared" ref="B41:M41" si="12">B39*B40</f>
        <v>934.24968000000001</v>
      </c>
      <c r="C41" s="21">
        <f t="shared" si="12"/>
        <v>934.24968000000001</v>
      </c>
      <c r="D41" s="21">
        <f t="shared" si="12"/>
        <v>934.24968000000001</v>
      </c>
      <c r="E41" s="21">
        <f t="shared" si="12"/>
        <v>934.24968000000001</v>
      </c>
      <c r="F41" s="21">
        <f t="shared" si="12"/>
        <v>1102.94002</v>
      </c>
      <c r="G41" s="21">
        <f t="shared" si="12"/>
        <v>1102.94002</v>
      </c>
      <c r="H41" s="21">
        <f t="shared" si="12"/>
        <v>1102.94002</v>
      </c>
      <c r="I41" s="21">
        <f t="shared" si="12"/>
        <v>1102.94002</v>
      </c>
      <c r="J41" s="21">
        <f t="shared" si="12"/>
        <v>1102.94002</v>
      </c>
      <c r="K41" s="21">
        <f t="shared" si="12"/>
        <v>934.24968000000001</v>
      </c>
      <c r="L41" s="21">
        <f t="shared" si="12"/>
        <v>934.24968000000001</v>
      </c>
      <c r="M41" s="21">
        <f t="shared" si="12"/>
        <v>934.24968000000001</v>
      </c>
      <c r="N41" s="21">
        <f>SUM(B41:M41)</f>
        <v>12054.447860000002</v>
      </c>
    </row>
    <row r="42" spans="1:14">
      <c r="A42" s="25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>
      <c r="A43" s="254" t="s">
        <v>38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56" t="s">
        <v>47</v>
      </c>
      <c r="B44" s="239">
        <f>B30</f>
        <v>72000</v>
      </c>
      <c r="C44" s="239">
        <f t="shared" ref="C44:M44" si="13">C30</f>
        <v>72000</v>
      </c>
      <c r="D44" s="239">
        <f t="shared" si="13"/>
        <v>72000</v>
      </c>
      <c r="E44" s="239">
        <f t="shared" si="13"/>
        <v>72000</v>
      </c>
      <c r="F44" s="239">
        <f t="shared" si="13"/>
        <v>85000</v>
      </c>
      <c r="G44" s="239">
        <f t="shared" si="13"/>
        <v>85000</v>
      </c>
      <c r="H44" s="239">
        <f t="shared" si="13"/>
        <v>85000</v>
      </c>
      <c r="I44" s="239">
        <f t="shared" si="13"/>
        <v>85000</v>
      </c>
      <c r="J44" s="239">
        <f t="shared" si="13"/>
        <v>85000</v>
      </c>
      <c r="K44" s="239">
        <f t="shared" si="13"/>
        <v>72000</v>
      </c>
      <c r="L44" s="239">
        <f t="shared" si="13"/>
        <v>72000</v>
      </c>
      <c r="M44" s="239">
        <f t="shared" si="13"/>
        <v>72000</v>
      </c>
      <c r="N44" s="21">
        <f>SUM(B44:M44)</f>
        <v>929000</v>
      </c>
    </row>
    <row r="45" spans="1:14">
      <c r="A45" s="256" t="s">
        <v>45</v>
      </c>
      <c r="B45" s="28">
        <f>ROUND(B44*'Transmission Formula Rate (7)'!$B$27,0)</f>
        <v>1332</v>
      </c>
      <c r="C45" s="28">
        <f>ROUND(C44*'Transmission Formula Rate (7)'!$B$27,0)</f>
        <v>1332</v>
      </c>
      <c r="D45" s="28">
        <f>ROUND(D44*'Transmission Formula Rate (7)'!$B$27,0)</f>
        <v>1332</v>
      </c>
      <c r="E45" s="28">
        <f>ROUND(E44*'Transmission Formula Rate (7)'!$B$27,0)</f>
        <v>1332</v>
      </c>
      <c r="F45" s="28">
        <f>ROUND(F44*'Transmission Formula Rate (7)'!$B$27,0)</f>
        <v>1573</v>
      </c>
      <c r="G45" s="28">
        <f>ROUND(G44*'Transmission Formula Rate (7)'!$B$27,0)</f>
        <v>1573</v>
      </c>
      <c r="H45" s="28">
        <f>ROUND(H44*'Transmission Formula Rate (7)'!$B$27,0)</f>
        <v>1573</v>
      </c>
      <c r="I45" s="28">
        <f>ROUND(I44*'Transmission Formula Rate (7)'!$B$27,0)</f>
        <v>1573</v>
      </c>
      <c r="J45" s="28">
        <f>ROUND(J44*'Transmission Formula Rate (7)'!$B$27,0)</f>
        <v>1573</v>
      </c>
      <c r="K45" s="28">
        <f>ROUND(K44*'Transmission Formula Rate (7)'!$B$27,0)</f>
        <v>1332</v>
      </c>
      <c r="L45" s="28">
        <f>ROUND(L44*'Transmission Formula Rate (7)'!$B$27,0)</f>
        <v>1332</v>
      </c>
      <c r="M45" s="28">
        <f>ROUND(M44*'Transmission Formula Rate (7)'!$B$27,0)</f>
        <v>1332</v>
      </c>
      <c r="N45" s="21">
        <f t="shared" ref="N45:N48" si="14">SUM(B45:M45)</f>
        <v>17189</v>
      </c>
    </row>
    <row r="46" spans="1:14">
      <c r="A46" s="256" t="s">
        <v>305</v>
      </c>
      <c r="B46" s="28">
        <f>B44+B45</f>
        <v>73332</v>
      </c>
      <c r="C46" s="28">
        <f t="shared" ref="C46:M46" si="15">C44+C45</f>
        <v>73332</v>
      </c>
      <c r="D46" s="28">
        <f t="shared" si="15"/>
        <v>73332</v>
      </c>
      <c r="E46" s="28">
        <f t="shared" si="15"/>
        <v>73332</v>
      </c>
      <c r="F46" s="28">
        <f t="shared" si="15"/>
        <v>86573</v>
      </c>
      <c r="G46" s="28">
        <f t="shared" si="15"/>
        <v>86573</v>
      </c>
      <c r="H46" s="28">
        <f t="shared" si="15"/>
        <v>86573</v>
      </c>
      <c r="I46" s="28">
        <f t="shared" si="15"/>
        <v>86573</v>
      </c>
      <c r="J46" s="28">
        <f t="shared" si="15"/>
        <v>86573</v>
      </c>
      <c r="K46" s="28">
        <f t="shared" si="15"/>
        <v>73332</v>
      </c>
      <c r="L46" s="28">
        <f t="shared" si="15"/>
        <v>73332</v>
      </c>
      <c r="M46" s="28">
        <f t="shared" si="15"/>
        <v>73332</v>
      </c>
      <c r="N46" s="21">
        <f t="shared" si="14"/>
        <v>946189</v>
      </c>
    </row>
    <row r="47" spans="1:14">
      <c r="A47" s="254" t="s">
        <v>150</v>
      </c>
      <c r="B47" s="32">
        <f>'charges (1 &amp; 2)'!D11</f>
        <v>0.1008</v>
      </c>
      <c r="C47" s="32">
        <f>B47</f>
        <v>0.1008</v>
      </c>
      <c r="D47" s="32">
        <f t="shared" ref="D47:M47" si="16">C47</f>
        <v>0.1008</v>
      </c>
      <c r="E47" s="32">
        <f t="shared" si="16"/>
        <v>0.1008</v>
      </c>
      <c r="F47" s="32">
        <f t="shared" si="16"/>
        <v>0.1008</v>
      </c>
      <c r="G47" s="32">
        <f t="shared" si="16"/>
        <v>0.1008</v>
      </c>
      <c r="H47" s="32">
        <f t="shared" si="16"/>
        <v>0.1008</v>
      </c>
      <c r="I47" s="32">
        <f t="shared" si="16"/>
        <v>0.1008</v>
      </c>
      <c r="J47" s="32">
        <f t="shared" si="16"/>
        <v>0.1008</v>
      </c>
      <c r="K47" s="32">
        <f t="shared" si="16"/>
        <v>0.1008</v>
      </c>
      <c r="L47" s="32">
        <f t="shared" si="16"/>
        <v>0.1008</v>
      </c>
      <c r="M47" s="32">
        <f t="shared" si="16"/>
        <v>0.1008</v>
      </c>
      <c r="N47" s="20"/>
    </row>
    <row r="48" spans="1:14">
      <c r="A48" s="254" t="s">
        <v>17</v>
      </c>
      <c r="B48" s="21">
        <f>B46*B47</f>
        <v>7391.8656000000001</v>
      </c>
      <c r="C48" s="21">
        <f t="shared" ref="C48:M48" si="17">C46*C47</f>
        <v>7391.8656000000001</v>
      </c>
      <c r="D48" s="21">
        <f t="shared" si="17"/>
        <v>7391.8656000000001</v>
      </c>
      <c r="E48" s="21">
        <f t="shared" si="17"/>
        <v>7391.8656000000001</v>
      </c>
      <c r="F48" s="21">
        <f t="shared" si="17"/>
        <v>8726.5583999999999</v>
      </c>
      <c r="G48" s="21">
        <f t="shared" si="17"/>
        <v>8726.5583999999999</v>
      </c>
      <c r="H48" s="21">
        <f t="shared" si="17"/>
        <v>8726.5583999999999</v>
      </c>
      <c r="I48" s="21">
        <f t="shared" si="17"/>
        <v>8726.5583999999999</v>
      </c>
      <c r="J48" s="21">
        <f t="shared" si="17"/>
        <v>8726.5583999999999</v>
      </c>
      <c r="K48" s="21">
        <f t="shared" si="17"/>
        <v>7391.8656000000001</v>
      </c>
      <c r="L48" s="21">
        <f t="shared" si="17"/>
        <v>7391.8656000000001</v>
      </c>
      <c r="M48" s="21">
        <f t="shared" si="17"/>
        <v>7391.8656000000001</v>
      </c>
      <c r="N48" s="21">
        <f t="shared" si="14"/>
        <v>95375.851200000019</v>
      </c>
    </row>
    <row r="49" spans="1:14">
      <c r="A49" s="254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>
      <c r="B50" s="24" t="s">
        <v>0</v>
      </c>
      <c r="C50" s="24" t="s">
        <v>1</v>
      </c>
      <c r="D50" s="24" t="s">
        <v>2</v>
      </c>
      <c r="E50" s="24" t="s">
        <v>3</v>
      </c>
      <c r="F50" s="24" t="s">
        <v>4</v>
      </c>
      <c r="G50" s="24" t="s">
        <v>5</v>
      </c>
      <c r="H50" s="24" t="s">
        <v>6</v>
      </c>
      <c r="I50" s="24" t="s">
        <v>7</v>
      </c>
      <c r="J50" s="24" t="s">
        <v>8</v>
      </c>
      <c r="K50" s="24" t="s">
        <v>9</v>
      </c>
      <c r="L50" s="24" t="s">
        <v>10</v>
      </c>
      <c r="M50" s="24" t="s">
        <v>11</v>
      </c>
      <c r="N50" s="24" t="s">
        <v>12</v>
      </c>
    </row>
    <row r="51" spans="1:14">
      <c r="A51" s="255">
        <f>+A28+1</f>
        <v>2016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>
      <c r="A52" s="254" t="s">
        <v>37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>
      <c r="A53" s="256" t="s">
        <v>47</v>
      </c>
      <c r="B53" s="239">
        <f>'Lake Worth Forecast'!E12</f>
        <v>68926.315071512086</v>
      </c>
      <c r="C53" s="239">
        <f>'Lake Worth Forecast'!F12</f>
        <v>67308.563800946999</v>
      </c>
      <c r="D53" s="239">
        <f>'Lake Worth Forecast'!G12</f>
        <v>70321.625542374401</v>
      </c>
      <c r="E53" s="239">
        <f>'Lake Worth Forecast'!H12</f>
        <v>73587.460919827601</v>
      </c>
      <c r="F53" s="239">
        <f>'Lake Worth Forecast'!I12</f>
        <v>82333.428726319893</v>
      </c>
      <c r="G53" s="239">
        <f>'Lake Worth Forecast'!J12</f>
        <v>86478.916357142822</v>
      </c>
      <c r="H53" s="239">
        <f>'Lake Worth Forecast'!K12</f>
        <v>89926.748752534579</v>
      </c>
      <c r="I53" s="239">
        <f>'Lake Worth Forecast'!L12</f>
        <v>90452.517915468212</v>
      </c>
      <c r="J53" s="239">
        <f>'Lake Worth Forecast'!M12</f>
        <v>87318.124828748434</v>
      </c>
      <c r="K53" s="239">
        <f>'Lake Worth Forecast'!N12</f>
        <v>81969.434690442737</v>
      </c>
      <c r="L53" s="239">
        <f>'Lake Worth Forecast'!O12</f>
        <v>73102.135538658069</v>
      </c>
      <c r="M53" s="239">
        <f>'Lake Worth Forecast'!P12</f>
        <v>69401.529507240542</v>
      </c>
      <c r="N53" s="21">
        <f>SUM(B53:M53)</f>
        <v>941126.80165121634</v>
      </c>
    </row>
    <row r="54" spans="1:14">
      <c r="A54" s="256" t="s">
        <v>45</v>
      </c>
      <c r="B54" s="28">
        <f>ROUND(B53*'Transmission Formula Rate (7)'!$B$27,0)</f>
        <v>1275</v>
      </c>
      <c r="C54" s="28">
        <f>ROUND(C53*'Transmission Formula Rate (7)'!$B$27,0)</f>
        <v>1245</v>
      </c>
      <c r="D54" s="28">
        <f>ROUND(D53*'Transmission Formula Rate (7)'!$B$27,0)</f>
        <v>1301</v>
      </c>
      <c r="E54" s="28">
        <f>ROUND(E53*'Transmission Formula Rate (7)'!$B$27,0)</f>
        <v>1361</v>
      </c>
      <c r="F54" s="28">
        <f>ROUND(F53*'Transmission Formula Rate (7)'!$B$27,0)</f>
        <v>1523</v>
      </c>
      <c r="G54" s="28">
        <f>ROUND(G53*'Transmission Formula Rate (7)'!$B$27,0)</f>
        <v>1600</v>
      </c>
      <c r="H54" s="28">
        <f>ROUND(H53*'Transmission Formula Rate (7)'!$B$27,0)</f>
        <v>1664</v>
      </c>
      <c r="I54" s="28">
        <f>ROUND(I53*'Transmission Formula Rate (7)'!$B$27,0)</f>
        <v>1673</v>
      </c>
      <c r="J54" s="28">
        <f>ROUND(J53*'Transmission Formula Rate (7)'!$B$27,0)</f>
        <v>1615</v>
      </c>
      <c r="K54" s="28">
        <f>ROUND(K53*'Transmission Formula Rate (7)'!$B$27,0)</f>
        <v>1516</v>
      </c>
      <c r="L54" s="28">
        <f>ROUND(L53*'Transmission Formula Rate (7)'!$B$27,0)</f>
        <v>1352</v>
      </c>
      <c r="M54" s="28">
        <f>ROUND(M53*'Transmission Formula Rate (7)'!$B$27,0)</f>
        <v>1284</v>
      </c>
      <c r="N54" s="21">
        <f>SUM(B54:M54)</f>
        <v>17409</v>
      </c>
    </row>
    <row r="55" spans="1:14">
      <c r="A55" s="256" t="s">
        <v>305</v>
      </c>
      <c r="B55" s="28">
        <f t="shared" ref="B55:M55" si="18">B53+B54</f>
        <v>70201.315071512086</v>
      </c>
      <c r="C55" s="28">
        <f t="shared" si="18"/>
        <v>68553.563800946999</v>
      </c>
      <c r="D55" s="28">
        <f t="shared" si="18"/>
        <v>71622.625542374401</v>
      </c>
      <c r="E55" s="28">
        <f t="shared" si="18"/>
        <v>74948.460919827601</v>
      </c>
      <c r="F55" s="28">
        <f t="shared" si="18"/>
        <v>83856.428726319893</v>
      </c>
      <c r="G55" s="28">
        <f t="shared" si="18"/>
        <v>88078.916357142822</v>
      </c>
      <c r="H55" s="28">
        <f t="shared" si="18"/>
        <v>91590.748752534579</v>
      </c>
      <c r="I55" s="28">
        <f t="shared" si="18"/>
        <v>92125.517915468212</v>
      </c>
      <c r="J55" s="28">
        <f t="shared" si="18"/>
        <v>88933.124828748434</v>
      </c>
      <c r="K55" s="28">
        <f t="shared" si="18"/>
        <v>83485.434690442737</v>
      </c>
      <c r="L55" s="28">
        <f t="shared" si="18"/>
        <v>74454.135538658069</v>
      </c>
      <c r="M55" s="28">
        <f t="shared" si="18"/>
        <v>70685.529507240542</v>
      </c>
      <c r="N55" s="124">
        <f>SUM(B55:M55)</f>
        <v>958535.80165121634</v>
      </c>
    </row>
    <row r="56" spans="1:14">
      <c r="A56" s="254" t="s">
        <v>20</v>
      </c>
      <c r="B56" s="30">
        <f>'Transmission Formula Rate (7)'!B12</f>
        <v>1.59</v>
      </c>
      <c r="C56" s="30">
        <f>'Transmission Formula Rate (7)'!C12</f>
        <v>1.59</v>
      </c>
      <c r="D56" s="30">
        <f>'Transmission Formula Rate (7)'!D12</f>
        <v>1.59</v>
      </c>
      <c r="E56" s="30">
        <f>'Transmission Formula Rate (7)'!E12</f>
        <v>1.59</v>
      </c>
      <c r="F56" s="30">
        <f>'Transmission Formula Rate (7)'!F12</f>
        <v>1.59</v>
      </c>
      <c r="G56" s="30">
        <f>'Transmission Formula Rate (7)'!G12</f>
        <v>1.59</v>
      </c>
      <c r="H56" s="30">
        <f>'Transmission Formula Rate (7)'!H12</f>
        <v>1.59</v>
      </c>
      <c r="I56" s="30">
        <f>'Transmission Formula Rate (7)'!I12</f>
        <v>1.59</v>
      </c>
      <c r="J56" s="30">
        <f>'Transmission Formula Rate (7)'!J12</f>
        <v>1.59</v>
      </c>
      <c r="K56" s="30">
        <f>'Transmission Formula Rate (7)'!K12</f>
        <v>1.59</v>
      </c>
      <c r="L56" s="30">
        <f>'Transmission Formula Rate (7)'!L12</f>
        <v>1.59</v>
      </c>
      <c r="M56" s="30">
        <f>'Transmission Formula Rate (7)'!M12</f>
        <v>1.59</v>
      </c>
      <c r="N56" s="20"/>
    </row>
    <row r="57" spans="1:14">
      <c r="A57" s="254" t="s">
        <v>17</v>
      </c>
      <c r="B57" s="21">
        <f t="shared" ref="B57:M57" si="19">B55*B56</f>
        <v>111620.09096370422</v>
      </c>
      <c r="C57" s="21">
        <f t="shared" si="19"/>
        <v>109000.16644350573</v>
      </c>
      <c r="D57" s="21">
        <f t="shared" si="19"/>
        <v>113879.9746123753</v>
      </c>
      <c r="E57" s="21">
        <f t="shared" si="19"/>
        <v>119168.05286252589</v>
      </c>
      <c r="F57" s="21">
        <f t="shared" si="19"/>
        <v>133331.72167484864</v>
      </c>
      <c r="G57" s="21">
        <f t="shared" si="19"/>
        <v>140045.47700785709</v>
      </c>
      <c r="H57" s="21">
        <f t="shared" si="19"/>
        <v>145629.29051652999</v>
      </c>
      <c r="I57" s="21">
        <f t="shared" si="19"/>
        <v>146479.57348559448</v>
      </c>
      <c r="J57" s="21">
        <f t="shared" si="19"/>
        <v>141403.66847771002</v>
      </c>
      <c r="K57" s="21">
        <f t="shared" si="19"/>
        <v>132741.84115780395</v>
      </c>
      <c r="L57" s="21">
        <f t="shared" si="19"/>
        <v>118382.07550646634</v>
      </c>
      <c r="M57" s="21">
        <f t="shared" si="19"/>
        <v>112389.99191651247</v>
      </c>
      <c r="N57" s="21">
        <f>SUM(B57:M57)</f>
        <v>1524071.9246254342</v>
      </c>
    </row>
    <row r="59" spans="1:14">
      <c r="A59" s="254" t="s">
        <v>141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>
      <c r="A60" s="256" t="s">
        <v>47</v>
      </c>
      <c r="B60" s="239">
        <f>B53</f>
        <v>68926.315071512086</v>
      </c>
      <c r="C60" s="239">
        <f t="shared" ref="C60:M60" si="20">C53</f>
        <v>67308.563800946999</v>
      </c>
      <c r="D60" s="239">
        <f t="shared" si="20"/>
        <v>70321.625542374401</v>
      </c>
      <c r="E60" s="239">
        <f t="shared" si="20"/>
        <v>73587.460919827601</v>
      </c>
      <c r="F60" s="239">
        <f t="shared" si="20"/>
        <v>82333.428726319893</v>
      </c>
      <c r="G60" s="239">
        <f t="shared" si="20"/>
        <v>86478.916357142822</v>
      </c>
      <c r="H60" s="239">
        <f t="shared" si="20"/>
        <v>89926.748752534579</v>
      </c>
      <c r="I60" s="239">
        <f t="shared" si="20"/>
        <v>90452.517915468212</v>
      </c>
      <c r="J60" s="239">
        <f t="shared" si="20"/>
        <v>87318.124828748434</v>
      </c>
      <c r="K60" s="239">
        <f t="shared" si="20"/>
        <v>81969.434690442737</v>
      </c>
      <c r="L60" s="239">
        <f t="shared" si="20"/>
        <v>73102.135538658069</v>
      </c>
      <c r="M60" s="239">
        <f t="shared" si="20"/>
        <v>69401.529507240542</v>
      </c>
      <c r="N60" s="21">
        <f>SUM(B60:M60)</f>
        <v>941126.80165121634</v>
      </c>
    </row>
    <row r="61" spans="1:14">
      <c r="A61" s="256" t="s">
        <v>45</v>
      </c>
      <c r="B61" s="28">
        <f>ROUND(B60*'Transmission Formula Rate (7)'!$B$27,0)</f>
        <v>1275</v>
      </c>
      <c r="C61" s="28">
        <f>ROUND(C60*'Transmission Formula Rate (7)'!$B$27,0)</f>
        <v>1245</v>
      </c>
      <c r="D61" s="28">
        <f>ROUND(D60*'Transmission Formula Rate (7)'!$B$27,0)</f>
        <v>1301</v>
      </c>
      <c r="E61" s="28">
        <f>ROUND(E60*'Transmission Formula Rate (7)'!$B$27,0)</f>
        <v>1361</v>
      </c>
      <c r="F61" s="28">
        <f>ROUND(F60*'Transmission Formula Rate (7)'!$B$27,0)</f>
        <v>1523</v>
      </c>
      <c r="G61" s="28">
        <f>ROUND(G60*'Transmission Formula Rate (7)'!$B$27,0)</f>
        <v>1600</v>
      </c>
      <c r="H61" s="28">
        <f>ROUND(H60*'Transmission Formula Rate (7)'!$B$27,0)</f>
        <v>1664</v>
      </c>
      <c r="I61" s="28">
        <f>ROUND(I60*'Transmission Formula Rate (7)'!$B$27,0)</f>
        <v>1673</v>
      </c>
      <c r="J61" s="28">
        <f>ROUND(J60*'Transmission Formula Rate (7)'!$B$27,0)</f>
        <v>1615</v>
      </c>
      <c r="K61" s="28">
        <f>ROUND(K60*'Transmission Formula Rate (7)'!$B$27,0)</f>
        <v>1516</v>
      </c>
      <c r="L61" s="28">
        <f>ROUND(L60*'Transmission Formula Rate (7)'!$B$27,0)</f>
        <v>1352</v>
      </c>
      <c r="M61" s="28">
        <f>ROUND(M60*'Transmission Formula Rate (7)'!$B$27,0)</f>
        <v>1284</v>
      </c>
      <c r="N61" s="21">
        <f>SUM(B61:M61)</f>
        <v>17409</v>
      </c>
    </row>
    <row r="62" spans="1:14">
      <c r="A62" s="256" t="s">
        <v>305</v>
      </c>
      <c r="B62" s="28">
        <f t="shared" ref="B62:M62" si="21">B60+B61</f>
        <v>70201.315071512086</v>
      </c>
      <c r="C62" s="28">
        <f t="shared" si="21"/>
        <v>68553.563800946999</v>
      </c>
      <c r="D62" s="28">
        <f t="shared" si="21"/>
        <v>71622.625542374401</v>
      </c>
      <c r="E62" s="28">
        <f t="shared" si="21"/>
        <v>74948.460919827601</v>
      </c>
      <c r="F62" s="28">
        <f t="shared" si="21"/>
        <v>83856.428726319893</v>
      </c>
      <c r="G62" s="28">
        <f t="shared" si="21"/>
        <v>88078.916357142822</v>
      </c>
      <c r="H62" s="28">
        <f t="shared" si="21"/>
        <v>91590.748752534579</v>
      </c>
      <c r="I62" s="28">
        <f t="shared" si="21"/>
        <v>92125.517915468212</v>
      </c>
      <c r="J62" s="28">
        <f t="shared" si="21"/>
        <v>88933.124828748434</v>
      </c>
      <c r="K62" s="28">
        <f t="shared" si="21"/>
        <v>83485.434690442737</v>
      </c>
      <c r="L62" s="28">
        <f t="shared" si="21"/>
        <v>74454.135538658069</v>
      </c>
      <c r="M62" s="28">
        <f t="shared" si="21"/>
        <v>70685.529507240542</v>
      </c>
      <c r="N62" s="124">
        <f>SUM(B62:M62)</f>
        <v>958535.80165121634</v>
      </c>
    </row>
    <row r="63" spans="1:14">
      <c r="A63" s="254" t="s">
        <v>149</v>
      </c>
      <c r="B63" s="32">
        <f>'charges (1 &amp; 2)'!G33</f>
        <v>1.274E-2</v>
      </c>
      <c r="C63" s="32">
        <f>B63</f>
        <v>1.274E-2</v>
      </c>
      <c r="D63" s="32">
        <f t="shared" ref="D63:M63" si="22">C63</f>
        <v>1.274E-2</v>
      </c>
      <c r="E63" s="32">
        <f t="shared" si="22"/>
        <v>1.274E-2</v>
      </c>
      <c r="F63" s="32">
        <f t="shared" si="22"/>
        <v>1.274E-2</v>
      </c>
      <c r="G63" s="32">
        <f t="shared" si="22"/>
        <v>1.274E-2</v>
      </c>
      <c r="H63" s="32">
        <f t="shared" si="22"/>
        <v>1.274E-2</v>
      </c>
      <c r="I63" s="32">
        <f t="shared" si="22"/>
        <v>1.274E-2</v>
      </c>
      <c r="J63" s="32">
        <f t="shared" si="22"/>
        <v>1.274E-2</v>
      </c>
      <c r="K63" s="32">
        <f t="shared" si="22"/>
        <v>1.274E-2</v>
      </c>
      <c r="L63" s="32">
        <f t="shared" si="22"/>
        <v>1.274E-2</v>
      </c>
      <c r="M63" s="32">
        <f t="shared" si="22"/>
        <v>1.274E-2</v>
      </c>
      <c r="N63" s="20"/>
    </row>
    <row r="64" spans="1:14">
      <c r="A64" s="254" t="s">
        <v>17</v>
      </c>
      <c r="B64" s="21">
        <f t="shared" ref="B64:M64" si="23">B62*B63</f>
        <v>894.36475401106395</v>
      </c>
      <c r="C64" s="21">
        <f t="shared" si="23"/>
        <v>873.37240282406469</v>
      </c>
      <c r="D64" s="21">
        <f t="shared" si="23"/>
        <v>912.47224940984984</v>
      </c>
      <c r="E64" s="21">
        <f t="shared" si="23"/>
        <v>954.84339211860356</v>
      </c>
      <c r="F64" s="21">
        <f t="shared" si="23"/>
        <v>1068.3309019733153</v>
      </c>
      <c r="G64" s="21">
        <f t="shared" si="23"/>
        <v>1122.1253943899994</v>
      </c>
      <c r="H64" s="21">
        <f t="shared" si="23"/>
        <v>1166.8661391072906</v>
      </c>
      <c r="I64" s="21">
        <f t="shared" si="23"/>
        <v>1173.679098243065</v>
      </c>
      <c r="J64" s="21">
        <f t="shared" si="23"/>
        <v>1133.0080103182549</v>
      </c>
      <c r="K64" s="21">
        <f t="shared" si="23"/>
        <v>1063.6044379562404</v>
      </c>
      <c r="L64" s="21">
        <f t="shared" si="23"/>
        <v>948.54568676250381</v>
      </c>
      <c r="M64" s="21">
        <f t="shared" si="23"/>
        <v>900.53364592224443</v>
      </c>
      <c r="N64" s="21">
        <f>SUM(B64:M64)</f>
        <v>12211.746113036497</v>
      </c>
    </row>
    <row r="66" spans="1:15">
      <c r="A66" s="254" t="s">
        <v>38</v>
      </c>
    </row>
    <row r="67" spans="1:15">
      <c r="A67" s="256" t="s">
        <v>47</v>
      </c>
      <c r="B67" s="239">
        <f>B53</f>
        <v>68926.315071512086</v>
      </c>
      <c r="C67" s="239">
        <f t="shared" ref="C67:M67" si="24">C53</f>
        <v>67308.563800946999</v>
      </c>
      <c r="D67" s="239">
        <f t="shared" si="24"/>
        <v>70321.625542374401</v>
      </c>
      <c r="E67" s="239">
        <f t="shared" si="24"/>
        <v>73587.460919827601</v>
      </c>
      <c r="F67" s="239">
        <f t="shared" si="24"/>
        <v>82333.428726319893</v>
      </c>
      <c r="G67" s="239">
        <f t="shared" si="24"/>
        <v>86478.916357142822</v>
      </c>
      <c r="H67" s="239">
        <f t="shared" si="24"/>
        <v>89926.748752534579</v>
      </c>
      <c r="I67" s="239">
        <f t="shared" si="24"/>
        <v>90452.517915468212</v>
      </c>
      <c r="J67" s="239">
        <f t="shared" si="24"/>
        <v>87318.124828748434</v>
      </c>
      <c r="K67" s="239">
        <f t="shared" si="24"/>
        <v>81969.434690442737</v>
      </c>
      <c r="L67" s="239">
        <f t="shared" si="24"/>
        <v>73102.135538658069</v>
      </c>
      <c r="M67" s="239">
        <f t="shared" si="24"/>
        <v>69401.529507240542</v>
      </c>
      <c r="N67" s="21">
        <f>SUM(B67:M67)</f>
        <v>941126.80165121634</v>
      </c>
    </row>
    <row r="68" spans="1:15">
      <c r="A68" s="256" t="s">
        <v>45</v>
      </c>
      <c r="B68" s="28">
        <f>ROUND(B67*'Transmission Formula Rate (7)'!$B$27,0)</f>
        <v>1275</v>
      </c>
      <c r="C68" s="28">
        <f>ROUND(C67*'Transmission Formula Rate (7)'!$B$27,0)</f>
        <v>1245</v>
      </c>
      <c r="D68" s="28">
        <f>ROUND(D67*'Transmission Formula Rate (7)'!$B$27,0)</f>
        <v>1301</v>
      </c>
      <c r="E68" s="28">
        <f>ROUND(E67*'Transmission Formula Rate (7)'!$B$27,0)</f>
        <v>1361</v>
      </c>
      <c r="F68" s="28">
        <f>ROUND(F67*'Transmission Formula Rate (7)'!$B$27,0)</f>
        <v>1523</v>
      </c>
      <c r="G68" s="28">
        <f>ROUND(G67*'Transmission Formula Rate (7)'!$B$27,0)</f>
        <v>1600</v>
      </c>
      <c r="H68" s="28">
        <f>ROUND(H67*'Transmission Formula Rate (7)'!$B$27,0)</f>
        <v>1664</v>
      </c>
      <c r="I68" s="28">
        <f>ROUND(I67*'Transmission Formula Rate (7)'!$B$27,0)</f>
        <v>1673</v>
      </c>
      <c r="J68" s="28">
        <f>ROUND(J67*'Transmission Formula Rate (7)'!$B$27,0)</f>
        <v>1615</v>
      </c>
      <c r="K68" s="28">
        <f>ROUND(K67*'Transmission Formula Rate (7)'!$B$27,0)</f>
        <v>1516</v>
      </c>
      <c r="L68" s="28">
        <f>ROUND(L67*'Transmission Formula Rate (7)'!$B$27,0)</f>
        <v>1352</v>
      </c>
      <c r="M68" s="28">
        <f>ROUND(M67*'Transmission Formula Rate (7)'!$B$27,0)</f>
        <v>1284</v>
      </c>
      <c r="N68" s="21">
        <f t="shared" ref="N68:N69" si="25">SUM(B68:M68)</f>
        <v>17409</v>
      </c>
    </row>
    <row r="69" spans="1:15">
      <c r="A69" s="256" t="s">
        <v>305</v>
      </c>
      <c r="B69" s="28">
        <f>B67+B68</f>
        <v>70201.315071512086</v>
      </c>
      <c r="C69" s="28">
        <f t="shared" ref="C69:M69" si="26">C67+C68</f>
        <v>68553.563800946999</v>
      </c>
      <c r="D69" s="28">
        <f t="shared" si="26"/>
        <v>71622.625542374401</v>
      </c>
      <c r="E69" s="28">
        <f t="shared" si="26"/>
        <v>74948.460919827601</v>
      </c>
      <c r="F69" s="28">
        <f t="shared" si="26"/>
        <v>83856.428726319893</v>
      </c>
      <c r="G69" s="28">
        <f t="shared" si="26"/>
        <v>88078.916357142822</v>
      </c>
      <c r="H69" s="28">
        <f t="shared" si="26"/>
        <v>91590.748752534579</v>
      </c>
      <c r="I69" s="28">
        <f t="shared" si="26"/>
        <v>92125.517915468212</v>
      </c>
      <c r="J69" s="28">
        <f t="shared" si="26"/>
        <v>88933.124828748434</v>
      </c>
      <c r="K69" s="28">
        <f t="shared" si="26"/>
        <v>83485.434690442737</v>
      </c>
      <c r="L69" s="28">
        <f t="shared" si="26"/>
        <v>74454.135538658069</v>
      </c>
      <c r="M69" s="28">
        <f t="shared" si="26"/>
        <v>70685.529507240542</v>
      </c>
      <c r="N69" s="124">
        <f t="shared" si="25"/>
        <v>958535.80165121634</v>
      </c>
    </row>
    <row r="70" spans="1:15">
      <c r="A70" s="254" t="s">
        <v>150</v>
      </c>
      <c r="B70" s="32">
        <f>'charges (1 &amp; 2)'!E11</f>
        <v>0.1008</v>
      </c>
      <c r="C70" s="32">
        <f>B70</f>
        <v>0.1008</v>
      </c>
      <c r="D70" s="32">
        <f t="shared" ref="D70:M70" si="27">C70</f>
        <v>0.1008</v>
      </c>
      <c r="E70" s="32">
        <f t="shared" si="27"/>
        <v>0.1008</v>
      </c>
      <c r="F70" s="32">
        <f t="shared" si="27"/>
        <v>0.1008</v>
      </c>
      <c r="G70" s="32">
        <f t="shared" si="27"/>
        <v>0.1008</v>
      </c>
      <c r="H70" s="32">
        <f t="shared" si="27"/>
        <v>0.1008</v>
      </c>
      <c r="I70" s="32">
        <f t="shared" si="27"/>
        <v>0.1008</v>
      </c>
      <c r="J70" s="32">
        <f t="shared" si="27"/>
        <v>0.1008</v>
      </c>
      <c r="K70" s="32">
        <f t="shared" si="27"/>
        <v>0.1008</v>
      </c>
      <c r="L70" s="32">
        <f t="shared" si="27"/>
        <v>0.1008</v>
      </c>
      <c r="M70" s="32">
        <f t="shared" si="27"/>
        <v>0.1008</v>
      </c>
    </row>
    <row r="71" spans="1:15">
      <c r="A71" s="254" t="s">
        <v>17</v>
      </c>
      <c r="B71" s="21">
        <f>B69*B70</f>
        <v>7076.2925592084184</v>
      </c>
      <c r="C71" s="21">
        <f t="shared" ref="C71:M71" si="28">C69*C70</f>
        <v>6910.1992311354579</v>
      </c>
      <c r="D71" s="21">
        <f t="shared" si="28"/>
        <v>7219.5606546713398</v>
      </c>
      <c r="E71" s="21">
        <f t="shared" si="28"/>
        <v>7554.804860718622</v>
      </c>
      <c r="F71" s="21">
        <f t="shared" si="28"/>
        <v>8452.7280156130455</v>
      </c>
      <c r="G71" s="21">
        <f t="shared" si="28"/>
        <v>8878.3547687999962</v>
      </c>
      <c r="H71" s="21">
        <f t="shared" si="28"/>
        <v>9232.3474742554863</v>
      </c>
      <c r="I71" s="21">
        <f t="shared" si="28"/>
        <v>9286.2522058791965</v>
      </c>
      <c r="J71" s="21">
        <f t="shared" si="28"/>
        <v>8964.4589827378422</v>
      </c>
      <c r="K71" s="21">
        <f t="shared" si="28"/>
        <v>8415.3318167966281</v>
      </c>
      <c r="L71" s="21">
        <f t="shared" si="28"/>
        <v>7504.9768622967331</v>
      </c>
      <c r="M71" s="21">
        <f t="shared" si="28"/>
        <v>7125.1013743298463</v>
      </c>
      <c r="N71" s="21">
        <f>SUM(B71:M71)</f>
        <v>96620.408806442603</v>
      </c>
    </row>
    <row r="73" spans="1:15">
      <c r="B73" s="24" t="s">
        <v>0</v>
      </c>
      <c r="C73" s="24" t="s">
        <v>1</v>
      </c>
      <c r="D73" s="24" t="s">
        <v>2</v>
      </c>
      <c r="E73" s="24" t="s">
        <v>3</v>
      </c>
      <c r="F73" s="24" t="s">
        <v>4</v>
      </c>
      <c r="G73" s="24" t="s">
        <v>5</v>
      </c>
      <c r="H73" s="24" t="s">
        <v>6</v>
      </c>
      <c r="I73" s="24" t="s">
        <v>7</v>
      </c>
      <c r="J73" s="24" t="s">
        <v>8</v>
      </c>
      <c r="K73" s="24" t="s">
        <v>9</v>
      </c>
      <c r="L73" s="24" t="s">
        <v>10</v>
      </c>
      <c r="M73" s="24" t="s">
        <v>11</v>
      </c>
      <c r="N73" s="24" t="s">
        <v>12</v>
      </c>
    </row>
    <row r="74" spans="1:15">
      <c r="A74" s="255">
        <f>+A51+1</f>
        <v>2017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1:15">
      <c r="A75" s="254" t="s">
        <v>37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5">
      <c r="A76" s="256" t="s">
        <v>47</v>
      </c>
      <c r="B76" s="239">
        <f>'Lake Worth Forecast'!E13</f>
        <v>69383.549041638515</v>
      </c>
      <c r="C76" s="239">
        <f>'Lake Worth Forecast'!F13</f>
        <v>67764.130167225085</v>
      </c>
      <c r="D76" s="239">
        <f>'Lake Worth Forecast'!G13</f>
        <v>70751.505357913207</v>
      </c>
      <c r="E76" s="239">
        <f>'Lake Worth Forecast'!H13</f>
        <v>73980.284604414512</v>
      </c>
      <c r="F76" s="239">
        <f>'Lake Worth Forecast'!I13</f>
        <v>82660.772111363491</v>
      </c>
      <c r="G76" s="239">
        <f>'Lake Worth Forecast'!J13</f>
        <v>86784.75806483865</v>
      </c>
      <c r="H76" s="239">
        <f>'Lake Worth Forecast'!K13</f>
        <v>90204.648855525404</v>
      </c>
      <c r="I76" s="239">
        <f>'Lake Worth Forecast'!L13</f>
        <v>90727.69097645396</v>
      </c>
      <c r="J76" s="239">
        <f>'Lake Worth Forecast'!M13</f>
        <v>87589.438250882595</v>
      </c>
      <c r="K76" s="239">
        <f>'Lake Worth Forecast'!N13</f>
        <v>82258.432018341511</v>
      </c>
      <c r="L76" s="239">
        <f>'Lake Worth Forecast'!O13</f>
        <v>73447.183981160386</v>
      </c>
      <c r="M76" s="239">
        <f>'Lake Worth Forecast'!P13</f>
        <v>69765.772130009384</v>
      </c>
      <c r="N76" s="21">
        <f>SUM(B76:M76)</f>
        <v>945318.16555976658</v>
      </c>
    </row>
    <row r="77" spans="1:15">
      <c r="A77" s="256" t="s">
        <v>45</v>
      </c>
      <c r="B77" s="28">
        <f>ROUND(B76*'Transmission Formula Rate (7)'!$B$27,0)</f>
        <v>1284</v>
      </c>
      <c r="C77" s="28">
        <f>ROUND(C76*'Transmission Formula Rate (7)'!$B$27,0)</f>
        <v>1254</v>
      </c>
      <c r="D77" s="28">
        <f>ROUND(D76*'Transmission Formula Rate (7)'!$B$27,0)</f>
        <v>1309</v>
      </c>
      <c r="E77" s="28">
        <f>ROUND(E76*'Transmission Formula Rate (7)'!$B$27,0)</f>
        <v>1369</v>
      </c>
      <c r="F77" s="28">
        <f>ROUND(F76*'Transmission Formula Rate (7)'!$B$27,0)</f>
        <v>1529</v>
      </c>
      <c r="G77" s="28">
        <f>ROUND(G76*'Transmission Formula Rate (7)'!$B$27,0)</f>
        <v>1606</v>
      </c>
      <c r="H77" s="28">
        <f>ROUND(H76*'Transmission Formula Rate (7)'!$B$27,0)</f>
        <v>1669</v>
      </c>
      <c r="I77" s="28">
        <f>ROUND(I76*'Transmission Formula Rate (7)'!$B$27,0)</f>
        <v>1678</v>
      </c>
      <c r="J77" s="28">
        <f>ROUND(J76*'Transmission Formula Rate (7)'!$B$27,0)</f>
        <v>1620</v>
      </c>
      <c r="K77" s="28">
        <f>ROUND(K76*'Transmission Formula Rate (7)'!$B$27,0)</f>
        <v>1522</v>
      </c>
      <c r="L77" s="28">
        <f>ROUND(L76*'Transmission Formula Rate (7)'!$B$27,0)</f>
        <v>1359</v>
      </c>
      <c r="M77" s="28">
        <f>ROUND(M76*'Transmission Formula Rate (7)'!$B$27,0)</f>
        <v>1291</v>
      </c>
      <c r="N77" s="21">
        <f>SUM(B77:M77)</f>
        <v>17490</v>
      </c>
    </row>
    <row r="78" spans="1:15">
      <c r="A78" s="256" t="s">
        <v>305</v>
      </c>
      <c r="B78" s="28">
        <f t="shared" ref="B78:M78" si="29">B76+B77</f>
        <v>70667.549041638515</v>
      </c>
      <c r="C78" s="28">
        <f t="shared" si="29"/>
        <v>69018.130167225085</v>
      </c>
      <c r="D78" s="28">
        <f t="shared" si="29"/>
        <v>72060.505357913207</v>
      </c>
      <c r="E78" s="28">
        <f t="shared" si="29"/>
        <v>75349.284604414512</v>
      </c>
      <c r="F78" s="28">
        <f t="shared" si="29"/>
        <v>84189.772111363491</v>
      </c>
      <c r="G78" s="28">
        <f t="shared" si="29"/>
        <v>88390.75806483865</v>
      </c>
      <c r="H78" s="28">
        <f t="shared" si="29"/>
        <v>91873.648855525404</v>
      </c>
      <c r="I78" s="28">
        <f t="shared" si="29"/>
        <v>92405.69097645396</v>
      </c>
      <c r="J78" s="28">
        <f t="shared" si="29"/>
        <v>89209.438250882595</v>
      </c>
      <c r="K78" s="28">
        <f t="shared" si="29"/>
        <v>83780.432018341511</v>
      </c>
      <c r="L78" s="28">
        <f t="shared" si="29"/>
        <v>74806.183981160386</v>
      </c>
      <c r="M78" s="28">
        <f t="shared" si="29"/>
        <v>71056.772130009384</v>
      </c>
      <c r="N78" s="124">
        <f>SUM(B78:M78)</f>
        <v>962808.16555976658</v>
      </c>
    </row>
    <row r="79" spans="1:15">
      <c r="A79" s="254" t="s">
        <v>20</v>
      </c>
      <c r="B79" s="30">
        <f>'Transmission Formula Rate (7)'!B14</f>
        <v>1.59</v>
      </c>
      <c r="C79" s="30">
        <f>'Transmission Formula Rate (7)'!C14</f>
        <v>1.59</v>
      </c>
      <c r="D79" s="30">
        <f>'Transmission Formula Rate (7)'!D14</f>
        <v>1.59</v>
      </c>
      <c r="E79" s="30">
        <f>'Transmission Formula Rate (7)'!E14</f>
        <v>1.59</v>
      </c>
      <c r="F79" s="30">
        <f>'Transmission Formula Rate (7)'!F14</f>
        <v>1.59</v>
      </c>
      <c r="G79" s="30">
        <f>'Transmission Formula Rate (7)'!G14</f>
        <v>1.59</v>
      </c>
      <c r="H79" s="30">
        <f>'Transmission Formula Rate (7)'!H14</f>
        <v>1.59</v>
      </c>
      <c r="I79" s="30">
        <f>'Transmission Formula Rate (7)'!I14</f>
        <v>1.59</v>
      </c>
      <c r="J79" s="30">
        <f>'Transmission Formula Rate (7)'!J14</f>
        <v>1.59</v>
      </c>
      <c r="K79" s="30">
        <f>'Transmission Formula Rate (7)'!K14</f>
        <v>1.59</v>
      </c>
      <c r="L79" s="30">
        <f>'Transmission Formula Rate (7)'!L14</f>
        <v>1.59</v>
      </c>
      <c r="M79" s="30">
        <f>'Transmission Formula Rate (7)'!M14</f>
        <v>1.59</v>
      </c>
      <c r="N79" s="20"/>
      <c r="O79" s="277"/>
    </row>
    <row r="80" spans="1:15">
      <c r="A80" s="254" t="s">
        <v>17</v>
      </c>
      <c r="B80" s="21">
        <f t="shared" ref="B80:M80" si="30">B78*B79</f>
        <v>112361.40297620524</v>
      </c>
      <c r="C80" s="21">
        <f t="shared" si="30"/>
        <v>109738.82696588789</v>
      </c>
      <c r="D80" s="21">
        <f t="shared" si="30"/>
        <v>114576.203519082</v>
      </c>
      <c r="E80" s="21">
        <f t="shared" si="30"/>
        <v>119805.36252101908</v>
      </c>
      <c r="F80" s="21">
        <f t="shared" si="30"/>
        <v>133861.73765706795</v>
      </c>
      <c r="G80" s="21">
        <f t="shared" si="30"/>
        <v>140541.30532309346</v>
      </c>
      <c r="H80" s="21">
        <f t="shared" si="30"/>
        <v>146079.10168028538</v>
      </c>
      <c r="I80" s="21">
        <f t="shared" si="30"/>
        <v>146925.04865256179</v>
      </c>
      <c r="J80" s="21">
        <f t="shared" si="30"/>
        <v>141843.00681890332</v>
      </c>
      <c r="K80" s="21">
        <f t="shared" si="30"/>
        <v>133210.886909163</v>
      </c>
      <c r="L80" s="21">
        <f t="shared" si="30"/>
        <v>118941.83253004502</v>
      </c>
      <c r="M80" s="21">
        <f t="shared" si="30"/>
        <v>112980.26768671493</v>
      </c>
      <c r="N80" s="21">
        <f>SUM(B80:M80)</f>
        <v>1530864.9832400291</v>
      </c>
    </row>
    <row r="82" spans="1:14">
      <c r="A82" s="254" t="s">
        <v>141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256" t="s">
        <v>47</v>
      </c>
      <c r="B83" s="239">
        <f>B76</f>
        <v>69383.549041638515</v>
      </c>
      <c r="C83" s="239">
        <f t="shared" ref="C83:M83" si="31">C76</f>
        <v>67764.130167225085</v>
      </c>
      <c r="D83" s="239">
        <f t="shared" si="31"/>
        <v>70751.505357913207</v>
      </c>
      <c r="E83" s="239">
        <f t="shared" si="31"/>
        <v>73980.284604414512</v>
      </c>
      <c r="F83" s="239">
        <f t="shared" si="31"/>
        <v>82660.772111363491</v>
      </c>
      <c r="G83" s="239">
        <f t="shared" si="31"/>
        <v>86784.75806483865</v>
      </c>
      <c r="H83" s="239">
        <f t="shared" si="31"/>
        <v>90204.648855525404</v>
      </c>
      <c r="I83" s="239">
        <f t="shared" si="31"/>
        <v>90727.69097645396</v>
      </c>
      <c r="J83" s="239">
        <f t="shared" si="31"/>
        <v>87589.438250882595</v>
      </c>
      <c r="K83" s="239">
        <f t="shared" si="31"/>
        <v>82258.432018341511</v>
      </c>
      <c r="L83" s="239">
        <f t="shared" si="31"/>
        <v>73447.183981160386</v>
      </c>
      <c r="M83" s="239">
        <f t="shared" si="31"/>
        <v>69765.772130009384</v>
      </c>
      <c r="N83" s="21">
        <f>SUM(B83:M83)</f>
        <v>945318.16555976658</v>
      </c>
    </row>
    <row r="84" spans="1:14">
      <c r="A84" s="256" t="s">
        <v>45</v>
      </c>
      <c r="B84" s="28">
        <f>ROUND(B83*'Transmission Formula Rate (7)'!$B$27,0)</f>
        <v>1284</v>
      </c>
      <c r="C84" s="28">
        <f>ROUND(C83*'Transmission Formula Rate (7)'!$B$27,0)</f>
        <v>1254</v>
      </c>
      <c r="D84" s="28">
        <f>ROUND(D83*'Transmission Formula Rate (7)'!$B$27,0)</f>
        <v>1309</v>
      </c>
      <c r="E84" s="28">
        <f>ROUND(E83*'Transmission Formula Rate (7)'!$B$27,0)</f>
        <v>1369</v>
      </c>
      <c r="F84" s="28">
        <f>ROUND(F83*'Transmission Formula Rate (7)'!$B$27,0)</f>
        <v>1529</v>
      </c>
      <c r="G84" s="28">
        <f>ROUND(G83*'Transmission Formula Rate (7)'!$B$27,0)</f>
        <v>1606</v>
      </c>
      <c r="H84" s="28">
        <f>ROUND(H83*'Transmission Formula Rate (7)'!$B$27,0)</f>
        <v>1669</v>
      </c>
      <c r="I84" s="28">
        <f>ROUND(I83*'Transmission Formula Rate (7)'!$B$27,0)</f>
        <v>1678</v>
      </c>
      <c r="J84" s="28">
        <f>ROUND(J83*'Transmission Formula Rate (7)'!$B$27,0)</f>
        <v>1620</v>
      </c>
      <c r="K84" s="28">
        <f>ROUND(K83*'Transmission Formula Rate (7)'!$B$27,0)</f>
        <v>1522</v>
      </c>
      <c r="L84" s="28">
        <f>ROUND(L83*'Transmission Formula Rate (7)'!$B$27,0)</f>
        <v>1359</v>
      </c>
      <c r="M84" s="28">
        <f>ROUND(M83*'Transmission Formula Rate (7)'!$B$27,0)</f>
        <v>1291</v>
      </c>
      <c r="N84" s="21">
        <f>SUM(B84:M84)</f>
        <v>17490</v>
      </c>
    </row>
    <row r="85" spans="1:14">
      <c r="A85" s="256" t="s">
        <v>305</v>
      </c>
      <c r="B85" s="28">
        <f t="shared" ref="B85:M85" si="32">B83+B84</f>
        <v>70667.549041638515</v>
      </c>
      <c r="C85" s="28">
        <f t="shared" si="32"/>
        <v>69018.130167225085</v>
      </c>
      <c r="D85" s="28">
        <f t="shared" si="32"/>
        <v>72060.505357913207</v>
      </c>
      <c r="E85" s="28">
        <f t="shared" si="32"/>
        <v>75349.284604414512</v>
      </c>
      <c r="F85" s="28">
        <f t="shared" si="32"/>
        <v>84189.772111363491</v>
      </c>
      <c r="G85" s="28">
        <f t="shared" si="32"/>
        <v>88390.75806483865</v>
      </c>
      <c r="H85" s="28">
        <f t="shared" si="32"/>
        <v>91873.648855525404</v>
      </c>
      <c r="I85" s="28">
        <f t="shared" si="32"/>
        <v>92405.69097645396</v>
      </c>
      <c r="J85" s="28">
        <f t="shared" si="32"/>
        <v>89209.438250882595</v>
      </c>
      <c r="K85" s="28">
        <f t="shared" si="32"/>
        <v>83780.432018341511</v>
      </c>
      <c r="L85" s="28">
        <f t="shared" si="32"/>
        <v>74806.183981160386</v>
      </c>
      <c r="M85" s="28">
        <f t="shared" si="32"/>
        <v>71056.772130009384</v>
      </c>
      <c r="N85" s="124">
        <f>SUM(B85:M85)</f>
        <v>962808.16555976658</v>
      </c>
    </row>
    <row r="86" spans="1:14">
      <c r="A86" s="254" t="s">
        <v>149</v>
      </c>
      <c r="B86" s="32">
        <f>'charges (1 &amp; 2)'!H33</f>
        <v>1.274E-2</v>
      </c>
      <c r="C86" s="32">
        <f>B86</f>
        <v>1.274E-2</v>
      </c>
      <c r="D86" s="32">
        <f t="shared" ref="D86:M86" si="33">C86</f>
        <v>1.274E-2</v>
      </c>
      <c r="E86" s="32">
        <f t="shared" si="33"/>
        <v>1.274E-2</v>
      </c>
      <c r="F86" s="32">
        <f t="shared" si="33"/>
        <v>1.274E-2</v>
      </c>
      <c r="G86" s="32">
        <f t="shared" si="33"/>
        <v>1.274E-2</v>
      </c>
      <c r="H86" s="32">
        <f t="shared" si="33"/>
        <v>1.274E-2</v>
      </c>
      <c r="I86" s="32">
        <f t="shared" si="33"/>
        <v>1.274E-2</v>
      </c>
      <c r="J86" s="32">
        <f t="shared" si="33"/>
        <v>1.274E-2</v>
      </c>
      <c r="K86" s="32">
        <f t="shared" si="33"/>
        <v>1.274E-2</v>
      </c>
      <c r="L86" s="32">
        <f t="shared" si="33"/>
        <v>1.274E-2</v>
      </c>
      <c r="M86" s="32">
        <f t="shared" si="33"/>
        <v>1.274E-2</v>
      </c>
      <c r="N86" s="20"/>
    </row>
    <row r="87" spans="1:14">
      <c r="A87" s="254" t="s">
        <v>17</v>
      </c>
      <c r="B87" s="21">
        <f t="shared" ref="B87:M87" si="34">B85*B86</f>
        <v>900.3045747904747</v>
      </c>
      <c r="C87" s="21">
        <f t="shared" si="34"/>
        <v>879.2909783304475</v>
      </c>
      <c r="D87" s="21">
        <f t="shared" si="34"/>
        <v>918.05083825981421</v>
      </c>
      <c r="E87" s="21">
        <f t="shared" si="34"/>
        <v>959.9498858602409</v>
      </c>
      <c r="F87" s="21">
        <f t="shared" si="34"/>
        <v>1072.5776966987708</v>
      </c>
      <c r="G87" s="21">
        <f t="shared" si="34"/>
        <v>1126.0982577460443</v>
      </c>
      <c r="H87" s="21">
        <f t="shared" si="34"/>
        <v>1170.4702864193937</v>
      </c>
      <c r="I87" s="21">
        <f t="shared" si="34"/>
        <v>1177.2485030400235</v>
      </c>
      <c r="J87" s="21">
        <f t="shared" si="34"/>
        <v>1136.5282433162442</v>
      </c>
      <c r="K87" s="21">
        <f t="shared" si="34"/>
        <v>1067.3627039136709</v>
      </c>
      <c r="L87" s="21">
        <f t="shared" si="34"/>
        <v>953.03078391998326</v>
      </c>
      <c r="M87" s="21">
        <f t="shared" si="34"/>
        <v>905.26327693631947</v>
      </c>
      <c r="N87" s="21">
        <f>SUM(B87:M87)</f>
        <v>12266.176029231427</v>
      </c>
    </row>
    <row r="88" spans="1:14">
      <c r="A88" s="254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1:14">
      <c r="A89" s="254" t="s">
        <v>38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14">
      <c r="A90" s="256" t="s">
        <v>47</v>
      </c>
      <c r="B90" s="239">
        <f>B76</f>
        <v>69383.549041638515</v>
      </c>
      <c r="C90" s="239">
        <f t="shared" ref="C90:M90" si="35">C76</f>
        <v>67764.130167225085</v>
      </c>
      <c r="D90" s="239">
        <f t="shared" si="35"/>
        <v>70751.505357913207</v>
      </c>
      <c r="E90" s="239">
        <f t="shared" si="35"/>
        <v>73980.284604414512</v>
      </c>
      <c r="F90" s="239">
        <f t="shared" si="35"/>
        <v>82660.772111363491</v>
      </c>
      <c r="G90" s="239">
        <f t="shared" si="35"/>
        <v>86784.75806483865</v>
      </c>
      <c r="H90" s="239">
        <f t="shared" si="35"/>
        <v>90204.648855525404</v>
      </c>
      <c r="I90" s="239">
        <f t="shared" si="35"/>
        <v>90727.69097645396</v>
      </c>
      <c r="J90" s="239">
        <f t="shared" si="35"/>
        <v>87589.438250882595</v>
      </c>
      <c r="K90" s="239">
        <f t="shared" si="35"/>
        <v>82258.432018341511</v>
      </c>
      <c r="L90" s="239">
        <f t="shared" si="35"/>
        <v>73447.183981160386</v>
      </c>
      <c r="M90" s="239">
        <f t="shared" si="35"/>
        <v>69765.772130009384</v>
      </c>
      <c r="N90" s="21">
        <f>SUM(B90:M90)</f>
        <v>945318.16555976658</v>
      </c>
    </row>
    <row r="91" spans="1:14">
      <c r="A91" s="256" t="s">
        <v>45</v>
      </c>
      <c r="B91" s="28">
        <f>ROUND(B90*'Transmission Formula Rate (7)'!$B$27,0)</f>
        <v>1284</v>
      </c>
      <c r="C91" s="28">
        <f>ROUND(C90*'Transmission Formula Rate (7)'!$B$27,0)</f>
        <v>1254</v>
      </c>
      <c r="D91" s="28">
        <f>ROUND(D90*'Transmission Formula Rate (7)'!$B$27,0)</f>
        <v>1309</v>
      </c>
      <c r="E91" s="28">
        <f>ROUND(E90*'Transmission Formula Rate (7)'!$B$27,0)</f>
        <v>1369</v>
      </c>
      <c r="F91" s="28">
        <f>ROUND(F90*'Transmission Formula Rate (7)'!$B$27,0)</f>
        <v>1529</v>
      </c>
      <c r="G91" s="28">
        <f>ROUND(G90*'Transmission Formula Rate (7)'!$B$27,0)</f>
        <v>1606</v>
      </c>
      <c r="H91" s="28">
        <f>ROUND(H90*'Transmission Formula Rate (7)'!$B$27,0)</f>
        <v>1669</v>
      </c>
      <c r="I91" s="28">
        <f>ROUND(I90*'Transmission Formula Rate (7)'!$B$27,0)</f>
        <v>1678</v>
      </c>
      <c r="J91" s="28">
        <f>ROUND(J90*'Transmission Formula Rate (7)'!$B$27,0)</f>
        <v>1620</v>
      </c>
      <c r="K91" s="28">
        <f>ROUND(K90*'Transmission Formula Rate (7)'!$B$27,0)</f>
        <v>1522</v>
      </c>
      <c r="L91" s="28">
        <f>ROUND(L90*'Transmission Formula Rate (7)'!$B$27,0)</f>
        <v>1359</v>
      </c>
      <c r="M91" s="28">
        <f>ROUND(M90*'Transmission Formula Rate (7)'!$B$27,0)</f>
        <v>1291</v>
      </c>
      <c r="N91" s="21">
        <f t="shared" ref="N91:N94" si="36">SUM(B91:M91)</f>
        <v>17490</v>
      </c>
    </row>
    <row r="92" spans="1:14">
      <c r="A92" s="256" t="s">
        <v>305</v>
      </c>
      <c r="B92" s="21">
        <f>B90+B91</f>
        <v>70667.549041638515</v>
      </c>
      <c r="C92" s="21">
        <f t="shared" ref="C92:M92" si="37">C90+C91</f>
        <v>69018.130167225085</v>
      </c>
      <c r="D92" s="21">
        <f t="shared" si="37"/>
        <v>72060.505357913207</v>
      </c>
      <c r="E92" s="21">
        <f t="shared" si="37"/>
        <v>75349.284604414512</v>
      </c>
      <c r="F92" s="21">
        <f t="shared" si="37"/>
        <v>84189.772111363491</v>
      </c>
      <c r="G92" s="21">
        <f t="shared" si="37"/>
        <v>88390.75806483865</v>
      </c>
      <c r="H92" s="21">
        <f t="shared" si="37"/>
        <v>91873.648855525404</v>
      </c>
      <c r="I92" s="21">
        <f t="shared" si="37"/>
        <v>92405.69097645396</v>
      </c>
      <c r="J92" s="21">
        <f t="shared" si="37"/>
        <v>89209.438250882595</v>
      </c>
      <c r="K92" s="21">
        <f t="shared" si="37"/>
        <v>83780.432018341511</v>
      </c>
      <c r="L92" s="21">
        <f t="shared" si="37"/>
        <v>74806.183981160386</v>
      </c>
      <c r="M92" s="21">
        <f t="shared" si="37"/>
        <v>71056.772130009384</v>
      </c>
      <c r="N92" s="124">
        <f t="shared" si="36"/>
        <v>962808.16555976658</v>
      </c>
    </row>
    <row r="93" spans="1:14">
      <c r="A93" s="254" t="s">
        <v>150</v>
      </c>
      <c r="B93" s="32">
        <f>'charges (1 &amp; 2)'!F11</f>
        <v>0.1008</v>
      </c>
      <c r="C93" s="32">
        <f>B93</f>
        <v>0.1008</v>
      </c>
      <c r="D93" s="32">
        <f t="shared" ref="D93:M93" si="38">C93</f>
        <v>0.1008</v>
      </c>
      <c r="E93" s="32">
        <f t="shared" si="38"/>
        <v>0.1008</v>
      </c>
      <c r="F93" s="32">
        <f t="shared" si="38"/>
        <v>0.1008</v>
      </c>
      <c r="G93" s="32">
        <f t="shared" si="38"/>
        <v>0.1008</v>
      </c>
      <c r="H93" s="32">
        <f t="shared" si="38"/>
        <v>0.1008</v>
      </c>
      <c r="I93" s="32">
        <f t="shared" si="38"/>
        <v>0.1008</v>
      </c>
      <c r="J93" s="32">
        <f t="shared" si="38"/>
        <v>0.1008</v>
      </c>
      <c r="K93" s="32">
        <f t="shared" si="38"/>
        <v>0.1008</v>
      </c>
      <c r="L93" s="32">
        <f t="shared" si="38"/>
        <v>0.1008</v>
      </c>
      <c r="M93" s="32">
        <f t="shared" si="38"/>
        <v>0.1008</v>
      </c>
      <c r="N93" s="21"/>
    </row>
    <row r="94" spans="1:14">
      <c r="A94" s="254" t="s">
        <v>17</v>
      </c>
      <c r="B94" s="21">
        <f>B92*B93</f>
        <v>7123.2889433971623</v>
      </c>
      <c r="C94" s="21">
        <f t="shared" ref="C94:M94" si="39">C92*C93</f>
        <v>6957.0275208562889</v>
      </c>
      <c r="D94" s="21">
        <f t="shared" si="39"/>
        <v>7263.6989400776511</v>
      </c>
      <c r="E94" s="21">
        <f t="shared" si="39"/>
        <v>7595.2078881249827</v>
      </c>
      <c r="F94" s="21">
        <f t="shared" si="39"/>
        <v>8486.3290288254393</v>
      </c>
      <c r="G94" s="21">
        <f t="shared" si="39"/>
        <v>8909.7884129357353</v>
      </c>
      <c r="H94" s="21">
        <f t="shared" si="39"/>
        <v>9260.8638046369615</v>
      </c>
      <c r="I94" s="21">
        <f t="shared" si="39"/>
        <v>9314.4936504265588</v>
      </c>
      <c r="J94" s="21">
        <f t="shared" si="39"/>
        <v>8992.3113756889652</v>
      </c>
      <c r="K94" s="21">
        <f t="shared" si="39"/>
        <v>8445.0675474488253</v>
      </c>
      <c r="L94" s="21">
        <f t="shared" si="39"/>
        <v>7540.4633453009674</v>
      </c>
      <c r="M94" s="21">
        <f t="shared" si="39"/>
        <v>7162.5226307049461</v>
      </c>
      <c r="N94" s="21">
        <f t="shared" si="36"/>
        <v>97051.063088424489</v>
      </c>
    </row>
    <row r="95" spans="1:14">
      <c r="A95" s="254"/>
    </row>
    <row r="96" spans="1:14">
      <c r="B96" s="24" t="s">
        <v>0</v>
      </c>
      <c r="C96" s="24" t="s">
        <v>1</v>
      </c>
      <c r="D96" s="24" t="s">
        <v>2</v>
      </c>
      <c r="E96" s="24" t="s">
        <v>3</v>
      </c>
      <c r="F96" s="24" t="s">
        <v>4</v>
      </c>
      <c r="G96" s="24" t="s">
        <v>5</v>
      </c>
      <c r="H96" s="24" t="s">
        <v>6</v>
      </c>
      <c r="I96" s="24" t="s">
        <v>7</v>
      </c>
      <c r="J96" s="24" t="s">
        <v>8</v>
      </c>
      <c r="K96" s="24" t="s">
        <v>9</v>
      </c>
      <c r="L96" s="24" t="s">
        <v>10</v>
      </c>
      <c r="M96" s="24" t="s">
        <v>11</v>
      </c>
      <c r="N96" s="24" t="s">
        <v>12</v>
      </c>
    </row>
    <row r="97" spans="1:15">
      <c r="A97" s="255">
        <f>A74+1</f>
        <v>2018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5">
      <c r="A98" s="254" t="s">
        <v>37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5">
      <c r="A99" s="256" t="s">
        <v>47</v>
      </c>
      <c r="B99" s="239">
        <f>'Lake Worth Forecast'!E14</f>
        <v>69796.943041193677</v>
      </c>
      <c r="C99" s="239">
        <f>'Lake Worth Forecast'!F14</f>
        <v>68195.177280064745</v>
      </c>
      <c r="D99" s="239">
        <f>'Lake Worth Forecast'!G14</f>
        <v>71158.443938153272</v>
      </c>
      <c r="E99" s="239">
        <f>'Lake Worth Forecast'!H14</f>
        <v>74351.964424404097</v>
      </c>
      <c r="F99" s="239">
        <f>'Lake Worth Forecast'!I14</f>
        <v>82971.466426479223</v>
      </c>
      <c r="G99" s="239">
        <f>'Lake Worth Forecast'!J14</f>
        <v>87055.969117358021</v>
      </c>
      <c r="H99" s="239">
        <f>'Lake Worth Forecast'!K14</f>
        <v>90449.710323749969</v>
      </c>
      <c r="I99" s="239">
        <f>'Lake Worth Forecast'!L14</f>
        <v>90960.27316010982</v>
      </c>
      <c r="J99" s="239">
        <f>'Lake Worth Forecast'!M14</f>
        <v>87846.840961915441</v>
      </c>
      <c r="K99" s="239">
        <f>'Lake Worth Forecast'!N14</f>
        <v>82540.991878175832</v>
      </c>
      <c r="L99" s="239">
        <f>'Lake Worth Forecast'!O14</f>
        <v>73761.313299987814</v>
      </c>
      <c r="M99" s="239">
        <f>'Lake Worth Forecast'!P14</f>
        <v>70077.252049391231</v>
      </c>
      <c r="N99" s="21">
        <f>SUM(B99:M99)</f>
        <v>949166.34590098332</v>
      </c>
    </row>
    <row r="100" spans="1:15">
      <c r="A100" s="256" t="s">
        <v>45</v>
      </c>
      <c r="B100" s="28">
        <f>ROUND(B99*'Transmission Formula Rate (7)'!$B$27,0)</f>
        <v>1291</v>
      </c>
      <c r="C100" s="28">
        <f>ROUND(C99*'Transmission Formula Rate (7)'!$B$27,0)</f>
        <v>1262</v>
      </c>
      <c r="D100" s="28">
        <f>ROUND(D99*'Transmission Formula Rate (7)'!$B$27,0)</f>
        <v>1316</v>
      </c>
      <c r="E100" s="28">
        <f>ROUND(E99*'Transmission Formula Rate (7)'!$B$27,0)</f>
        <v>1376</v>
      </c>
      <c r="F100" s="28">
        <f>ROUND(F99*'Transmission Formula Rate (7)'!$B$27,0)</f>
        <v>1535</v>
      </c>
      <c r="G100" s="28">
        <f>ROUND(G99*'Transmission Formula Rate (7)'!$B$27,0)</f>
        <v>1611</v>
      </c>
      <c r="H100" s="28">
        <f>ROUND(H99*'Transmission Formula Rate (7)'!$B$27,0)</f>
        <v>1673</v>
      </c>
      <c r="I100" s="28">
        <f>ROUND(I99*'Transmission Formula Rate (7)'!$B$27,0)</f>
        <v>1683</v>
      </c>
      <c r="J100" s="28">
        <f>ROUND(J99*'Transmission Formula Rate (7)'!$B$27,0)</f>
        <v>1625</v>
      </c>
      <c r="K100" s="28">
        <f>ROUND(K99*'Transmission Formula Rate (7)'!$B$27,0)</f>
        <v>1527</v>
      </c>
      <c r="L100" s="28">
        <f>ROUND(L99*'Transmission Formula Rate (7)'!$B$27,0)</f>
        <v>1365</v>
      </c>
      <c r="M100" s="28">
        <f>ROUND(M99*'Transmission Formula Rate (7)'!$B$27,0)</f>
        <v>1296</v>
      </c>
      <c r="N100" s="21">
        <f>SUM(B100:M100)</f>
        <v>17560</v>
      </c>
    </row>
    <row r="101" spans="1:15">
      <c r="A101" s="256" t="s">
        <v>305</v>
      </c>
      <c r="B101" s="28">
        <f t="shared" ref="B101:M101" si="40">B99+B100</f>
        <v>71087.943041193677</v>
      </c>
      <c r="C101" s="28">
        <f t="shared" si="40"/>
        <v>69457.177280064745</v>
      </c>
      <c r="D101" s="28">
        <f t="shared" si="40"/>
        <v>72474.443938153272</v>
      </c>
      <c r="E101" s="28">
        <f t="shared" si="40"/>
        <v>75727.964424404097</v>
      </c>
      <c r="F101" s="28">
        <f t="shared" si="40"/>
        <v>84506.466426479223</v>
      </c>
      <c r="G101" s="28">
        <f t="shared" si="40"/>
        <v>88666.969117358021</v>
      </c>
      <c r="H101" s="28">
        <f t="shared" si="40"/>
        <v>92122.710323749969</v>
      </c>
      <c r="I101" s="28">
        <f t="shared" si="40"/>
        <v>92643.27316010982</v>
      </c>
      <c r="J101" s="28">
        <f t="shared" si="40"/>
        <v>89471.840961915441</v>
      </c>
      <c r="K101" s="28">
        <f t="shared" si="40"/>
        <v>84067.991878175832</v>
      </c>
      <c r="L101" s="28">
        <f t="shared" si="40"/>
        <v>75126.313299987814</v>
      </c>
      <c r="M101" s="28">
        <f t="shared" si="40"/>
        <v>71373.252049391231</v>
      </c>
      <c r="N101" s="124">
        <f>SUM(B101:M101)</f>
        <v>966726.34590098332</v>
      </c>
    </row>
    <row r="102" spans="1:15">
      <c r="A102" s="254" t="s">
        <v>20</v>
      </c>
      <c r="B102" s="30">
        <f>'Transmission Formula Rate (7)'!B16</f>
        <v>1.59</v>
      </c>
      <c r="C102" s="30">
        <f>'Transmission Formula Rate (7)'!C16</f>
        <v>1.59</v>
      </c>
      <c r="D102" s="30">
        <f>'Transmission Formula Rate (7)'!D16</f>
        <v>1.59</v>
      </c>
      <c r="E102" s="30">
        <f>'Transmission Formula Rate (7)'!E16</f>
        <v>1.59</v>
      </c>
      <c r="F102" s="30">
        <f>'Transmission Formula Rate (7)'!$F$16</f>
        <v>1.59</v>
      </c>
      <c r="G102" s="30">
        <f>'Transmission Formula Rate (7)'!$F$16</f>
        <v>1.59</v>
      </c>
      <c r="H102" s="30">
        <f>'Transmission Formula Rate (7)'!$F$16</f>
        <v>1.59</v>
      </c>
      <c r="I102" s="30">
        <f>'Transmission Formula Rate (7)'!$F$16</f>
        <v>1.59</v>
      </c>
      <c r="J102" s="30">
        <f>'Transmission Formula Rate (7)'!$F$16</f>
        <v>1.59</v>
      </c>
      <c r="K102" s="30">
        <f>'Transmission Formula Rate (7)'!$F$16</f>
        <v>1.59</v>
      </c>
      <c r="L102" s="30">
        <f>'Transmission Formula Rate (7)'!$F$16</f>
        <v>1.59</v>
      </c>
      <c r="M102" s="30">
        <f>'Transmission Formula Rate (7)'!$F$16</f>
        <v>1.59</v>
      </c>
      <c r="N102" s="20"/>
      <c r="O102" s="277"/>
    </row>
    <row r="103" spans="1:15">
      <c r="A103" s="254" t="s">
        <v>17</v>
      </c>
      <c r="B103" s="21">
        <f t="shared" ref="B103:M103" si="41">B101*B102</f>
        <v>113029.82943549796</v>
      </c>
      <c r="C103" s="21">
        <f t="shared" si="41"/>
        <v>110436.91187530295</v>
      </c>
      <c r="D103" s="21">
        <f t="shared" si="41"/>
        <v>115234.36586166371</v>
      </c>
      <c r="E103" s="21">
        <f t="shared" si="41"/>
        <v>120407.46343480251</v>
      </c>
      <c r="F103" s="21">
        <f t="shared" si="41"/>
        <v>134365.28161810196</v>
      </c>
      <c r="G103" s="21">
        <f t="shared" si="41"/>
        <v>140980.48089659927</v>
      </c>
      <c r="H103" s="21">
        <f t="shared" si="41"/>
        <v>146475.10941476247</v>
      </c>
      <c r="I103" s="21">
        <f t="shared" si="41"/>
        <v>147302.80432457462</v>
      </c>
      <c r="J103" s="21">
        <f t="shared" si="41"/>
        <v>142260.22712944556</v>
      </c>
      <c r="K103" s="21">
        <f t="shared" si="41"/>
        <v>133668.10708629957</v>
      </c>
      <c r="L103" s="21">
        <f t="shared" si="41"/>
        <v>119450.83814698063</v>
      </c>
      <c r="M103" s="21">
        <f t="shared" si="41"/>
        <v>113483.47075853206</v>
      </c>
      <c r="N103" s="21">
        <f>SUM(B103:M103)</f>
        <v>1537094.889982563</v>
      </c>
    </row>
    <row r="105" spans="1:15">
      <c r="A105" s="254" t="s">
        <v>141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5">
      <c r="A106" s="256" t="s">
        <v>47</v>
      </c>
      <c r="B106" s="239">
        <f>B99</f>
        <v>69796.943041193677</v>
      </c>
      <c r="C106" s="239">
        <f t="shared" ref="C106:M106" si="42">C99</f>
        <v>68195.177280064745</v>
      </c>
      <c r="D106" s="239">
        <f t="shared" si="42"/>
        <v>71158.443938153272</v>
      </c>
      <c r="E106" s="239">
        <f t="shared" si="42"/>
        <v>74351.964424404097</v>
      </c>
      <c r="F106" s="239">
        <f t="shared" si="42"/>
        <v>82971.466426479223</v>
      </c>
      <c r="G106" s="239">
        <f t="shared" si="42"/>
        <v>87055.969117358021</v>
      </c>
      <c r="H106" s="239">
        <f t="shared" si="42"/>
        <v>90449.710323749969</v>
      </c>
      <c r="I106" s="239">
        <f t="shared" si="42"/>
        <v>90960.27316010982</v>
      </c>
      <c r="J106" s="239">
        <f t="shared" si="42"/>
        <v>87846.840961915441</v>
      </c>
      <c r="K106" s="239">
        <f t="shared" si="42"/>
        <v>82540.991878175832</v>
      </c>
      <c r="L106" s="239">
        <f t="shared" si="42"/>
        <v>73761.313299987814</v>
      </c>
      <c r="M106" s="239">
        <f t="shared" si="42"/>
        <v>70077.252049391231</v>
      </c>
      <c r="N106" s="21">
        <f>SUM(B106:M106)</f>
        <v>949166.34590098332</v>
      </c>
    </row>
    <row r="107" spans="1:15">
      <c r="A107" s="256" t="s">
        <v>45</v>
      </c>
      <c r="B107" s="28">
        <f>ROUND(B106*'Transmission Formula Rate (7)'!$B$27,0)</f>
        <v>1291</v>
      </c>
      <c r="C107" s="28">
        <f>ROUND(C106*'Transmission Formula Rate (7)'!$B$27,0)</f>
        <v>1262</v>
      </c>
      <c r="D107" s="28">
        <f>ROUND(D106*'Transmission Formula Rate (7)'!$B$27,0)</f>
        <v>1316</v>
      </c>
      <c r="E107" s="28">
        <f>ROUND(E106*'Transmission Formula Rate (7)'!$B$27,0)</f>
        <v>1376</v>
      </c>
      <c r="F107" s="28">
        <f>ROUND(F106*'Transmission Formula Rate (7)'!$B$27,0)</f>
        <v>1535</v>
      </c>
      <c r="G107" s="28">
        <f>ROUND(G106*'Transmission Formula Rate (7)'!$B$27,0)</f>
        <v>1611</v>
      </c>
      <c r="H107" s="28">
        <f>ROUND(H106*'Transmission Formula Rate (7)'!$B$27,0)</f>
        <v>1673</v>
      </c>
      <c r="I107" s="28">
        <f>ROUND(I106*'Transmission Formula Rate (7)'!$B$27,0)</f>
        <v>1683</v>
      </c>
      <c r="J107" s="28">
        <f>ROUND(J106*'Transmission Formula Rate (7)'!$B$27,0)</f>
        <v>1625</v>
      </c>
      <c r="K107" s="28">
        <f>ROUND(K106*'Transmission Formula Rate (7)'!$B$27,0)</f>
        <v>1527</v>
      </c>
      <c r="L107" s="28">
        <f>ROUND(L106*'Transmission Formula Rate (7)'!$B$27,0)</f>
        <v>1365</v>
      </c>
      <c r="M107" s="28">
        <f>ROUND(M106*'Transmission Formula Rate (7)'!$B$27,0)</f>
        <v>1296</v>
      </c>
      <c r="N107" s="21">
        <f>SUM(B107:M107)</f>
        <v>17560</v>
      </c>
    </row>
    <row r="108" spans="1:15">
      <c r="A108" s="256" t="s">
        <v>305</v>
      </c>
      <c r="B108" s="28">
        <f t="shared" ref="B108:M108" si="43">B106+B107</f>
        <v>71087.943041193677</v>
      </c>
      <c r="C108" s="28">
        <f t="shared" si="43"/>
        <v>69457.177280064745</v>
      </c>
      <c r="D108" s="28">
        <f t="shared" si="43"/>
        <v>72474.443938153272</v>
      </c>
      <c r="E108" s="28">
        <f t="shared" si="43"/>
        <v>75727.964424404097</v>
      </c>
      <c r="F108" s="28">
        <f t="shared" si="43"/>
        <v>84506.466426479223</v>
      </c>
      <c r="G108" s="28">
        <f t="shared" si="43"/>
        <v>88666.969117358021</v>
      </c>
      <c r="H108" s="28">
        <f t="shared" si="43"/>
        <v>92122.710323749969</v>
      </c>
      <c r="I108" s="28">
        <f t="shared" si="43"/>
        <v>92643.27316010982</v>
      </c>
      <c r="J108" s="28">
        <f t="shared" si="43"/>
        <v>89471.840961915441</v>
      </c>
      <c r="K108" s="28">
        <f t="shared" si="43"/>
        <v>84067.991878175832</v>
      </c>
      <c r="L108" s="28">
        <f t="shared" si="43"/>
        <v>75126.313299987814</v>
      </c>
      <c r="M108" s="28">
        <f t="shared" si="43"/>
        <v>71373.252049391231</v>
      </c>
      <c r="N108" s="124">
        <f>SUM(B108:M108)</f>
        <v>966726.34590098332</v>
      </c>
    </row>
    <row r="109" spans="1:15">
      <c r="A109" s="254" t="s">
        <v>149</v>
      </c>
      <c r="B109" s="32">
        <f>'charges (1 &amp; 2)'!$H$39</f>
        <v>1.274E-2</v>
      </c>
      <c r="C109" s="32">
        <f>B109</f>
        <v>1.274E-2</v>
      </c>
      <c r="D109" s="32">
        <f t="shared" ref="D109:E109" si="44">C109</f>
        <v>1.274E-2</v>
      </c>
      <c r="E109" s="32">
        <f t="shared" si="44"/>
        <v>1.274E-2</v>
      </c>
      <c r="F109" s="32">
        <f>$E$109</f>
        <v>1.274E-2</v>
      </c>
      <c r="G109" s="32">
        <f t="shared" ref="G109:M109" si="45">$E$109</f>
        <v>1.274E-2</v>
      </c>
      <c r="H109" s="32">
        <f t="shared" si="45"/>
        <v>1.274E-2</v>
      </c>
      <c r="I109" s="32">
        <f t="shared" si="45"/>
        <v>1.274E-2</v>
      </c>
      <c r="J109" s="32">
        <f t="shared" si="45"/>
        <v>1.274E-2</v>
      </c>
      <c r="K109" s="32">
        <f t="shared" si="45"/>
        <v>1.274E-2</v>
      </c>
      <c r="L109" s="32">
        <f t="shared" si="45"/>
        <v>1.274E-2</v>
      </c>
      <c r="M109" s="32">
        <f t="shared" si="45"/>
        <v>1.274E-2</v>
      </c>
      <c r="N109" s="20"/>
    </row>
    <row r="110" spans="1:15">
      <c r="A110" s="254" t="s">
        <v>17</v>
      </c>
      <c r="B110" s="21">
        <f t="shared" ref="B110:M110" si="46">B108*B109</f>
        <v>905.6603943448074</v>
      </c>
      <c r="C110" s="21">
        <f t="shared" si="46"/>
        <v>884.88443854802483</v>
      </c>
      <c r="D110" s="21">
        <f t="shared" si="46"/>
        <v>923.32441577207271</v>
      </c>
      <c r="E110" s="21">
        <f t="shared" si="46"/>
        <v>964.77426676690811</v>
      </c>
      <c r="F110" s="21">
        <f t="shared" si="46"/>
        <v>1076.6123822733452</v>
      </c>
      <c r="G110" s="21">
        <f t="shared" si="46"/>
        <v>1129.6171865551412</v>
      </c>
      <c r="H110" s="21">
        <f t="shared" si="46"/>
        <v>1173.6433295245745</v>
      </c>
      <c r="I110" s="21">
        <f t="shared" si="46"/>
        <v>1180.2753000597991</v>
      </c>
      <c r="J110" s="21">
        <f t="shared" si="46"/>
        <v>1139.8712538548027</v>
      </c>
      <c r="K110" s="21">
        <f t="shared" si="46"/>
        <v>1071.0262165279601</v>
      </c>
      <c r="L110" s="21">
        <f t="shared" si="46"/>
        <v>957.10923144184471</v>
      </c>
      <c r="M110" s="21">
        <f t="shared" si="46"/>
        <v>909.29523110924424</v>
      </c>
      <c r="N110" s="21">
        <f>SUM(B110:M110)</f>
        <v>12316.093646778525</v>
      </c>
    </row>
    <row r="111" spans="1:15">
      <c r="A111" s="254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1:15">
      <c r="A112" s="254" t="s">
        <v>38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6">
      <c r="A113" s="256" t="s">
        <v>47</v>
      </c>
      <c r="B113" s="239">
        <f>B99</f>
        <v>69796.943041193677</v>
      </c>
      <c r="C113" s="239">
        <f t="shared" ref="C113:M113" si="47">C99</f>
        <v>68195.177280064745</v>
      </c>
      <c r="D113" s="239">
        <f t="shared" si="47"/>
        <v>71158.443938153272</v>
      </c>
      <c r="E113" s="239">
        <f t="shared" si="47"/>
        <v>74351.964424404097</v>
      </c>
      <c r="F113" s="239">
        <f t="shared" si="47"/>
        <v>82971.466426479223</v>
      </c>
      <c r="G113" s="239">
        <f t="shared" si="47"/>
        <v>87055.969117358021</v>
      </c>
      <c r="H113" s="239">
        <f t="shared" si="47"/>
        <v>90449.710323749969</v>
      </c>
      <c r="I113" s="239">
        <f t="shared" si="47"/>
        <v>90960.27316010982</v>
      </c>
      <c r="J113" s="239">
        <f t="shared" si="47"/>
        <v>87846.840961915441</v>
      </c>
      <c r="K113" s="239">
        <f t="shared" si="47"/>
        <v>82540.991878175832</v>
      </c>
      <c r="L113" s="239">
        <f t="shared" si="47"/>
        <v>73761.313299987814</v>
      </c>
      <c r="M113" s="239">
        <f t="shared" si="47"/>
        <v>70077.252049391231</v>
      </c>
      <c r="N113" s="21">
        <f>SUM(B113:M113)</f>
        <v>949166.34590098332</v>
      </c>
    </row>
    <row r="114" spans="1:16">
      <c r="A114" s="256" t="s">
        <v>45</v>
      </c>
      <c r="B114" s="28">
        <f>ROUND(B113*'Transmission Formula Rate (7)'!$B$27,0)</f>
        <v>1291</v>
      </c>
      <c r="C114" s="28">
        <f>ROUND(C113*'Transmission Formula Rate (7)'!$B$27,0)</f>
        <v>1262</v>
      </c>
      <c r="D114" s="28">
        <f>ROUND(D113*'Transmission Formula Rate (7)'!$B$27,0)</f>
        <v>1316</v>
      </c>
      <c r="E114" s="28">
        <f>ROUND(E113*'Transmission Formula Rate (7)'!$B$27,0)</f>
        <v>1376</v>
      </c>
      <c r="F114" s="28">
        <f>ROUND(F113*'Transmission Formula Rate (7)'!$B$27,0)</f>
        <v>1535</v>
      </c>
      <c r="G114" s="28">
        <f>ROUND(G113*'Transmission Formula Rate (7)'!$B$27,0)</f>
        <v>1611</v>
      </c>
      <c r="H114" s="28">
        <f>ROUND(H113*'Transmission Formula Rate (7)'!$B$27,0)</f>
        <v>1673</v>
      </c>
      <c r="I114" s="28">
        <f>ROUND(I113*'Transmission Formula Rate (7)'!$B$27,0)</f>
        <v>1683</v>
      </c>
      <c r="J114" s="28">
        <f>ROUND(J113*'Transmission Formula Rate (7)'!$B$27,0)</f>
        <v>1625</v>
      </c>
      <c r="K114" s="28">
        <f>ROUND(K113*'Transmission Formula Rate (7)'!$B$27,0)</f>
        <v>1527</v>
      </c>
      <c r="L114" s="28">
        <f>ROUND(L113*'Transmission Formula Rate (7)'!$B$27,0)</f>
        <v>1365</v>
      </c>
      <c r="M114" s="28">
        <f>ROUND(M113*'Transmission Formula Rate (7)'!$B$27,0)</f>
        <v>1296</v>
      </c>
      <c r="N114" s="21">
        <f t="shared" ref="N114:N117" si="48">SUM(B114:M114)</f>
        <v>17560</v>
      </c>
    </row>
    <row r="115" spans="1:16">
      <c r="A115" s="256" t="s">
        <v>305</v>
      </c>
      <c r="B115" s="21">
        <f>B113+B114</f>
        <v>71087.943041193677</v>
      </c>
      <c r="C115" s="21">
        <f t="shared" ref="C115:M115" si="49">C113+C114</f>
        <v>69457.177280064745</v>
      </c>
      <c r="D115" s="21">
        <f t="shared" si="49"/>
        <v>72474.443938153272</v>
      </c>
      <c r="E115" s="21">
        <f t="shared" si="49"/>
        <v>75727.964424404097</v>
      </c>
      <c r="F115" s="21">
        <f t="shared" si="49"/>
        <v>84506.466426479223</v>
      </c>
      <c r="G115" s="21">
        <f t="shared" si="49"/>
        <v>88666.969117358021</v>
      </c>
      <c r="H115" s="21">
        <f t="shared" si="49"/>
        <v>92122.710323749969</v>
      </c>
      <c r="I115" s="21">
        <f t="shared" si="49"/>
        <v>92643.27316010982</v>
      </c>
      <c r="J115" s="21">
        <f t="shared" si="49"/>
        <v>89471.840961915441</v>
      </c>
      <c r="K115" s="21">
        <f t="shared" si="49"/>
        <v>84067.991878175832</v>
      </c>
      <c r="L115" s="21">
        <f t="shared" si="49"/>
        <v>75126.313299987814</v>
      </c>
      <c r="M115" s="21">
        <f t="shared" si="49"/>
        <v>71373.252049391231</v>
      </c>
      <c r="N115" s="124">
        <f t="shared" si="48"/>
        <v>966726.34590098332</v>
      </c>
    </row>
    <row r="116" spans="1:16">
      <c r="A116" s="254" t="s">
        <v>150</v>
      </c>
      <c r="B116" s="32">
        <f>'charges (1 &amp; 2)'!G11</f>
        <v>0.1008</v>
      </c>
      <c r="C116" s="32">
        <f>B116</f>
        <v>0.1008</v>
      </c>
      <c r="D116" s="32">
        <f t="shared" ref="D116:M116" si="50">C116</f>
        <v>0.1008</v>
      </c>
      <c r="E116" s="32">
        <f t="shared" si="50"/>
        <v>0.1008</v>
      </c>
      <c r="F116" s="32">
        <f t="shared" si="50"/>
        <v>0.1008</v>
      </c>
      <c r="G116" s="32">
        <f t="shared" si="50"/>
        <v>0.1008</v>
      </c>
      <c r="H116" s="32">
        <f t="shared" si="50"/>
        <v>0.1008</v>
      </c>
      <c r="I116" s="32">
        <f t="shared" si="50"/>
        <v>0.1008</v>
      </c>
      <c r="J116" s="32">
        <f t="shared" si="50"/>
        <v>0.1008</v>
      </c>
      <c r="K116" s="32">
        <f t="shared" si="50"/>
        <v>0.1008</v>
      </c>
      <c r="L116" s="32">
        <f t="shared" si="50"/>
        <v>0.1008</v>
      </c>
      <c r="M116" s="32">
        <f t="shared" si="50"/>
        <v>0.1008</v>
      </c>
      <c r="N116" s="21"/>
    </row>
    <row r="117" spans="1:16">
      <c r="A117" s="254" t="s">
        <v>17</v>
      </c>
      <c r="B117" s="21">
        <f>B115*B116</f>
        <v>7165.6646585523231</v>
      </c>
      <c r="C117" s="21">
        <f t="shared" ref="C117:M117" si="51">C115*C116</f>
        <v>7001.283469830526</v>
      </c>
      <c r="D117" s="21">
        <f t="shared" si="51"/>
        <v>7305.4239489658503</v>
      </c>
      <c r="E117" s="21">
        <f t="shared" si="51"/>
        <v>7633.3788139799335</v>
      </c>
      <c r="F117" s="21">
        <f t="shared" si="51"/>
        <v>8518.2518157891063</v>
      </c>
      <c r="G117" s="21">
        <f t="shared" si="51"/>
        <v>8937.6304870296881</v>
      </c>
      <c r="H117" s="21">
        <f t="shared" si="51"/>
        <v>9285.9692006339974</v>
      </c>
      <c r="I117" s="21">
        <f t="shared" si="51"/>
        <v>9338.4419345390706</v>
      </c>
      <c r="J117" s="21">
        <f t="shared" si="51"/>
        <v>9018.7615689610757</v>
      </c>
      <c r="K117" s="21">
        <f t="shared" si="51"/>
        <v>8474.0535813201241</v>
      </c>
      <c r="L117" s="21">
        <f t="shared" si="51"/>
        <v>7572.7323806387722</v>
      </c>
      <c r="M117" s="21">
        <f t="shared" si="51"/>
        <v>7194.4238065786358</v>
      </c>
      <c r="N117" s="21">
        <f t="shared" si="48"/>
        <v>97446.015666819105</v>
      </c>
    </row>
    <row r="119" spans="1:16">
      <c r="B119" s="24" t="s">
        <v>0</v>
      </c>
      <c r="C119" s="24" t="s">
        <v>1</v>
      </c>
      <c r="D119" s="24" t="s">
        <v>2</v>
      </c>
      <c r="E119" s="24" t="s">
        <v>3</v>
      </c>
      <c r="F119" s="24" t="s">
        <v>4</v>
      </c>
      <c r="G119" s="24" t="s">
        <v>5</v>
      </c>
      <c r="H119" s="24" t="s">
        <v>6</v>
      </c>
      <c r="I119" s="24" t="s">
        <v>7</v>
      </c>
      <c r="J119" s="24" t="s">
        <v>8</v>
      </c>
      <c r="K119" s="24" t="s">
        <v>9</v>
      </c>
      <c r="L119" s="24" t="s">
        <v>10</v>
      </c>
      <c r="M119" s="24" t="s">
        <v>11</v>
      </c>
      <c r="N119" s="24" t="s">
        <v>12</v>
      </c>
    </row>
    <row r="120" spans="1:16">
      <c r="A120" s="255">
        <f>A97+1</f>
        <v>2019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6">
      <c r="A121" s="254" t="s">
        <v>37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6">
      <c r="A122" s="256" t="s">
        <v>47</v>
      </c>
      <c r="B122" s="239">
        <f>'Lake Worth Forecast'!E15</f>
        <v>70069.439411680069</v>
      </c>
      <c r="C122" s="239"/>
      <c r="D122" s="239"/>
      <c r="E122" s="239"/>
      <c r="F122" s="239"/>
      <c r="G122" s="239"/>
      <c r="H122" s="239"/>
      <c r="I122" s="239"/>
      <c r="J122" s="239"/>
      <c r="K122" s="239"/>
      <c r="L122" s="239"/>
      <c r="M122" s="239"/>
      <c r="N122" s="21">
        <f>SUM(B122:M122)</f>
        <v>70069.439411680069</v>
      </c>
      <c r="P122" s="22" t="s">
        <v>421</v>
      </c>
    </row>
    <row r="123" spans="1:16">
      <c r="A123" s="256" t="s">
        <v>45</v>
      </c>
      <c r="B123" s="28">
        <f>ROUND(B122*'Transmission Formula Rate (7)'!$B$27,0)</f>
        <v>1296</v>
      </c>
      <c r="C123" s="28">
        <f>ROUND(C122*'Transmission Formula Rate (7)'!$B$27,0)</f>
        <v>0</v>
      </c>
      <c r="D123" s="28">
        <f>ROUND(D122*'Transmission Formula Rate (7)'!$B$27,0)</f>
        <v>0</v>
      </c>
      <c r="E123" s="28">
        <f>ROUND(E122*'Transmission Formula Rate (7)'!$B$27,0)</f>
        <v>0</v>
      </c>
      <c r="F123" s="28">
        <f>ROUND(F122*'Transmission Formula Rate (7)'!$B$27,0)</f>
        <v>0</v>
      </c>
      <c r="G123" s="28">
        <f>ROUND(G122*'Transmission Formula Rate (7)'!$B$27,0)</f>
        <v>0</v>
      </c>
      <c r="H123" s="28">
        <f>ROUND(H122*'Transmission Formula Rate (7)'!$B$27,0)</f>
        <v>0</v>
      </c>
      <c r="I123" s="28">
        <f>ROUND(I122*'Transmission Formula Rate (7)'!$B$27,0)</f>
        <v>0</v>
      </c>
      <c r="J123" s="28">
        <f>ROUND(J122*'Transmission Formula Rate (7)'!$B$27,0)</f>
        <v>0</v>
      </c>
      <c r="K123" s="28">
        <f>ROUND(K122*'Transmission Formula Rate (7)'!$B$27,0)</f>
        <v>0</v>
      </c>
      <c r="L123" s="28">
        <f>ROUND(L122*'Transmission Formula Rate (7)'!$B$27,0)</f>
        <v>0</v>
      </c>
      <c r="M123" s="28">
        <f>ROUND(M122*'Transmission Formula Rate (7)'!$B$27,0)</f>
        <v>0</v>
      </c>
      <c r="N123" s="21">
        <f>SUM(B123:M123)</f>
        <v>1296</v>
      </c>
    </row>
    <row r="124" spans="1:16">
      <c r="A124" s="256" t="s">
        <v>305</v>
      </c>
      <c r="B124" s="28">
        <f t="shared" ref="B124:M124" si="52">B122+B123</f>
        <v>71365.439411680069</v>
      </c>
      <c r="C124" s="28">
        <f t="shared" si="52"/>
        <v>0</v>
      </c>
      <c r="D124" s="28">
        <f t="shared" si="52"/>
        <v>0</v>
      </c>
      <c r="E124" s="28">
        <f t="shared" si="52"/>
        <v>0</v>
      </c>
      <c r="F124" s="28">
        <f t="shared" si="52"/>
        <v>0</v>
      </c>
      <c r="G124" s="28">
        <f t="shared" si="52"/>
        <v>0</v>
      </c>
      <c r="H124" s="28">
        <f t="shared" si="52"/>
        <v>0</v>
      </c>
      <c r="I124" s="28">
        <f t="shared" si="52"/>
        <v>0</v>
      </c>
      <c r="J124" s="28">
        <f t="shared" si="52"/>
        <v>0</v>
      </c>
      <c r="K124" s="28">
        <f t="shared" si="52"/>
        <v>0</v>
      </c>
      <c r="L124" s="28">
        <f t="shared" si="52"/>
        <v>0</v>
      </c>
      <c r="M124" s="28">
        <f t="shared" si="52"/>
        <v>0</v>
      </c>
      <c r="N124" s="124">
        <f>SUM(B124:M124)</f>
        <v>71365.439411680069</v>
      </c>
    </row>
    <row r="125" spans="1:16">
      <c r="A125" s="254" t="s">
        <v>20</v>
      </c>
      <c r="B125" s="30">
        <f>B102</f>
        <v>1.59</v>
      </c>
      <c r="C125" s="30">
        <f t="shared" ref="C125:M125" si="53">C102</f>
        <v>1.59</v>
      </c>
      <c r="D125" s="30">
        <f t="shared" si="53"/>
        <v>1.59</v>
      </c>
      <c r="E125" s="30">
        <f t="shared" si="53"/>
        <v>1.59</v>
      </c>
      <c r="F125" s="30">
        <f t="shared" si="53"/>
        <v>1.59</v>
      </c>
      <c r="G125" s="30">
        <f t="shared" si="53"/>
        <v>1.59</v>
      </c>
      <c r="H125" s="30">
        <f t="shared" si="53"/>
        <v>1.59</v>
      </c>
      <c r="I125" s="30">
        <f t="shared" si="53"/>
        <v>1.59</v>
      </c>
      <c r="J125" s="30">
        <f t="shared" si="53"/>
        <v>1.59</v>
      </c>
      <c r="K125" s="30">
        <f t="shared" si="53"/>
        <v>1.59</v>
      </c>
      <c r="L125" s="30">
        <f t="shared" si="53"/>
        <v>1.59</v>
      </c>
      <c r="M125" s="30">
        <f t="shared" si="53"/>
        <v>1.59</v>
      </c>
      <c r="N125" s="20"/>
      <c r="O125" s="277"/>
    </row>
    <row r="126" spans="1:16">
      <c r="A126" s="254" t="s">
        <v>17</v>
      </c>
      <c r="B126" s="21">
        <f t="shared" ref="B126:M126" si="54">B124*B125</f>
        <v>113471.04866457131</v>
      </c>
      <c r="C126" s="21">
        <f t="shared" si="54"/>
        <v>0</v>
      </c>
      <c r="D126" s="21">
        <f t="shared" si="54"/>
        <v>0</v>
      </c>
      <c r="E126" s="21">
        <f t="shared" si="54"/>
        <v>0</v>
      </c>
      <c r="F126" s="21">
        <f t="shared" si="54"/>
        <v>0</v>
      </c>
      <c r="G126" s="21">
        <f t="shared" si="54"/>
        <v>0</v>
      </c>
      <c r="H126" s="21">
        <f t="shared" si="54"/>
        <v>0</v>
      </c>
      <c r="I126" s="21">
        <f t="shared" si="54"/>
        <v>0</v>
      </c>
      <c r="J126" s="21">
        <f t="shared" si="54"/>
        <v>0</v>
      </c>
      <c r="K126" s="21">
        <f t="shared" si="54"/>
        <v>0</v>
      </c>
      <c r="L126" s="21">
        <f t="shared" si="54"/>
        <v>0</v>
      </c>
      <c r="M126" s="21">
        <f t="shared" si="54"/>
        <v>0</v>
      </c>
      <c r="N126" s="21">
        <f>SUM(B126:M126)</f>
        <v>113471.04866457131</v>
      </c>
    </row>
    <row r="128" spans="1:16">
      <c r="A128" s="254" t="s">
        <v>141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>
      <c r="A129" s="256" t="s">
        <v>47</v>
      </c>
      <c r="B129" s="239">
        <f>B122</f>
        <v>70069.439411680069</v>
      </c>
      <c r="C129" s="239">
        <f t="shared" ref="C129:M129" si="55">C122</f>
        <v>0</v>
      </c>
      <c r="D129" s="239">
        <f t="shared" si="55"/>
        <v>0</v>
      </c>
      <c r="E129" s="239">
        <f t="shared" si="55"/>
        <v>0</v>
      </c>
      <c r="F129" s="239">
        <f t="shared" si="55"/>
        <v>0</v>
      </c>
      <c r="G129" s="239">
        <f t="shared" si="55"/>
        <v>0</v>
      </c>
      <c r="H129" s="239">
        <f t="shared" si="55"/>
        <v>0</v>
      </c>
      <c r="I129" s="239">
        <f t="shared" si="55"/>
        <v>0</v>
      </c>
      <c r="J129" s="239">
        <f t="shared" si="55"/>
        <v>0</v>
      </c>
      <c r="K129" s="239">
        <f t="shared" si="55"/>
        <v>0</v>
      </c>
      <c r="L129" s="239">
        <f t="shared" si="55"/>
        <v>0</v>
      </c>
      <c r="M129" s="239">
        <f t="shared" si="55"/>
        <v>0</v>
      </c>
      <c r="N129" s="21">
        <f>SUM(B129:M129)</f>
        <v>70069.439411680069</v>
      </c>
    </row>
    <row r="130" spans="1:14">
      <c r="A130" s="256" t="s">
        <v>45</v>
      </c>
      <c r="B130" s="28">
        <f>ROUND(B129*'Transmission Formula Rate (7)'!$B$27,0)</f>
        <v>1296</v>
      </c>
      <c r="C130" s="28">
        <f>ROUND(C129*'Transmission Formula Rate (7)'!$B$27,0)</f>
        <v>0</v>
      </c>
      <c r="D130" s="28">
        <f>ROUND(D129*'Transmission Formula Rate (7)'!$B$27,0)</f>
        <v>0</v>
      </c>
      <c r="E130" s="28">
        <f>ROUND(E129*'Transmission Formula Rate (7)'!$B$27,0)</f>
        <v>0</v>
      </c>
      <c r="F130" s="28">
        <f>ROUND(F129*'Transmission Formula Rate (7)'!$B$27,0)</f>
        <v>0</v>
      </c>
      <c r="G130" s="28">
        <f>ROUND(G129*'Transmission Formula Rate (7)'!$B$27,0)</f>
        <v>0</v>
      </c>
      <c r="H130" s="28">
        <f>ROUND(H129*'Transmission Formula Rate (7)'!$B$27,0)</f>
        <v>0</v>
      </c>
      <c r="I130" s="28">
        <f>ROUND(I129*'Transmission Formula Rate (7)'!$B$27,0)</f>
        <v>0</v>
      </c>
      <c r="J130" s="28">
        <f>ROUND(J129*'Transmission Formula Rate (7)'!$B$27,0)</f>
        <v>0</v>
      </c>
      <c r="K130" s="28">
        <f>ROUND(K129*'Transmission Formula Rate (7)'!$B$27,0)</f>
        <v>0</v>
      </c>
      <c r="L130" s="28">
        <f>ROUND(L129*'Transmission Formula Rate (7)'!$B$27,0)</f>
        <v>0</v>
      </c>
      <c r="M130" s="28">
        <f>ROUND(M129*'Transmission Formula Rate (7)'!$B$27,0)</f>
        <v>0</v>
      </c>
      <c r="N130" s="21">
        <f>SUM(B130:M130)</f>
        <v>1296</v>
      </c>
    </row>
    <row r="131" spans="1:14">
      <c r="A131" s="256" t="s">
        <v>305</v>
      </c>
      <c r="B131" s="28">
        <f t="shared" ref="B131:M131" si="56">B129+B130</f>
        <v>71365.439411680069</v>
      </c>
      <c r="C131" s="28">
        <f t="shared" si="56"/>
        <v>0</v>
      </c>
      <c r="D131" s="28">
        <f t="shared" si="56"/>
        <v>0</v>
      </c>
      <c r="E131" s="28">
        <f t="shared" si="56"/>
        <v>0</v>
      </c>
      <c r="F131" s="28">
        <f t="shared" si="56"/>
        <v>0</v>
      </c>
      <c r="G131" s="28">
        <f t="shared" si="56"/>
        <v>0</v>
      </c>
      <c r="H131" s="28">
        <f t="shared" si="56"/>
        <v>0</v>
      </c>
      <c r="I131" s="28">
        <f t="shared" si="56"/>
        <v>0</v>
      </c>
      <c r="J131" s="28">
        <f t="shared" si="56"/>
        <v>0</v>
      </c>
      <c r="K131" s="28">
        <f t="shared" si="56"/>
        <v>0</v>
      </c>
      <c r="L131" s="28">
        <f t="shared" si="56"/>
        <v>0</v>
      </c>
      <c r="M131" s="28">
        <f t="shared" si="56"/>
        <v>0</v>
      </c>
      <c r="N131" s="124">
        <f>SUM(B131:M131)</f>
        <v>71365.439411680069</v>
      </c>
    </row>
    <row r="132" spans="1:14">
      <c r="A132" s="254" t="s">
        <v>149</v>
      </c>
      <c r="B132" s="32">
        <f>'charges (1 &amp; 2)'!$H$39</f>
        <v>1.274E-2</v>
      </c>
      <c r="C132" s="32">
        <f>B132</f>
        <v>1.274E-2</v>
      </c>
      <c r="D132" s="32">
        <f t="shared" ref="D132:M132" si="57">C132</f>
        <v>1.274E-2</v>
      </c>
      <c r="E132" s="32">
        <f t="shared" si="57"/>
        <v>1.274E-2</v>
      </c>
      <c r="F132" s="32">
        <f t="shared" si="57"/>
        <v>1.274E-2</v>
      </c>
      <c r="G132" s="32">
        <f t="shared" si="57"/>
        <v>1.274E-2</v>
      </c>
      <c r="H132" s="32">
        <f t="shared" si="57"/>
        <v>1.274E-2</v>
      </c>
      <c r="I132" s="32">
        <f t="shared" si="57"/>
        <v>1.274E-2</v>
      </c>
      <c r="J132" s="32">
        <f t="shared" si="57"/>
        <v>1.274E-2</v>
      </c>
      <c r="K132" s="32">
        <f t="shared" si="57"/>
        <v>1.274E-2</v>
      </c>
      <c r="L132" s="32">
        <f t="shared" si="57"/>
        <v>1.274E-2</v>
      </c>
      <c r="M132" s="32">
        <f t="shared" si="57"/>
        <v>1.274E-2</v>
      </c>
      <c r="N132" s="20"/>
    </row>
    <row r="133" spans="1:14">
      <c r="A133" s="254" t="s">
        <v>17</v>
      </c>
      <c r="B133" s="21">
        <f>B131*B132</f>
        <v>909.19569810480402</v>
      </c>
      <c r="C133" s="21">
        <f t="shared" ref="C133:M133" si="58">C131*C132</f>
        <v>0</v>
      </c>
      <c r="D133" s="21">
        <f t="shared" si="58"/>
        <v>0</v>
      </c>
      <c r="E133" s="21">
        <f t="shared" si="58"/>
        <v>0</v>
      </c>
      <c r="F133" s="21">
        <f t="shared" si="58"/>
        <v>0</v>
      </c>
      <c r="G133" s="21">
        <f t="shared" si="58"/>
        <v>0</v>
      </c>
      <c r="H133" s="21">
        <f t="shared" si="58"/>
        <v>0</v>
      </c>
      <c r="I133" s="21">
        <f t="shared" si="58"/>
        <v>0</v>
      </c>
      <c r="J133" s="21">
        <f t="shared" si="58"/>
        <v>0</v>
      </c>
      <c r="K133" s="21">
        <f t="shared" si="58"/>
        <v>0</v>
      </c>
      <c r="L133" s="21">
        <f t="shared" si="58"/>
        <v>0</v>
      </c>
      <c r="M133" s="21">
        <f t="shared" si="58"/>
        <v>0</v>
      </c>
      <c r="N133" s="21">
        <f>SUM(B133:M133)</f>
        <v>909.19569810480402</v>
      </c>
    </row>
    <row r="134" spans="1:14">
      <c r="A134" s="254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1:14">
      <c r="A135" s="254" t="s">
        <v>38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>
      <c r="A136" s="256" t="s">
        <v>47</v>
      </c>
      <c r="B136" s="21">
        <f>B122</f>
        <v>70069.439411680069</v>
      </c>
      <c r="C136" s="21">
        <f t="shared" ref="C136:M136" si="59">C122</f>
        <v>0</v>
      </c>
      <c r="D136" s="21">
        <f t="shared" si="59"/>
        <v>0</v>
      </c>
      <c r="E136" s="21">
        <f t="shared" si="59"/>
        <v>0</v>
      </c>
      <c r="F136" s="21">
        <f t="shared" si="59"/>
        <v>0</v>
      </c>
      <c r="G136" s="21">
        <f t="shared" si="59"/>
        <v>0</v>
      </c>
      <c r="H136" s="21">
        <f t="shared" si="59"/>
        <v>0</v>
      </c>
      <c r="I136" s="21">
        <f t="shared" si="59"/>
        <v>0</v>
      </c>
      <c r="J136" s="21">
        <f t="shared" si="59"/>
        <v>0</v>
      </c>
      <c r="K136" s="21">
        <f t="shared" si="59"/>
        <v>0</v>
      </c>
      <c r="L136" s="21">
        <f t="shared" si="59"/>
        <v>0</v>
      </c>
      <c r="M136" s="21">
        <f t="shared" si="59"/>
        <v>0</v>
      </c>
      <c r="N136" s="21">
        <f>SUM(B136:M136)</f>
        <v>70069.439411680069</v>
      </c>
    </row>
    <row r="137" spans="1:14">
      <c r="A137" s="256" t="s">
        <v>45</v>
      </c>
      <c r="B137" s="28">
        <f>ROUND(B136*'Transmission Formula Rate (7)'!$B$27,0)</f>
        <v>1296</v>
      </c>
      <c r="C137" s="28">
        <f>ROUND(C136*'Transmission Formula Rate (7)'!$B$27,0)</f>
        <v>0</v>
      </c>
      <c r="D137" s="28">
        <f>ROUND(D136*'Transmission Formula Rate (7)'!$B$27,0)</f>
        <v>0</v>
      </c>
      <c r="E137" s="28">
        <f>ROUND(E136*'Transmission Formula Rate (7)'!$B$27,0)</f>
        <v>0</v>
      </c>
      <c r="F137" s="28">
        <f>ROUND(F136*'Transmission Formula Rate (7)'!$B$27,0)</f>
        <v>0</v>
      </c>
      <c r="G137" s="28">
        <f>ROUND(G136*'Transmission Formula Rate (7)'!$B$27,0)</f>
        <v>0</v>
      </c>
      <c r="H137" s="28">
        <f>ROUND(H136*'Transmission Formula Rate (7)'!$B$27,0)</f>
        <v>0</v>
      </c>
      <c r="I137" s="28">
        <f>ROUND(I136*'Transmission Formula Rate (7)'!$B$27,0)</f>
        <v>0</v>
      </c>
      <c r="J137" s="28">
        <f>ROUND(J136*'Transmission Formula Rate (7)'!$B$27,0)</f>
        <v>0</v>
      </c>
      <c r="K137" s="28">
        <f>ROUND(K136*'Transmission Formula Rate (7)'!$B$27,0)</f>
        <v>0</v>
      </c>
      <c r="L137" s="28">
        <f>ROUND(L136*'Transmission Formula Rate (7)'!$B$27,0)</f>
        <v>0</v>
      </c>
      <c r="M137" s="28">
        <f>ROUND(M136*'Transmission Formula Rate (7)'!$B$27,0)</f>
        <v>0</v>
      </c>
      <c r="N137" s="21">
        <f>SUM(B137:M137)</f>
        <v>1296</v>
      </c>
    </row>
    <row r="138" spans="1:14">
      <c r="A138" s="256" t="s">
        <v>305</v>
      </c>
      <c r="B138" s="28">
        <f t="shared" ref="B138:M138" si="60">B136+B137</f>
        <v>71365.439411680069</v>
      </c>
      <c r="C138" s="28">
        <f t="shared" si="60"/>
        <v>0</v>
      </c>
      <c r="D138" s="28">
        <f t="shared" si="60"/>
        <v>0</v>
      </c>
      <c r="E138" s="28">
        <f t="shared" si="60"/>
        <v>0</v>
      </c>
      <c r="F138" s="28">
        <f t="shared" si="60"/>
        <v>0</v>
      </c>
      <c r="G138" s="28">
        <f t="shared" si="60"/>
        <v>0</v>
      </c>
      <c r="H138" s="28">
        <f t="shared" si="60"/>
        <v>0</v>
      </c>
      <c r="I138" s="28">
        <f t="shared" si="60"/>
        <v>0</v>
      </c>
      <c r="J138" s="28">
        <f t="shared" si="60"/>
        <v>0</v>
      </c>
      <c r="K138" s="28">
        <f t="shared" si="60"/>
        <v>0</v>
      </c>
      <c r="L138" s="28">
        <f t="shared" si="60"/>
        <v>0</v>
      </c>
      <c r="M138" s="28">
        <f t="shared" si="60"/>
        <v>0</v>
      </c>
      <c r="N138" s="124">
        <f>SUM(B138:M138)</f>
        <v>71365.439411680069</v>
      </c>
    </row>
    <row r="139" spans="1:14">
      <c r="A139" s="254" t="s">
        <v>150</v>
      </c>
      <c r="B139" s="32">
        <f>'charges (1 &amp; 2)'!H11</f>
        <v>0.1008</v>
      </c>
      <c r="C139" s="32">
        <f>B139</f>
        <v>0.1008</v>
      </c>
      <c r="D139" s="32">
        <f t="shared" ref="D139:M139" si="61">C139</f>
        <v>0.1008</v>
      </c>
      <c r="E139" s="32">
        <f t="shared" si="61"/>
        <v>0.1008</v>
      </c>
      <c r="F139" s="32">
        <f t="shared" si="61"/>
        <v>0.1008</v>
      </c>
      <c r="G139" s="32">
        <f t="shared" si="61"/>
        <v>0.1008</v>
      </c>
      <c r="H139" s="32">
        <f t="shared" si="61"/>
        <v>0.1008</v>
      </c>
      <c r="I139" s="32">
        <f t="shared" si="61"/>
        <v>0.1008</v>
      </c>
      <c r="J139" s="32">
        <f t="shared" si="61"/>
        <v>0.1008</v>
      </c>
      <c r="K139" s="32">
        <f t="shared" si="61"/>
        <v>0.1008</v>
      </c>
      <c r="L139" s="32">
        <f t="shared" si="61"/>
        <v>0.1008</v>
      </c>
      <c r="M139" s="32">
        <f t="shared" si="61"/>
        <v>0.1008</v>
      </c>
      <c r="N139" s="21"/>
    </row>
    <row r="140" spans="1:14">
      <c r="A140" s="254" t="s">
        <v>17</v>
      </c>
      <c r="B140" s="21">
        <f>B138*B139</f>
        <v>7193.6362926973507</v>
      </c>
      <c r="C140" s="21">
        <f t="shared" ref="C140:M140" si="62">C138*C139</f>
        <v>0</v>
      </c>
      <c r="D140" s="21">
        <f t="shared" si="62"/>
        <v>0</v>
      </c>
      <c r="E140" s="21">
        <f t="shared" si="62"/>
        <v>0</v>
      </c>
      <c r="F140" s="21">
        <f t="shared" si="62"/>
        <v>0</v>
      </c>
      <c r="G140" s="21">
        <f t="shared" si="62"/>
        <v>0</v>
      </c>
      <c r="H140" s="21">
        <f t="shared" si="62"/>
        <v>0</v>
      </c>
      <c r="I140" s="21">
        <f t="shared" si="62"/>
        <v>0</v>
      </c>
      <c r="J140" s="21">
        <f t="shared" si="62"/>
        <v>0</v>
      </c>
      <c r="K140" s="21">
        <f t="shared" si="62"/>
        <v>0</v>
      </c>
      <c r="L140" s="21">
        <f t="shared" si="62"/>
        <v>0</v>
      </c>
      <c r="M140" s="21">
        <f t="shared" si="62"/>
        <v>0</v>
      </c>
      <c r="N140" s="21">
        <f>SUM(B140:M140)</f>
        <v>7193.6362926973507</v>
      </c>
    </row>
    <row r="142" spans="1:14">
      <c r="B142" s="24" t="s">
        <v>0</v>
      </c>
      <c r="C142" s="24" t="s">
        <v>1</v>
      </c>
      <c r="D142" s="24" t="s">
        <v>2</v>
      </c>
      <c r="E142" s="24" t="s">
        <v>3</v>
      </c>
      <c r="F142" s="24" t="s">
        <v>4</v>
      </c>
      <c r="G142" s="24" t="s">
        <v>5</v>
      </c>
      <c r="H142" s="24" t="s">
        <v>6</v>
      </c>
      <c r="I142" s="24" t="s">
        <v>7</v>
      </c>
      <c r="J142" s="24" t="s">
        <v>8</v>
      </c>
      <c r="K142" s="24" t="s">
        <v>9</v>
      </c>
      <c r="L142" s="24" t="s">
        <v>10</v>
      </c>
      <c r="M142" s="24" t="s">
        <v>11</v>
      </c>
      <c r="N142" s="24" t="s">
        <v>12</v>
      </c>
    </row>
    <row r="143" spans="1:14">
      <c r="A143" s="255">
        <v>2020</v>
      </c>
    </row>
    <row r="144" spans="1:14">
      <c r="A144" s="254" t="s">
        <v>37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>
      <c r="A145" s="256" t="s">
        <v>47</v>
      </c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1">
        <f>SUM(B145:M145)</f>
        <v>0</v>
      </c>
    </row>
    <row r="146" spans="1:14">
      <c r="A146" s="256" t="s">
        <v>45</v>
      </c>
      <c r="B146" s="28">
        <f>ROUND(B145*'Transmission Formula Rate (7)'!$B$27,0)</f>
        <v>0</v>
      </c>
      <c r="C146" s="28">
        <f>ROUND(C145*'Transmission Formula Rate (7)'!$B$27,0)</f>
        <v>0</v>
      </c>
      <c r="D146" s="28">
        <f>ROUND(D145*'Transmission Formula Rate (7)'!$B$27,0)</f>
        <v>0</v>
      </c>
      <c r="E146" s="28">
        <f>ROUND(E145*'Transmission Formula Rate (7)'!$B$27,0)</f>
        <v>0</v>
      </c>
      <c r="F146" s="28">
        <f>ROUND(F145*'Transmission Formula Rate (7)'!$B$27,0)</f>
        <v>0</v>
      </c>
      <c r="G146" s="28">
        <f>ROUND(G145*'Transmission Formula Rate (7)'!$B$27,0)</f>
        <v>0</v>
      </c>
      <c r="H146" s="28">
        <f>ROUND(H145*'Transmission Formula Rate (7)'!$B$27,0)</f>
        <v>0</v>
      </c>
      <c r="I146" s="28">
        <f>ROUND(I145*'Transmission Formula Rate (7)'!$B$27,0)</f>
        <v>0</v>
      </c>
      <c r="J146" s="28">
        <f>ROUND(J145*'Transmission Formula Rate (7)'!$B$27,0)</f>
        <v>0</v>
      </c>
      <c r="K146" s="28">
        <f>ROUND(K145*'Transmission Formula Rate (7)'!$B$27,0)</f>
        <v>0</v>
      </c>
      <c r="L146" s="28">
        <f>ROUND(L145*'Transmission Formula Rate (7)'!$B$27,0)</f>
        <v>0</v>
      </c>
      <c r="M146" s="28">
        <f>ROUND(M145*'Transmission Formula Rate (7)'!$B$27,0)</f>
        <v>0</v>
      </c>
      <c r="N146" s="21">
        <f>SUM(B146:M146)</f>
        <v>0</v>
      </c>
    </row>
    <row r="147" spans="1:14">
      <c r="A147" s="256" t="s">
        <v>305</v>
      </c>
      <c r="B147" s="28">
        <f t="shared" ref="B147:M147" si="63">B145+B146</f>
        <v>0</v>
      </c>
      <c r="C147" s="28">
        <f t="shared" si="63"/>
        <v>0</v>
      </c>
      <c r="D147" s="28">
        <f t="shared" si="63"/>
        <v>0</v>
      </c>
      <c r="E147" s="28">
        <f t="shared" si="63"/>
        <v>0</v>
      </c>
      <c r="F147" s="28">
        <f t="shared" si="63"/>
        <v>0</v>
      </c>
      <c r="G147" s="28">
        <f t="shared" si="63"/>
        <v>0</v>
      </c>
      <c r="H147" s="28">
        <f t="shared" si="63"/>
        <v>0</v>
      </c>
      <c r="I147" s="28">
        <f t="shared" si="63"/>
        <v>0</v>
      </c>
      <c r="J147" s="28">
        <f t="shared" si="63"/>
        <v>0</v>
      </c>
      <c r="K147" s="28">
        <f t="shared" si="63"/>
        <v>0</v>
      </c>
      <c r="L147" s="28">
        <f t="shared" si="63"/>
        <v>0</v>
      </c>
      <c r="M147" s="28">
        <f t="shared" si="63"/>
        <v>0</v>
      </c>
      <c r="N147" s="124">
        <f>SUM(B147:M147)</f>
        <v>0</v>
      </c>
    </row>
    <row r="148" spans="1:14">
      <c r="A148" s="254" t="s">
        <v>20</v>
      </c>
      <c r="B148" s="30">
        <f>B125</f>
        <v>1.59</v>
      </c>
      <c r="C148" s="30">
        <f t="shared" ref="C148:M148" si="64">C125</f>
        <v>1.59</v>
      </c>
      <c r="D148" s="30">
        <f t="shared" si="64"/>
        <v>1.59</v>
      </c>
      <c r="E148" s="30">
        <f t="shared" si="64"/>
        <v>1.59</v>
      </c>
      <c r="F148" s="30">
        <f t="shared" si="64"/>
        <v>1.59</v>
      </c>
      <c r="G148" s="30">
        <f t="shared" si="64"/>
        <v>1.59</v>
      </c>
      <c r="H148" s="30">
        <f t="shared" si="64"/>
        <v>1.59</v>
      </c>
      <c r="I148" s="30">
        <f t="shared" si="64"/>
        <v>1.59</v>
      </c>
      <c r="J148" s="30">
        <f t="shared" si="64"/>
        <v>1.59</v>
      </c>
      <c r="K148" s="30">
        <f t="shared" si="64"/>
        <v>1.59</v>
      </c>
      <c r="L148" s="30">
        <f t="shared" si="64"/>
        <v>1.59</v>
      </c>
      <c r="M148" s="30">
        <f t="shared" si="64"/>
        <v>1.59</v>
      </c>
      <c r="N148" s="20"/>
    </row>
    <row r="149" spans="1:14">
      <c r="A149" s="254" t="s">
        <v>17</v>
      </c>
      <c r="B149" s="21">
        <f t="shared" ref="B149:M149" si="65">B147*B148</f>
        <v>0</v>
      </c>
      <c r="C149" s="21">
        <f t="shared" si="65"/>
        <v>0</v>
      </c>
      <c r="D149" s="21">
        <f t="shared" si="65"/>
        <v>0</v>
      </c>
      <c r="E149" s="21">
        <f t="shared" si="65"/>
        <v>0</v>
      </c>
      <c r="F149" s="21">
        <f t="shared" si="65"/>
        <v>0</v>
      </c>
      <c r="G149" s="21">
        <f t="shared" si="65"/>
        <v>0</v>
      </c>
      <c r="H149" s="21">
        <f t="shared" si="65"/>
        <v>0</v>
      </c>
      <c r="I149" s="21">
        <f t="shared" si="65"/>
        <v>0</v>
      </c>
      <c r="J149" s="21">
        <f t="shared" si="65"/>
        <v>0</v>
      </c>
      <c r="K149" s="21">
        <f t="shared" si="65"/>
        <v>0</v>
      </c>
      <c r="L149" s="21">
        <f t="shared" si="65"/>
        <v>0</v>
      </c>
      <c r="M149" s="21">
        <f t="shared" si="65"/>
        <v>0</v>
      </c>
      <c r="N149" s="21">
        <f>SUM(B149:M149)</f>
        <v>0</v>
      </c>
    </row>
    <row r="151" spans="1:14">
      <c r="A151" s="254" t="s">
        <v>141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>
      <c r="A152" s="256" t="s">
        <v>47</v>
      </c>
      <c r="B152" s="239">
        <f>B145</f>
        <v>0</v>
      </c>
      <c r="C152" s="239">
        <f t="shared" ref="C152:M152" si="66">C145</f>
        <v>0</v>
      </c>
      <c r="D152" s="239">
        <f t="shared" si="66"/>
        <v>0</v>
      </c>
      <c r="E152" s="239">
        <f t="shared" si="66"/>
        <v>0</v>
      </c>
      <c r="F152" s="239">
        <f t="shared" si="66"/>
        <v>0</v>
      </c>
      <c r="G152" s="239">
        <f t="shared" si="66"/>
        <v>0</v>
      </c>
      <c r="H152" s="239">
        <f t="shared" si="66"/>
        <v>0</v>
      </c>
      <c r="I152" s="239">
        <f t="shared" si="66"/>
        <v>0</v>
      </c>
      <c r="J152" s="239">
        <f t="shared" si="66"/>
        <v>0</v>
      </c>
      <c r="K152" s="239">
        <f t="shared" si="66"/>
        <v>0</v>
      </c>
      <c r="L152" s="239">
        <f t="shared" si="66"/>
        <v>0</v>
      </c>
      <c r="M152" s="239">
        <f t="shared" si="66"/>
        <v>0</v>
      </c>
      <c r="N152" s="21">
        <f>SUM(B152:M152)</f>
        <v>0</v>
      </c>
    </row>
    <row r="153" spans="1:14">
      <c r="A153" s="256" t="s">
        <v>45</v>
      </c>
      <c r="B153" s="28">
        <f>ROUND(B152*'Transmission Formula Rate (7)'!$B$27,0)</f>
        <v>0</v>
      </c>
      <c r="C153" s="28">
        <f>ROUND(C152*'Transmission Formula Rate (7)'!$B$27,0)</f>
        <v>0</v>
      </c>
      <c r="D153" s="28">
        <f>ROUND(D152*'Transmission Formula Rate (7)'!$B$27,0)</f>
        <v>0</v>
      </c>
      <c r="E153" s="28">
        <f>ROUND(E152*'Transmission Formula Rate (7)'!$B$27,0)</f>
        <v>0</v>
      </c>
      <c r="F153" s="28">
        <f>ROUND(F152*'Transmission Formula Rate (7)'!$B$27,0)</f>
        <v>0</v>
      </c>
      <c r="G153" s="28">
        <f>ROUND(G152*'Transmission Formula Rate (7)'!$B$27,0)</f>
        <v>0</v>
      </c>
      <c r="H153" s="28">
        <f>ROUND(H152*'Transmission Formula Rate (7)'!$B$27,0)</f>
        <v>0</v>
      </c>
      <c r="I153" s="28">
        <f>ROUND(I152*'Transmission Formula Rate (7)'!$B$27,0)</f>
        <v>0</v>
      </c>
      <c r="J153" s="28">
        <f>ROUND(J152*'Transmission Formula Rate (7)'!$B$27,0)</f>
        <v>0</v>
      </c>
      <c r="K153" s="28">
        <f>ROUND(K152*'Transmission Formula Rate (7)'!$B$27,0)</f>
        <v>0</v>
      </c>
      <c r="L153" s="28">
        <f>ROUND(L152*'Transmission Formula Rate (7)'!$B$27,0)</f>
        <v>0</v>
      </c>
      <c r="M153" s="28">
        <f>ROUND(M152*'Transmission Formula Rate (7)'!$B$27,0)</f>
        <v>0</v>
      </c>
      <c r="N153" s="21">
        <f>SUM(B153:M153)</f>
        <v>0</v>
      </c>
    </row>
    <row r="154" spans="1:14">
      <c r="A154" s="256" t="s">
        <v>305</v>
      </c>
      <c r="B154" s="28">
        <f t="shared" ref="B154:M154" si="67">B152+B153</f>
        <v>0</v>
      </c>
      <c r="C154" s="28">
        <f t="shared" si="67"/>
        <v>0</v>
      </c>
      <c r="D154" s="28">
        <f t="shared" si="67"/>
        <v>0</v>
      </c>
      <c r="E154" s="28">
        <f t="shared" si="67"/>
        <v>0</v>
      </c>
      <c r="F154" s="28">
        <f t="shared" si="67"/>
        <v>0</v>
      </c>
      <c r="G154" s="28">
        <f t="shared" si="67"/>
        <v>0</v>
      </c>
      <c r="H154" s="28">
        <f t="shared" si="67"/>
        <v>0</v>
      </c>
      <c r="I154" s="28">
        <f t="shared" si="67"/>
        <v>0</v>
      </c>
      <c r="J154" s="28">
        <f t="shared" si="67"/>
        <v>0</v>
      </c>
      <c r="K154" s="28">
        <f t="shared" si="67"/>
        <v>0</v>
      </c>
      <c r="L154" s="28">
        <f t="shared" si="67"/>
        <v>0</v>
      </c>
      <c r="M154" s="28">
        <f t="shared" si="67"/>
        <v>0</v>
      </c>
      <c r="N154" s="124">
        <f>SUM(B154:M154)</f>
        <v>0</v>
      </c>
    </row>
    <row r="155" spans="1:14">
      <c r="A155" s="254" t="s">
        <v>149</v>
      </c>
      <c r="B155" s="32">
        <f>'charges (1 &amp; 2)'!$H$39</f>
        <v>1.274E-2</v>
      </c>
      <c r="C155" s="32">
        <f>B155</f>
        <v>1.274E-2</v>
      </c>
      <c r="D155" s="32">
        <f t="shared" ref="D155" si="68">C155</f>
        <v>1.274E-2</v>
      </c>
      <c r="E155" s="32">
        <f t="shared" ref="E155" si="69">D155</f>
        <v>1.274E-2</v>
      </c>
      <c r="F155" s="32">
        <f t="shared" ref="F155" si="70">E155</f>
        <v>1.274E-2</v>
      </c>
      <c r="G155" s="32">
        <f t="shared" ref="G155" si="71">F155</f>
        <v>1.274E-2</v>
      </c>
      <c r="H155" s="32">
        <f t="shared" ref="H155" si="72">G155</f>
        <v>1.274E-2</v>
      </c>
      <c r="I155" s="32">
        <f t="shared" ref="I155" si="73">H155</f>
        <v>1.274E-2</v>
      </c>
      <c r="J155" s="32">
        <f t="shared" ref="J155" si="74">I155</f>
        <v>1.274E-2</v>
      </c>
      <c r="K155" s="32">
        <f t="shared" ref="K155" si="75">J155</f>
        <v>1.274E-2</v>
      </c>
      <c r="L155" s="32">
        <f t="shared" ref="L155" si="76">K155</f>
        <v>1.274E-2</v>
      </c>
      <c r="M155" s="32">
        <f t="shared" ref="M155" si="77">L155</f>
        <v>1.274E-2</v>
      </c>
      <c r="N155" s="20"/>
    </row>
    <row r="156" spans="1:14">
      <c r="A156" s="254" t="s">
        <v>17</v>
      </c>
      <c r="B156" s="21">
        <f>B154*B155</f>
        <v>0</v>
      </c>
      <c r="C156" s="21">
        <f t="shared" ref="C156:M156" si="78">C154*C155</f>
        <v>0</v>
      </c>
      <c r="D156" s="21">
        <f t="shared" si="78"/>
        <v>0</v>
      </c>
      <c r="E156" s="21">
        <f t="shared" si="78"/>
        <v>0</v>
      </c>
      <c r="F156" s="21">
        <f t="shared" si="78"/>
        <v>0</v>
      </c>
      <c r="G156" s="21">
        <f t="shared" si="78"/>
        <v>0</v>
      </c>
      <c r="H156" s="21">
        <f t="shared" si="78"/>
        <v>0</v>
      </c>
      <c r="I156" s="21">
        <f t="shared" si="78"/>
        <v>0</v>
      </c>
      <c r="J156" s="21">
        <f t="shared" si="78"/>
        <v>0</v>
      </c>
      <c r="K156" s="21">
        <f t="shared" si="78"/>
        <v>0</v>
      </c>
      <c r="L156" s="21">
        <f t="shared" si="78"/>
        <v>0</v>
      </c>
      <c r="M156" s="21">
        <f t="shared" si="78"/>
        <v>0</v>
      </c>
      <c r="N156" s="21">
        <f>SUM(B156:M156)</f>
        <v>0</v>
      </c>
    </row>
    <row r="158" spans="1:14">
      <c r="A158" s="254" t="s">
        <v>38</v>
      </c>
    </row>
    <row r="159" spans="1:14">
      <c r="A159" s="256" t="s">
        <v>47</v>
      </c>
      <c r="B159" s="239">
        <f>B145</f>
        <v>0</v>
      </c>
      <c r="C159" s="239">
        <f t="shared" ref="C159:M159" si="79">C145</f>
        <v>0</v>
      </c>
      <c r="D159" s="239">
        <f t="shared" si="79"/>
        <v>0</v>
      </c>
      <c r="E159" s="239">
        <f t="shared" si="79"/>
        <v>0</v>
      </c>
      <c r="F159" s="239">
        <f t="shared" si="79"/>
        <v>0</v>
      </c>
      <c r="G159" s="239">
        <f t="shared" si="79"/>
        <v>0</v>
      </c>
      <c r="H159" s="239">
        <f t="shared" si="79"/>
        <v>0</v>
      </c>
      <c r="I159" s="239">
        <f t="shared" si="79"/>
        <v>0</v>
      </c>
      <c r="J159" s="239">
        <f t="shared" si="79"/>
        <v>0</v>
      </c>
      <c r="K159" s="239">
        <f t="shared" si="79"/>
        <v>0</v>
      </c>
      <c r="L159" s="239">
        <f t="shared" si="79"/>
        <v>0</v>
      </c>
      <c r="M159" s="239">
        <f t="shared" si="79"/>
        <v>0</v>
      </c>
      <c r="N159" s="21">
        <f>SUM(B159:M159)</f>
        <v>0</v>
      </c>
    </row>
    <row r="160" spans="1:14">
      <c r="A160" s="256" t="s">
        <v>45</v>
      </c>
      <c r="B160" s="28">
        <f>ROUND(B159*'Transmission Formula Rate (7)'!$B$27,0)</f>
        <v>0</v>
      </c>
      <c r="C160" s="28">
        <f>ROUND(C159*'Transmission Formula Rate (7)'!$B$27,0)</f>
        <v>0</v>
      </c>
      <c r="D160" s="28">
        <f>ROUND(D159*'Transmission Formula Rate (7)'!$B$27,0)</f>
        <v>0</v>
      </c>
      <c r="E160" s="28">
        <f>ROUND(E159*'Transmission Formula Rate (7)'!$B$27,0)</f>
        <v>0</v>
      </c>
      <c r="F160" s="28">
        <f>ROUND(F159*'Transmission Formula Rate (7)'!$B$27,0)</f>
        <v>0</v>
      </c>
      <c r="G160" s="28">
        <f>ROUND(G159*'Transmission Formula Rate (7)'!$B$27,0)</f>
        <v>0</v>
      </c>
      <c r="H160" s="28">
        <f>ROUND(H159*'Transmission Formula Rate (7)'!$B$27,0)</f>
        <v>0</v>
      </c>
      <c r="I160" s="28">
        <f>ROUND(I159*'Transmission Formula Rate (7)'!$B$27,0)</f>
        <v>0</v>
      </c>
      <c r="J160" s="28">
        <f>ROUND(J159*'Transmission Formula Rate (7)'!$B$27,0)</f>
        <v>0</v>
      </c>
      <c r="K160" s="28">
        <f>ROUND(K159*'Transmission Formula Rate (7)'!$B$27,0)</f>
        <v>0</v>
      </c>
      <c r="L160" s="28">
        <f>ROUND(L159*'Transmission Formula Rate (7)'!$B$27,0)</f>
        <v>0</v>
      </c>
      <c r="M160" s="28">
        <f>ROUND(M159*'Transmission Formula Rate (7)'!$B$27,0)</f>
        <v>0</v>
      </c>
      <c r="N160" s="21">
        <f>SUM(B160:M160)</f>
        <v>0</v>
      </c>
    </row>
    <row r="161" spans="1:14">
      <c r="A161" s="256" t="s">
        <v>305</v>
      </c>
      <c r="B161" s="28">
        <f t="shared" ref="B161:M161" si="80">B159+B160</f>
        <v>0</v>
      </c>
      <c r="C161" s="28">
        <f t="shared" si="80"/>
        <v>0</v>
      </c>
      <c r="D161" s="28">
        <f t="shared" si="80"/>
        <v>0</v>
      </c>
      <c r="E161" s="28">
        <f t="shared" si="80"/>
        <v>0</v>
      </c>
      <c r="F161" s="28">
        <f t="shared" si="80"/>
        <v>0</v>
      </c>
      <c r="G161" s="28">
        <f t="shared" si="80"/>
        <v>0</v>
      </c>
      <c r="H161" s="28">
        <f t="shared" si="80"/>
        <v>0</v>
      </c>
      <c r="I161" s="28">
        <f t="shared" si="80"/>
        <v>0</v>
      </c>
      <c r="J161" s="28">
        <f t="shared" si="80"/>
        <v>0</v>
      </c>
      <c r="K161" s="28">
        <f t="shared" si="80"/>
        <v>0</v>
      </c>
      <c r="L161" s="28">
        <f t="shared" si="80"/>
        <v>0</v>
      </c>
      <c r="M161" s="28">
        <f t="shared" si="80"/>
        <v>0</v>
      </c>
      <c r="N161" s="124">
        <f>SUM(B161:M161)</f>
        <v>0</v>
      </c>
    </row>
    <row r="162" spans="1:14">
      <c r="A162" s="254" t="s">
        <v>150</v>
      </c>
    </row>
    <row r="163" spans="1:14">
      <c r="A163" s="254" t="s">
        <v>17</v>
      </c>
      <c r="B163" s="21">
        <f>B161*B162</f>
        <v>0</v>
      </c>
      <c r="N163" s="21">
        <f>SUM(B163:M163)</f>
        <v>0</v>
      </c>
    </row>
    <row r="167" spans="1:14" ht="13.2">
      <c r="B167" s="241"/>
      <c r="C167" s="286" t="s">
        <v>354</v>
      </c>
      <c r="D167" s="244"/>
      <c r="E167" s="244"/>
      <c r="F167" s="244"/>
      <c r="G167" s="241"/>
      <c r="H167" s="241"/>
      <c r="I167" s="241"/>
    </row>
    <row r="168" spans="1:14" ht="13.2">
      <c r="B168" s="244"/>
      <c r="C168" s="241"/>
      <c r="D168" s="244"/>
      <c r="E168" s="374" t="s">
        <v>355</v>
      </c>
      <c r="F168" s="244"/>
      <c r="G168" s="241"/>
      <c r="H168" s="241"/>
      <c r="I168" s="241"/>
    </row>
    <row r="169" spans="1:14" ht="13.2">
      <c r="B169" s="244"/>
      <c r="C169" s="244"/>
      <c r="D169" s="244"/>
      <c r="E169" s="244"/>
      <c r="F169" s="244"/>
      <c r="G169" s="241"/>
      <c r="H169" s="241"/>
      <c r="I169" s="241"/>
    </row>
  </sheetData>
  <hyperlinks>
    <hyperlink ref="E168" r:id="rId1"/>
  </hyperlinks>
  <pageMargins left="0.7" right="0.7" top="0.75" bottom="0.75" header="0.3" footer="0.3"/>
  <pageSetup scale="74" orientation="landscape" r:id="rId2"/>
  <rowBreaks count="2" manualBreakCount="2">
    <brk id="48" max="16383" man="1"/>
    <brk id="9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1" sqref="B1:B2"/>
    </sheetView>
  </sheetViews>
  <sheetFormatPr defaultColWidth="9" defaultRowHeight="13.2"/>
  <cols>
    <col min="1" max="1" width="4.6640625" style="241" customWidth="1"/>
    <col min="2" max="2" width="12" style="241" customWidth="1"/>
    <col min="3" max="3" width="1.6640625" style="258" hidden="1" customWidth="1"/>
    <col min="4" max="16384" width="9" style="241"/>
  </cols>
  <sheetData>
    <row r="1" spans="2:18">
      <c r="B1" s="480" t="s">
        <v>488</v>
      </c>
    </row>
    <row r="2" spans="2:18">
      <c r="B2" s="480" t="s">
        <v>473</v>
      </c>
    </row>
    <row r="3" spans="2:18">
      <c r="B3" s="480"/>
    </row>
    <row r="4" spans="2:18">
      <c r="B4" s="286" t="s">
        <v>307</v>
      </c>
    </row>
    <row r="5" spans="2:18">
      <c r="B5" s="241" t="s">
        <v>190</v>
      </c>
    </row>
    <row r="6" spans="2:18">
      <c r="B6" s="241" t="s">
        <v>347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>
        <v>2014</v>
      </c>
      <c r="E10" s="244">
        <v>72000</v>
      </c>
      <c r="F10" s="244">
        <v>72000</v>
      </c>
      <c r="G10" s="244">
        <v>72000</v>
      </c>
      <c r="H10" s="244">
        <v>72000</v>
      </c>
      <c r="I10" s="244">
        <v>85000</v>
      </c>
      <c r="J10" s="244">
        <v>85000</v>
      </c>
      <c r="K10" s="244">
        <v>85000</v>
      </c>
      <c r="L10" s="244">
        <v>85000</v>
      </c>
      <c r="M10" s="244">
        <v>85000</v>
      </c>
      <c r="N10" s="244">
        <v>72000</v>
      </c>
      <c r="O10" s="244">
        <v>72000</v>
      </c>
      <c r="P10" s="244">
        <v>72000</v>
      </c>
      <c r="Q10" s="242">
        <f t="shared" ref="Q10:Q16" si="0">SUM(E10:P10)</f>
        <v>929000</v>
      </c>
    </row>
    <row r="11" spans="2:18">
      <c r="D11" s="243">
        <f>1+D10</f>
        <v>2015</v>
      </c>
      <c r="E11" s="244">
        <v>72000</v>
      </c>
      <c r="F11" s="244">
        <v>72000</v>
      </c>
      <c r="G11" s="244">
        <v>72000</v>
      </c>
      <c r="H11" s="244">
        <v>72000</v>
      </c>
      <c r="I11" s="244">
        <v>85000</v>
      </c>
      <c r="J11" s="244">
        <v>85000</v>
      </c>
      <c r="K11" s="244">
        <v>85000</v>
      </c>
      <c r="L11" s="244">
        <v>85000</v>
      </c>
      <c r="M11" s="244">
        <v>85000</v>
      </c>
      <c r="N11" s="244">
        <v>72000</v>
      </c>
      <c r="O11" s="244">
        <v>72000</v>
      </c>
      <c r="P11" s="244">
        <v>72000</v>
      </c>
      <c r="Q11" s="242">
        <f t="shared" si="0"/>
        <v>929000</v>
      </c>
    </row>
    <row r="12" spans="2:18">
      <c r="D12" s="243">
        <f>1+D11</f>
        <v>2016</v>
      </c>
      <c r="E12" s="244">
        <f>[9]Sheet1!D6*1000</f>
        <v>68926.315071512086</v>
      </c>
      <c r="F12" s="244">
        <f>[9]Sheet1!E6*1000</f>
        <v>67308.563800946999</v>
      </c>
      <c r="G12" s="244">
        <f>[9]Sheet1!F6*1000</f>
        <v>70321.625542374401</v>
      </c>
      <c r="H12" s="244">
        <f>[9]Sheet1!G6*1000</f>
        <v>73587.460919827601</v>
      </c>
      <c r="I12" s="244">
        <f>[9]Sheet1!H6*1000</f>
        <v>82333.428726319893</v>
      </c>
      <c r="J12" s="244">
        <f>[9]Sheet1!I6*1000</f>
        <v>86478.916357142822</v>
      </c>
      <c r="K12" s="244">
        <f>[9]Sheet1!J6*1000</f>
        <v>89926.748752534579</v>
      </c>
      <c r="L12" s="244">
        <f>[9]Sheet1!K6*1000</f>
        <v>90452.517915468212</v>
      </c>
      <c r="M12" s="244">
        <f>[9]Sheet1!L6*1000</f>
        <v>87318.124828748434</v>
      </c>
      <c r="N12" s="244">
        <f>[9]Sheet1!M6*1000</f>
        <v>81969.434690442737</v>
      </c>
      <c r="O12" s="244">
        <f>[9]Sheet1!N6*1000</f>
        <v>73102.135538658069</v>
      </c>
      <c r="P12" s="244">
        <f>[9]Sheet1!O6*1000</f>
        <v>69401.529507240542</v>
      </c>
      <c r="Q12" s="467">
        <f t="shared" si="0"/>
        <v>941126.80165121634</v>
      </c>
    </row>
    <row r="13" spans="2:18">
      <c r="D13" s="243">
        <f>1+D12</f>
        <v>2017</v>
      </c>
      <c r="E13" s="244">
        <f>[9]Sheet1!D7*1000</f>
        <v>69383.549041638515</v>
      </c>
      <c r="F13" s="244">
        <f>[9]Sheet1!E7*1000</f>
        <v>67764.130167225085</v>
      </c>
      <c r="G13" s="244">
        <f>[9]Sheet1!F7*1000</f>
        <v>70751.505357913207</v>
      </c>
      <c r="H13" s="244">
        <f>[9]Sheet1!G7*1000</f>
        <v>73980.284604414512</v>
      </c>
      <c r="I13" s="244">
        <f>[9]Sheet1!H7*1000</f>
        <v>82660.772111363491</v>
      </c>
      <c r="J13" s="244">
        <f>[9]Sheet1!I7*1000</f>
        <v>86784.75806483865</v>
      </c>
      <c r="K13" s="244">
        <f>[9]Sheet1!J7*1000</f>
        <v>90204.648855525404</v>
      </c>
      <c r="L13" s="244">
        <f>[9]Sheet1!K7*1000</f>
        <v>90727.69097645396</v>
      </c>
      <c r="M13" s="244">
        <f>[9]Sheet1!L7*1000</f>
        <v>87589.438250882595</v>
      </c>
      <c r="N13" s="244">
        <f>[9]Sheet1!M7*1000</f>
        <v>82258.432018341511</v>
      </c>
      <c r="O13" s="244">
        <f>[9]Sheet1!N7*1000</f>
        <v>73447.183981160386</v>
      </c>
      <c r="P13" s="244">
        <f>[9]Sheet1!O7*1000</f>
        <v>69765.772130009384</v>
      </c>
      <c r="Q13" s="468">
        <f t="shared" si="0"/>
        <v>945318.16555976658</v>
      </c>
    </row>
    <row r="14" spans="2:18">
      <c r="D14" s="243">
        <f>1+D13</f>
        <v>2018</v>
      </c>
      <c r="E14" s="244">
        <f>[9]Sheet1!D8*1000</f>
        <v>69796.943041193677</v>
      </c>
      <c r="F14" s="244">
        <f>[9]Sheet1!E8*1000</f>
        <v>68195.177280064745</v>
      </c>
      <c r="G14" s="244">
        <f>[9]Sheet1!F8*1000</f>
        <v>71158.443938153272</v>
      </c>
      <c r="H14" s="244">
        <f>[9]Sheet1!G8*1000</f>
        <v>74351.964424404097</v>
      </c>
      <c r="I14" s="244">
        <f>[9]Sheet1!H8*1000</f>
        <v>82971.466426479223</v>
      </c>
      <c r="J14" s="244">
        <f>[9]Sheet1!I8*1000</f>
        <v>87055.969117358021</v>
      </c>
      <c r="K14" s="244">
        <f>[9]Sheet1!J8*1000</f>
        <v>90449.710323749969</v>
      </c>
      <c r="L14" s="244">
        <f>[9]Sheet1!K8*1000</f>
        <v>90960.27316010982</v>
      </c>
      <c r="M14" s="244">
        <f>[9]Sheet1!L8*1000</f>
        <v>87846.840961915441</v>
      </c>
      <c r="N14" s="244">
        <f>[9]Sheet1!M8*1000</f>
        <v>82540.991878175832</v>
      </c>
      <c r="O14" s="244">
        <f>[9]Sheet1!N8*1000</f>
        <v>73761.313299987814</v>
      </c>
      <c r="P14" s="244">
        <f>[9]Sheet1!O8*1000</f>
        <v>70077.252049391231</v>
      </c>
      <c r="Q14" s="468">
        <f t="shared" si="0"/>
        <v>949166.34590098332</v>
      </c>
    </row>
    <row r="15" spans="2:18">
      <c r="D15" s="243">
        <v>2019</v>
      </c>
      <c r="E15" s="244">
        <f>[9]Sheet1!D9*1000</f>
        <v>70069.439411680069</v>
      </c>
      <c r="F15" s="244">
        <f>[9]Sheet1!E9*1000</f>
        <v>68455.211711922937</v>
      </c>
      <c r="G15" s="244">
        <f>[9]Sheet1!F9*1000</f>
        <v>71404.664792960655</v>
      </c>
      <c r="H15" s="244">
        <f>[9]Sheet1!G9*1000</f>
        <v>74593.262718406855</v>
      </c>
      <c r="I15" s="244">
        <f>[9]Sheet1!H9*1000</f>
        <v>83172.58401156051</v>
      </c>
      <c r="J15" s="244">
        <f>[9]Sheet1!I9*1000</f>
        <v>87238.046366504423</v>
      </c>
      <c r="K15" s="244">
        <f>[9]Sheet1!J9*1000</f>
        <v>90606.002925256966</v>
      </c>
      <c r="L15" s="244">
        <f>[9]Sheet1!K9*1000</f>
        <v>91114.185719624948</v>
      </c>
      <c r="M15" s="244">
        <f>[9]Sheet1!L9*1000</f>
        <v>88005.302742314903</v>
      </c>
      <c r="N15" s="244">
        <f>[9]Sheet1!M9*1000</f>
        <v>82714.223059777636</v>
      </c>
      <c r="O15" s="244">
        <f>[9]Sheet1!N9*1000</f>
        <v>73955.543133317624</v>
      </c>
      <c r="P15" s="244">
        <f>[9]Sheet1!O9*1000</f>
        <v>70288.655519054504</v>
      </c>
      <c r="Q15" s="468">
        <f t="shared" si="0"/>
        <v>951617.12211238197</v>
      </c>
      <c r="R15" s="344" t="s">
        <v>356</v>
      </c>
    </row>
    <row r="16" spans="2:18">
      <c r="C16" s="259"/>
      <c r="D16" s="243">
        <v>2020</v>
      </c>
      <c r="E16" s="244">
        <f>[9]Sheet1!D10*1000</f>
        <v>70666.274853986106</v>
      </c>
      <c r="F16" s="244">
        <f>[9]Sheet1!E10*1000</f>
        <v>69050.703794665504</v>
      </c>
      <c r="G16" s="244">
        <f>[9]Sheet1!F10*1000</f>
        <v>72002.611409226607</v>
      </c>
      <c r="H16" s="244">
        <f>[9]Sheet1!G10*1000</f>
        <v>75183.890223567782</v>
      </c>
      <c r="I16" s="244">
        <f>[9]Sheet1!H10*1000</f>
        <v>83780.323884890968</v>
      </c>
      <c r="J16" s="244">
        <f>[9]Sheet1!I10*1000</f>
        <v>87839.196854912458</v>
      </c>
      <c r="K16" s="244">
        <f>[9]Sheet1!J10*1000</f>
        <v>91209.956225593705</v>
      </c>
      <c r="L16" s="244">
        <f>[9]Sheet1!K10*1000</f>
        <v>91708.589268593889</v>
      </c>
      <c r="M16" s="244">
        <f>[9]Sheet1!L10*1000</f>
        <v>88597.119080272736</v>
      </c>
      <c r="N16" s="244">
        <f>[9]Sheet1!M10*1000</f>
        <v>83311.608824470793</v>
      </c>
      <c r="O16" s="244">
        <f>[9]Sheet1!N10*1000</f>
        <v>74555.612589387543</v>
      </c>
      <c r="P16" s="244">
        <f>[9]Sheet1!O10*1000</f>
        <v>70885.673392906188</v>
      </c>
      <c r="Q16" s="468">
        <f t="shared" si="0"/>
        <v>958791.56040247437</v>
      </c>
    </row>
    <row r="17" spans="3:8">
      <c r="C17" s="259"/>
      <c r="D17" s="244"/>
      <c r="E17" s="244"/>
      <c r="F17" s="244"/>
      <c r="G17" s="244"/>
      <c r="H17" s="244"/>
    </row>
    <row r="18" spans="3:8">
      <c r="C18" s="259"/>
      <c r="D18" s="244"/>
      <c r="E18" s="244"/>
      <c r="F18" s="244"/>
      <c r="G18" s="244"/>
      <c r="H18" s="244"/>
    </row>
    <row r="19" spans="3:8">
      <c r="C19" s="259"/>
      <c r="E19" s="286" t="s">
        <v>354</v>
      </c>
      <c r="F19" s="244"/>
      <c r="G19" s="244"/>
      <c r="H19" s="244"/>
    </row>
    <row r="20" spans="3:8">
      <c r="C20" s="259"/>
      <c r="D20" s="244"/>
      <c r="F20" s="244"/>
      <c r="G20" s="374" t="s">
        <v>355</v>
      </c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hyperlinks>
    <hyperlink ref="G20" r:id="rId1"/>
  </hyperlinks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0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489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432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</row>
    <row r="9" spans="1:16" s="20" customFormat="1" ht="10.199999999999999">
      <c r="A9" s="254"/>
    </row>
    <row r="10" spans="1:16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6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6">
      <c r="A14" s="256" t="s">
        <v>47</v>
      </c>
      <c r="B14" s="239">
        <f>'Homestead Forecast'!E10</f>
        <v>0</v>
      </c>
      <c r="C14" s="239">
        <f>'Homestead Forecast'!F10</f>
        <v>0</v>
      </c>
      <c r="D14" s="239">
        <f>'Homestead Forecast'!G10</f>
        <v>0</v>
      </c>
      <c r="E14" s="239">
        <f>'Homestead Forecast'!H10</f>
        <v>0</v>
      </c>
      <c r="F14" s="239">
        <f>'Homestead Forecast'!I10</f>
        <v>0</v>
      </c>
      <c r="G14" s="239">
        <f>'Homestead Forecast'!J10</f>
        <v>0</v>
      </c>
      <c r="H14" s="239">
        <f>'Homestead Forecast'!K10</f>
        <v>0</v>
      </c>
      <c r="I14" s="239">
        <f>'Homestead Forecast'!L10</f>
        <v>0</v>
      </c>
      <c r="J14" s="239">
        <f>'Homestead Forecast'!M10</f>
        <v>0</v>
      </c>
      <c r="K14" s="239">
        <f>'Homestead Forecast'!N10</f>
        <v>0</v>
      </c>
      <c r="L14" s="239">
        <f>'Homestead Forecast'!O10</f>
        <v>0</v>
      </c>
      <c r="M14" s="239">
        <f>'Homestead Forecast'!P10</f>
        <v>0</v>
      </c>
      <c r="N14" s="21">
        <f>SUM(B14:M14)</f>
        <v>0</v>
      </c>
    </row>
    <row r="15" spans="1:16">
      <c r="A15" s="256" t="s">
        <v>45</v>
      </c>
      <c r="B15" s="28">
        <f>ROUND(B14*'Transmission Formula Rate (7)'!$B$27,0)</f>
        <v>0</v>
      </c>
      <c r="C15" s="28">
        <f>ROUND(C14*'Transmission Formula Rate (7)'!$B$27,0)</f>
        <v>0</v>
      </c>
      <c r="D15" s="28">
        <f>ROUND(D14*'Transmission Formula Rate (7)'!$B$27,0)</f>
        <v>0</v>
      </c>
      <c r="E15" s="28">
        <f>ROUND(E14*'Transmission Formula Rate (7)'!$B$27,0)</f>
        <v>0</v>
      </c>
      <c r="F15" s="28">
        <f>ROUND(F14*'Transmission Formula Rate (7)'!$B$27,0)</f>
        <v>0</v>
      </c>
      <c r="G15" s="28">
        <f>ROUND(G14*'Transmission Formula Rate (7)'!$B$27,0)</f>
        <v>0</v>
      </c>
      <c r="H15" s="28">
        <f>ROUND(H14*'Transmission Formula Rate (7)'!$B$27,0)</f>
        <v>0</v>
      </c>
      <c r="I15" s="28">
        <f>ROUND(I14*'Transmission Formula Rate (7)'!$B$27,0)</f>
        <v>0</v>
      </c>
      <c r="J15" s="28">
        <f>ROUND(J14*'Transmission Formula Rate (7)'!$B$27,0)</f>
        <v>0</v>
      </c>
      <c r="K15" s="28">
        <f>ROUND(K14*'Transmission Formula Rate (7)'!$B$27,0)</f>
        <v>0</v>
      </c>
      <c r="L15" s="28">
        <f>ROUND(L14*'Transmission Formula Rate (7)'!$B$27,0)</f>
        <v>0</v>
      </c>
      <c r="M15" s="28">
        <f>ROUND(M14*'Transmission Formula Rate (7)'!$B$27,0)</f>
        <v>0</v>
      </c>
      <c r="N15" s="21">
        <f>SUM(B15:M15)</f>
        <v>0</v>
      </c>
    </row>
    <row r="16" spans="1:16">
      <c r="A16" s="256" t="s">
        <v>433</v>
      </c>
      <c r="B16" s="28">
        <f t="shared" ref="B16:M16" si="1">B14+B15</f>
        <v>0</v>
      </c>
      <c r="C16" s="28">
        <f t="shared" si="1"/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124">
        <f>SUM(B16:M16)</f>
        <v>0</v>
      </c>
    </row>
    <row r="17" spans="1:14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4">
      <c r="A18" s="254" t="s">
        <v>17</v>
      </c>
      <c r="B18" s="21">
        <f t="shared" ref="B18:M18" si="2">B16*B17</f>
        <v>0</v>
      </c>
      <c r="C18" s="21">
        <f t="shared" si="2"/>
        <v>0</v>
      </c>
      <c r="D18" s="21">
        <f t="shared" si="2"/>
        <v>0</v>
      </c>
      <c r="E18" s="21">
        <f t="shared" si="2"/>
        <v>0</v>
      </c>
      <c r="F18" s="21">
        <f t="shared" si="2"/>
        <v>0</v>
      </c>
      <c r="G18" s="21">
        <f t="shared" si="2"/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>SUM(B18:M18)</f>
        <v>0</v>
      </c>
    </row>
    <row r="19" spans="1:14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54" t="s">
        <v>141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56" t="s">
        <v>47</v>
      </c>
      <c r="B21" s="239">
        <f>B14</f>
        <v>0</v>
      </c>
      <c r="C21" s="239">
        <f t="shared" ref="C21:M21" si="3">C14</f>
        <v>0</v>
      </c>
      <c r="D21" s="239">
        <f t="shared" si="3"/>
        <v>0</v>
      </c>
      <c r="E21" s="239">
        <f t="shared" si="3"/>
        <v>0</v>
      </c>
      <c r="F21" s="239">
        <f t="shared" si="3"/>
        <v>0</v>
      </c>
      <c r="G21" s="239">
        <f t="shared" si="3"/>
        <v>0</v>
      </c>
      <c r="H21" s="239">
        <f t="shared" si="3"/>
        <v>0</v>
      </c>
      <c r="I21" s="239">
        <f t="shared" si="3"/>
        <v>0</v>
      </c>
      <c r="J21" s="239">
        <f t="shared" si="3"/>
        <v>0</v>
      </c>
      <c r="K21" s="239">
        <f t="shared" si="3"/>
        <v>0</v>
      </c>
      <c r="L21" s="239">
        <f t="shared" si="3"/>
        <v>0</v>
      </c>
      <c r="M21" s="239">
        <f t="shared" si="3"/>
        <v>0</v>
      </c>
      <c r="N21" s="21">
        <f>SUM(B21:M21)</f>
        <v>0</v>
      </c>
    </row>
    <row r="22" spans="1:14">
      <c r="A22" s="256" t="s">
        <v>45</v>
      </c>
      <c r="B22" s="28">
        <f>ROUND(B21*'Transmission Formula Rate (7)'!$B$27,0)</f>
        <v>0</v>
      </c>
      <c r="C22" s="28">
        <f>ROUND(C21*'Transmission Formula Rate (7)'!$B$27,0)</f>
        <v>0</v>
      </c>
      <c r="D22" s="28">
        <f>ROUND(D21*'Transmission Formula Rate (7)'!$B$27,0)</f>
        <v>0</v>
      </c>
      <c r="E22" s="28">
        <f>ROUND(E21*'Transmission Formula Rate (7)'!$B$27,0)</f>
        <v>0</v>
      </c>
      <c r="F22" s="28">
        <f>ROUND(F21*'Transmission Formula Rate (7)'!$B$27,0)</f>
        <v>0</v>
      </c>
      <c r="G22" s="28">
        <f>ROUND(G21*'Transmission Formula Rate (7)'!$B$27,0)</f>
        <v>0</v>
      </c>
      <c r="H22" s="28">
        <f>ROUND(H21*'Transmission Formula Rate (7)'!$B$27,0)</f>
        <v>0</v>
      </c>
      <c r="I22" s="28">
        <f>ROUND(I21*'Transmission Formula Rate (7)'!$B$27,0)</f>
        <v>0</v>
      </c>
      <c r="J22" s="28">
        <f>ROUND(J21*'Transmission Formula Rate (7)'!$B$27,0)</f>
        <v>0</v>
      </c>
      <c r="K22" s="28">
        <f>ROUND(K21*'Transmission Formula Rate (7)'!$B$27,0)</f>
        <v>0</v>
      </c>
      <c r="L22" s="28">
        <f>ROUND(L21*'Transmission Formula Rate (7)'!$B$27,0)</f>
        <v>0</v>
      </c>
      <c r="M22" s="28">
        <f>ROUND(M21*'Transmission Formula Rate (7)'!$B$27,0)</f>
        <v>0</v>
      </c>
      <c r="N22" s="21">
        <f>SUM(B22:M22)</f>
        <v>0</v>
      </c>
    </row>
    <row r="23" spans="1:14">
      <c r="A23" s="256" t="s">
        <v>433</v>
      </c>
      <c r="B23" s="28">
        <f>B21+B22</f>
        <v>0</v>
      </c>
      <c r="C23" s="28">
        <f t="shared" ref="C23:M23" si="4">C21+C22</f>
        <v>0</v>
      </c>
      <c r="D23" s="28">
        <f t="shared" si="4"/>
        <v>0</v>
      </c>
      <c r="E23" s="28">
        <f t="shared" si="4"/>
        <v>0</v>
      </c>
      <c r="F23" s="28">
        <f t="shared" si="4"/>
        <v>0</v>
      </c>
      <c r="G23" s="28">
        <f t="shared" si="4"/>
        <v>0</v>
      </c>
      <c r="H23" s="28">
        <f t="shared" si="4"/>
        <v>0</v>
      </c>
      <c r="I23" s="28">
        <f t="shared" si="4"/>
        <v>0</v>
      </c>
      <c r="J23" s="28">
        <f t="shared" si="4"/>
        <v>0</v>
      </c>
      <c r="K23" s="28">
        <f t="shared" si="4"/>
        <v>0</v>
      </c>
      <c r="L23" s="28">
        <f t="shared" si="4"/>
        <v>0</v>
      </c>
      <c r="M23" s="28">
        <f t="shared" si="4"/>
        <v>0</v>
      </c>
      <c r="N23" s="124">
        <f>SUM(B23:M23)</f>
        <v>0</v>
      </c>
    </row>
    <row r="24" spans="1:14">
      <c r="A24" s="254" t="s">
        <v>149</v>
      </c>
      <c r="B24" s="32">
        <f>'charges (1 &amp; 2)'!E33</f>
        <v>1.274E-2</v>
      </c>
      <c r="C24" s="32">
        <f>B24</f>
        <v>1.274E-2</v>
      </c>
      <c r="D24" s="32">
        <f t="shared" ref="D24:M24" si="5">C24</f>
        <v>1.274E-2</v>
      </c>
      <c r="E24" s="32">
        <f t="shared" si="5"/>
        <v>1.274E-2</v>
      </c>
      <c r="F24" s="32">
        <f t="shared" si="5"/>
        <v>1.274E-2</v>
      </c>
      <c r="G24" s="32">
        <f t="shared" si="5"/>
        <v>1.274E-2</v>
      </c>
      <c r="H24" s="32">
        <f t="shared" si="5"/>
        <v>1.274E-2</v>
      </c>
      <c r="I24" s="32">
        <f t="shared" si="5"/>
        <v>1.274E-2</v>
      </c>
      <c r="J24" s="32">
        <f t="shared" si="5"/>
        <v>1.274E-2</v>
      </c>
      <c r="K24" s="32">
        <f t="shared" si="5"/>
        <v>1.274E-2</v>
      </c>
      <c r="L24" s="32">
        <f t="shared" si="5"/>
        <v>1.274E-2</v>
      </c>
      <c r="M24" s="32">
        <f t="shared" si="5"/>
        <v>1.274E-2</v>
      </c>
      <c r="N24" s="20"/>
    </row>
    <row r="25" spans="1:14">
      <c r="A25" s="254" t="s">
        <v>17</v>
      </c>
      <c r="B25" s="21">
        <f t="shared" ref="B25:M25" si="6">B23*B24</f>
        <v>0</v>
      </c>
      <c r="C25" s="21">
        <f t="shared" si="6"/>
        <v>0</v>
      </c>
      <c r="D25" s="21">
        <f t="shared" si="6"/>
        <v>0</v>
      </c>
      <c r="E25" s="21">
        <f t="shared" si="6"/>
        <v>0</v>
      </c>
      <c r="F25" s="21">
        <f t="shared" si="6"/>
        <v>0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1">
        <f t="shared" si="6"/>
        <v>0</v>
      </c>
      <c r="K25" s="21">
        <f t="shared" si="6"/>
        <v>0</v>
      </c>
      <c r="L25" s="21">
        <f t="shared" si="6"/>
        <v>0</v>
      </c>
      <c r="M25" s="21">
        <f t="shared" si="6"/>
        <v>0</v>
      </c>
      <c r="N25" s="21">
        <f>SUM(B25:M25)</f>
        <v>0</v>
      </c>
    </row>
    <row r="26" spans="1:14">
      <c r="A26" s="25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57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4">
      <c r="A29" s="255">
        <f>+A12+1</f>
        <v>2015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>
      <c r="A30" s="254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56" t="s">
        <v>47</v>
      </c>
      <c r="B31" s="239">
        <f>'Homestead Forecast'!E11</f>
        <v>1</v>
      </c>
      <c r="C31" s="239">
        <f>'Homestead Forecast'!F11</f>
        <v>2</v>
      </c>
      <c r="D31" s="239">
        <f>'Homestead Forecast'!G11</f>
        <v>3</v>
      </c>
      <c r="E31" s="239">
        <f>'Homestead Forecast'!H11</f>
        <v>4</v>
      </c>
      <c r="F31" s="239">
        <f>'Homestead Forecast'!I11</f>
        <v>5</v>
      </c>
      <c r="G31" s="239">
        <f>'Homestead Forecast'!J11</f>
        <v>6</v>
      </c>
      <c r="H31" s="239">
        <f>'Homestead Forecast'!K11</f>
        <v>7</v>
      </c>
      <c r="I31" s="239">
        <f>'Homestead Forecast'!L11</f>
        <v>8</v>
      </c>
      <c r="J31" s="239">
        <f>'Homestead Forecast'!M11</f>
        <v>9</v>
      </c>
      <c r="K31" s="239">
        <f>'Homestead Forecast'!N11</f>
        <v>10</v>
      </c>
      <c r="L31" s="239">
        <f>'Homestead Forecast'!O11</f>
        <v>11</v>
      </c>
      <c r="M31" s="239">
        <f>'Homestead Forecast'!P11</f>
        <v>12</v>
      </c>
      <c r="N31" s="21">
        <f>SUM(B31:M31)</f>
        <v>78</v>
      </c>
    </row>
    <row r="32" spans="1:14">
      <c r="A32" s="256" t="s">
        <v>45</v>
      </c>
      <c r="B32" s="28">
        <f>ROUND(B31*'Transmission Formula Rate (7)'!$B$27,0)</f>
        <v>0</v>
      </c>
      <c r="C32" s="28">
        <f>ROUND(C31*'Transmission Formula Rate (7)'!$B$27,0)</f>
        <v>0</v>
      </c>
      <c r="D32" s="28">
        <f>ROUND(D31*'Transmission Formula Rate (7)'!$B$27,0)</f>
        <v>0</v>
      </c>
      <c r="E32" s="28">
        <f>ROUND(E31*'Transmission Formula Rate (7)'!$B$27,0)</f>
        <v>0</v>
      </c>
      <c r="F32" s="28">
        <f>ROUND(F31*'Transmission Formula Rate (7)'!$B$27,0)</f>
        <v>0</v>
      </c>
      <c r="G32" s="28">
        <f>ROUND(G31*'Transmission Formula Rate (7)'!$B$27,0)</f>
        <v>0</v>
      </c>
      <c r="H32" s="28">
        <f>ROUND(H31*'Transmission Formula Rate (7)'!$B$27,0)</f>
        <v>0</v>
      </c>
      <c r="I32" s="28">
        <f>ROUND(I31*'Transmission Formula Rate (7)'!$B$27,0)</f>
        <v>0</v>
      </c>
      <c r="J32" s="28">
        <f>ROUND(J31*'Transmission Formula Rate (7)'!$B$27,0)</f>
        <v>0</v>
      </c>
      <c r="K32" s="28">
        <f>ROUND(K31*'Transmission Formula Rate (7)'!$B$27,0)</f>
        <v>0</v>
      </c>
      <c r="L32" s="28">
        <f>ROUND(L31*'Transmission Formula Rate (7)'!$B$27,0)</f>
        <v>0</v>
      </c>
      <c r="M32" s="28">
        <f>ROUND(M31*'Transmission Formula Rate (7)'!$B$27,0)</f>
        <v>0</v>
      </c>
      <c r="N32" s="21">
        <f>SUM(B32:M32)</f>
        <v>0</v>
      </c>
    </row>
    <row r="33" spans="1:14">
      <c r="A33" s="256" t="s">
        <v>433</v>
      </c>
      <c r="B33" s="28">
        <f t="shared" ref="B33:M33" si="7">B31+B32</f>
        <v>1</v>
      </c>
      <c r="C33" s="28">
        <f t="shared" si="7"/>
        <v>2</v>
      </c>
      <c r="D33" s="28">
        <f t="shared" si="7"/>
        <v>3</v>
      </c>
      <c r="E33" s="28">
        <f t="shared" si="7"/>
        <v>4</v>
      </c>
      <c r="F33" s="28">
        <f t="shared" si="7"/>
        <v>5</v>
      </c>
      <c r="G33" s="28">
        <f t="shared" si="7"/>
        <v>6</v>
      </c>
      <c r="H33" s="28">
        <f t="shared" si="7"/>
        <v>7</v>
      </c>
      <c r="I33" s="28">
        <f t="shared" si="7"/>
        <v>8</v>
      </c>
      <c r="J33" s="28">
        <f t="shared" si="7"/>
        <v>9</v>
      </c>
      <c r="K33" s="28">
        <f t="shared" si="7"/>
        <v>10</v>
      </c>
      <c r="L33" s="28">
        <f t="shared" si="7"/>
        <v>11</v>
      </c>
      <c r="M33" s="28">
        <f t="shared" si="7"/>
        <v>12</v>
      </c>
      <c r="N33" s="124">
        <f>SUM(B33:M33)</f>
        <v>78</v>
      </c>
    </row>
    <row r="34" spans="1:14">
      <c r="A34" s="254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  <c r="N34" s="20"/>
    </row>
    <row r="35" spans="1:14">
      <c r="A35" s="254" t="s">
        <v>17</v>
      </c>
      <c r="B35" s="21">
        <f t="shared" ref="B35:M35" si="8">B33*B34</f>
        <v>1.59</v>
      </c>
      <c r="C35" s="21">
        <f t="shared" si="8"/>
        <v>3.18</v>
      </c>
      <c r="D35" s="21">
        <f t="shared" si="8"/>
        <v>4.7700000000000005</v>
      </c>
      <c r="E35" s="21">
        <f t="shared" si="8"/>
        <v>6.36</v>
      </c>
      <c r="F35" s="21">
        <f t="shared" si="8"/>
        <v>7.95</v>
      </c>
      <c r="G35" s="21">
        <f t="shared" si="8"/>
        <v>9.5400000000000009</v>
      </c>
      <c r="H35" s="21">
        <f t="shared" si="8"/>
        <v>11.13</v>
      </c>
      <c r="I35" s="21">
        <f t="shared" si="8"/>
        <v>12.72</v>
      </c>
      <c r="J35" s="21">
        <f t="shared" si="8"/>
        <v>14.31</v>
      </c>
      <c r="K35" s="21">
        <f>K33*K34</f>
        <v>15.9</v>
      </c>
      <c r="L35" s="21">
        <f t="shared" si="8"/>
        <v>17.490000000000002</v>
      </c>
      <c r="M35" s="21">
        <f t="shared" si="8"/>
        <v>19.080000000000002</v>
      </c>
      <c r="N35" s="21">
        <f>SUM(B35:M35)</f>
        <v>124.02</v>
      </c>
    </row>
    <row r="36" spans="1:14">
      <c r="A36" s="25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54" t="s">
        <v>141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56" t="s">
        <v>47</v>
      </c>
      <c r="B38" s="239">
        <f>B31</f>
        <v>1</v>
      </c>
      <c r="C38" s="239">
        <f t="shared" ref="C38:M38" si="9">C31</f>
        <v>2</v>
      </c>
      <c r="D38" s="239">
        <f t="shared" si="9"/>
        <v>3</v>
      </c>
      <c r="E38" s="239">
        <f t="shared" si="9"/>
        <v>4</v>
      </c>
      <c r="F38" s="239">
        <f t="shared" si="9"/>
        <v>5</v>
      </c>
      <c r="G38" s="239">
        <f t="shared" si="9"/>
        <v>6</v>
      </c>
      <c r="H38" s="239">
        <f t="shared" si="9"/>
        <v>7</v>
      </c>
      <c r="I38" s="239">
        <f t="shared" si="9"/>
        <v>8</v>
      </c>
      <c r="J38" s="239">
        <f t="shared" si="9"/>
        <v>9</v>
      </c>
      <c r="K38" s="239">
        <f t="shared" si="9"/>
        <v>10</v>
      </c>
      <c r="L38" s="239">
        <f t="shared" si="9"/>
        <v>11</v>
      </c>
      <c r="M38" s="239">
        <f t="shared" si="9"/>
        <v>12</v>
      </c>
      <c r="N38" s="21">
        <f>SUM(B38:M38)</f>
        <v>78</v>
      </c>
    </row>
    <row r="39" spans="1:14">
      <c r="A39" s="256" t="s">
        <v>45</v>
      </c>
      <c r="B39" s="28">
        <f>ROUND(B38*'Transmission Formula Rate (7)'!$B$27,0)</f>
        <v>0</v>
      </c>
      <c r="C39" s="28">
        <f>ROUND(C38*'Transmission Formula Rate (7)'!$B$27,0)</f>
        <v>0</v>
      </c>
      <c r="D39" s="28">
        <f>ROUND(D38*'Transmission Formula Rate (7)'!$B$27,0)</f>
        <v>0</v>
      </c>
      <c r="E39" s="28">
        <f>ROUND(E38*'Transmission Formula Rate (7)'!$B$27,0)</f>
        <v>0</v>
      </c>
      <c r="F39" s="28">
        <f>ROUND(F38*'Transmission Formula Rate (7)'!$B$27,0)</f>
        <v>0</v>
      </c>
      <c r="G39" s="28">
        <f>ROUND(G38*'Transmission Formula Rate (7)'!$B$27,0)</f>
        <v>0</v>
      </c>
      <c r="H39" s="28">
        <f>ROUND(H38*'Transmission Formula Rate (7)'!$B$27,0)</f>
        <v>0</v>
      </c>
      <c r="I39" s="28">
        <f>ROUND(I38*'Transmission Formula Rate (7)'!$B$27,0)</f>
        <v>0</v>
      </c>
      <c r="J39" s="28">
        <f>ROUND(J38*'Transmission Formula Rate (7)'!$B$27,0)</f>
        <v>0</v>
      </c>
      <c r="K39" s="28">
        <f>ROUND(K38*'Transmission Formula Rate (7)'!$B$27,0)</f>
        <v>0</v>
      </c>
      <c r="L39" s="28">
        <f>ROUND(L38*'Transmission Formula Rate (7)'!$B$27,0)</f>
        <v>0</v>
      </c>
      <c r="M39" s="28">
        <f>ROUND(M38*'Transmission Formula Rate (7)'!$B$27,0)</f>
        <v>0</v>
      </c>
      <c r="N39" s="21">
        <f>SUM(B39:M39)</f>
        <v>0</v>
      </c>
    </row>
    <row r="40" spans="1:14">
      <c r="A40" s="256" t="s">
        <v>433</v>
      </c>
      <c r="B40" s="28">
        <f t="shared" ref="B40:M40" si="10">B38+B39</f>
        <v>1</v>
      </c>
      <c r="C40" s="28">
        <f t="shared" si="10"/>
        <v>2</v>
      </c>
      <c r="D40" s="28">
        <f t="shared" si="10"/>
        <v>3</v>
      </c>
      <c r="E40" s="28">
        <f t="shared" si="10"/>
        <v>4</v>
      </c>
      <c r="F40" s="28">
        <f t="shared" si="10"/>
        <v>5</v>
      </c>
      <c r="G40" s="28">
        <f t="shared" si="10"/>
        <v>6</v>
      </c>
      <c r="H40" s="28">
        <f t="shared" si="10"/>
        <v>7</v>
      </c>
      <c r="I40" s="28">
        <f t="shared" si="10"/>
        <v>8</v>
      </c>
      <c r="J40" s="28">
        <f t="shared" si="10"/>
        <v>9</v>
      </c>
      <c r="K40" s="28">
        <f t="shared" si="10"/>
        <v>10</v>
      </c>
      <c r="L40" s="28">
        <f t="shared" si="10"/>
        <v>11</v>
      </c>
      <c r="M40" s="28">
        <f t="shared" si="10"/>
        <v>12</v>
      </c>
      <c r="N40" s="124">
        <f>SUM(B40:M40)</f>
        <v>78</v>
      </c>
    </row>
    <row r="41" spans="1:14">
      <c r="A41" s="254" t="s">
        <v>149</v>
      </c>
      <c r="B41" s="32">
        <f>'charges (1 &amp; 2)'!F33</f>
        <v>1.274E-2</v>
      </c>
      <c r="C41" s="32">
        <f>B41</f>
        <v>1.274E-2</v>
      </c>
      <c r="D41" s="32">
        <f t="shared" ref="D41:M41" si="11">C41</f>
        <v>1.274E-2</v>
      </c>
      <c r="E41" s="32">
        <f t="shared" si="11"/>
        <v>1.274E-2</v>
      </c>
      <c r="F41" s="32">
        <f t="shared" si="11"/>
        <v>1.274E-2</v>
      </c>
      <c r="G41" s="32">
        <f t="shared" si="11"/>
        <v>1.274E-2</v>
      </c>
      <c r="H41" s="32">
        <f t="shared" si="11"/>
        <v>1.274E-2</v>
      </c>
      <c r="I41" s="32">
        <f t="shared" si="11"/>
        <v>1.274E-2</v>
      </c>
      <c r="J41" s="32">
        <f t="shared" si="11"/>
        <v>1.274E-2</v>
      </c>
      <c r="K41" s="32">
        <f t="shared" si="11"/>
        <v>1.274E-2</v>
      </c>
      <c r="L41" s="32">
        <f t="shared" si="11"/>
        <v>1.274E-2</v>
      </c>
      <c r="M41" s="32">
        <f t="shared" si="11"/>
        <v>1.274E-2</v>
      </c>
      <c r="N41" s="20"/>
    </row>
    <row r="42" spans="1:14">
      <c r="A42" s="254" t="s">
        <v>17</v>
      </c>
      <c r="B42" s="21">
        <f t="shared" ref="B42:M42" si="12">B40*B41</f>
        <v>1.274E-2</v>
      </c>
      <c r="C42" s="21">
        <f t="shared" si="12"/>
        <v>2.5479999999999999E-2</v>
      </c>
      <c r="D42" s="21">
        <f t="shared" si="12"/>
        <v>3.8219999999999997E-2</v>
      </c>
      <c r="E42" s="21">
        <f t="shared" si="12"/>
        <v>5.0959999999999998E-2</v>
      </c>
      <c r="F42" s="21">
        <f t="shared" si="12"/>
        <v>6.3699999999999993E-2</v>
      </c>
      <c r="G42" s="21">
        <f t="shared" si="12"/>
        <v>7.6439999999999994E-2</v>
      </c>
      <c r="H42" s="21">
        <f t="shared" si="12"/>
        <v>8.9179999999999995E-2</v>
      </c>
      <c r="I42" s="21">
        <f t="shared" si="12"/>
        <v>0.10192</v>
      </c>
      <c r="J42" s="21">
        <f t="shared" si="12"/>
        <v>0.11466</v>
      </c>
      <c r="K42" s="21">
        <f t="shared" si="12"/>
        <v>0.12739999999999999</v>
      </c>
      <c r="L42" s="21">
        <f t="shared" si="12"/>
        <v>0.14013999999999999</v>
      </c>
      <c r="M42" s="21">
        <f t="shared" si="12"/>
        <v>0.15287999999999999</v>
      </c>
      <c r="N42" s="21">
        <f>SUM(B42:M42)</f>
        <v>0.99372000000000005</v>
      </c>
    </row>
    <row r="43" spans="1:14">
      <c r="A43" s="25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54" t="s">
        <v>38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A45" s="256" t="s">
        <v>47</v>
      </c>
      <c r="B45" s="239">
        <f>B31</f>
        <v>1</v>
      </c>
      <c r="C45" s="239">
        <f t="shared" ref="C45:M45" si="13">C31</f>
        <v>2</v>
      </c>
      <c r="D45" s="239">
        <f t="shared" si="13"/>
        <v>3</v>
      </c>
      <c r="E45" s="239">
        <f t="shared" si="13"/>
        <v>4</v>
      </c>
      <c r="F45" s="239">
        <f t="shared" si="13"/>
        <v>5</v>
      </c>
      <c r="G45" s="239">
        <f t="shared" si="13"/>
        <v>6</v>
      </c>
      <c r="H45" s="239">
        <f t="shared" si="13"/>
        <v>7</v>
      </c>
      <c r="I45" s="239">
        <f t="shared" si="13"/>
        <v>8</v>
      </c>
      <c r="J45" s="239">
        <f t="shared" si="13"/>
        <v>9</v>
      </c>
      <c r="K45" s="239">
        <f t="shared" si="13"/>
        <v>10</v>
      </c>
      <c r="L45" s="239">
        <f t="shared" si="13"/>
        <v>11</v>
      </c>
      <c r="M45" s="239">
        <f t="shared" si="13"/>
        <v>12</v>
      </c>
      <c r="N45" s="21">
        <f>SUM(B45:M45)</f>
        <v>78</v>
      </c>
    </row>
    <row r="46" spans="1:14">
      <c r="A46" s="256" t="s">
        <v>45</v>
      </c>
      <c r="B46" s="28">
        <f>ROUND(B45*'Transmission Formula Rate (7)'!$B$27,0)</f>
        <v>0</v>
      </c>
      <c r="C46" s="28">
        <f>ROUND(C45*'Transmission Formula Rate (7)'!$B$27,0)</f>
        <v>0</v>
      </c>
      <c r="D46" s="28">
        <f>ROUND(D45*'Transmission Formula Rate (7)'!$B$27,0)</f>
        <v>0</v>
      </c>
      <c r="E46" s="28">
        <f>ROUND(E45*'Transmission Formula Rate (7)'!$B$27,0)</f>
        <v>0</v>
      </c>
      <c r="F46" s="28">
        <f>ROUND(F45*'Transmission Formula Rate (7)'!$B$27,0)</f>
        <v>0</v>
      </c>
      <c r="G46" s="28">
        <f>ROUND(G45*'Transmission Formula Rate (7)'!$B$27,0)</f>
        <v>0</v>
      </c>
      <c r="H46" s="28">
        <f>ROUND(H45*'Transmission Formula Rate (7)'!$B$27,0)</f>
        <v>0</v>
      </c>
      <c r="I46" s="28">
        <f>ROUND(I45*'Transmission Formula Rate (7)'!$B$27,0)</f>
        <v>0</v>
      </c>
      <c r="J46" s="28">
        <f>ROUND(J45*'Transmission Formula Rate (7)'!$B$27,0)</f>
        <v>0</v>
      </c>
      <c r="K46" s="28">
        <f>ROUND(K45*'Transmission Formula Rate (7)'!$B$27,0)</f>
        <v>0</v>
      </c>
      <c r="L46" s="28">
        <f>ROUND(L45*'Transmission Formula Rate (7)'!$B$27,0)</f>
        <v>0</v>
      </c>
      <c r="M46" s="28">
        <f>ROUND(M45*'Transmission Formula Rate (7)'!$B$27,0)</f>
        <v>0</v>
      </c>
      <c r="N46" s="21">
        <f t="shared" ref="N46:N49" si="14">SUM(B46:M46)</f>
        <v>0</v>
      </c>
    </row>
    <row r="47" spans="1:14">
      <c r="A47" s="256" t="s">
        <v>433</v>
      </c>
      <c r="B47" s="28">
        <f>B45+B46</f>
        <v>1</v>
      </c>
      <c r="C47" s="28">
        <f t="shared" ref="C47:M47" si="15">C45+C46</f>
        <v>2</v>
      </c>
      <c r="D47" s="28">
        <f t="shared" si="15"/>
        <v>3</v>
      </c>
      <c r="E47" s="28">
        <f t="shared" si="15"/>
        <v>4</v>
      </c>
      <c r="F47" s="28">
        <f t="shared" si="15"/>
        <v>5</v>
      </c>
      <c r="G47" s="28">
        <f t="shared" si="15"/>
        <v>6</v>
      </c>
      <c r="H47" s="28">
        <f t="shared" si="15"/>
        <v>7</v>
      </c>
      <c r="I47" s="28">
        <f t="shared" si="15"/>
        <v>8</v>
      </c>
      <c r="J47" s="28">
        <f t="shared" si="15"/>
        <v>9</v>
      </c>
      <c r="K47" s="28">
        <f t="shared" si="15"/>
        <v>10</v>
      </c>
      <c r="L47" s="28">
        <f t="shared" si="15"/>
        <v>11</v>
      </c>
      <c r="M47" s="28">
        <f t="shared" si="15"/>
        <v>12</v>
      </c>
      <c r="N47" s="21">
        <f t="shared" si="14"/>
        <v>78</v>
      </c>
    </row>
    <row r="48" spans="1:14">
      <c r="A48" s="254" t="s">
        <v>150</v>
      </c>
      <c r="B48" s="32">
        <f>'charges (1 &amp; 2)'!D11</f>
        <v>0.1008</v>
      </c>
      <c r="C48" s="32">
        <f>B48</f>
        <v>0.1008</v>
      </c>
      <c r="D48" s="32">
        <f t="shared" ref="D48:M48" si="16">C48</f>
        <v>0.1008</v>
      </c>
      <c r="E48" s="32">
        <f t="shared" si="16"/>
        <v>0.1008</v>
      </c>
      <c r="F48" s="32">
        <f t="shared" si="16"/>
        <v>0.1008</v>
      </c>
      <c r="G48" s="32">
        <f t="shared" si="16"/>
        <v>0.1008</v>
      </c>
      <c r="H48" s="32">
        <f t="shared" si="16"/>
        <v>0.1008</v>
      </c>
      <c r="I48" s="32">
        <f t="shared" si="16"/>
        <v>0.1008</v>
      </c>
      <c r="J48" s="32">
        <f t="shared" si="16"/>
        <v>0.1008</v>
      </c>
      <c r="K48" s="32">
        <f t="shared" si="16"/>
        <v>0.1008</v>
      </c>
      <c r="L48" s="32">
        <f t="shared" si="16"/>
        <v>0.1008</v>
      </c>
      <c r="M48" s="32">
        <f t="shared" si="16"/>
        <v>0.1008</v>
      </c>
      <c r="N48" s="20"/>
    </row>
    <row r="49" spans="1:14">
      <c r="A49" s="254" t="s">
        <v>17</v>
      </c>
      <c r="B49" s="21">
        <f>B47*B48</f>
        <v>0.1008</v>
      </c>
      <c r="C49" s="21">
        <f t="shared" ref="C49:M49" si="17">C47*C48</f>
        <v>0.2016</v>
      </c>
      <c r="D49" s="21">
        <f t="shared" si="17"/>
        <v>0.3024</v>
      </c>
      <c r="E49" s="21">
        <f t="shared" si="17"/>
        <v>0.4032</v>
      </c>
      <c r="F49" s="21">
        <f t="shared" si="17"/>
        <v>0.504</v>
      </c>
      <c r="G49" s="21">
        <f t="shared" si="17"/>
        <v>0.6048</v>
      </c>
      <c r="H49" s="21">
        <f t="shared" si="17"/>
        <v>0.7056</v>
      </c>
      <c r="I49" s="21">
        <f t="shared" si="17"/>
        <v>0.80640000000000001</v>
      </c>
      <c r="J49" s="21">
        <f t="shared" si="17"/>
        <v>0.90720000000000001</v>
      </c>
      <c r="K49" s="21">
        <f t="shared" si="17"/>
        <v>1.008</v>
      </c>
      <c r="L49" s="21">
        <f t="shared" si="17"/>
        <v>1.1088</v>
      </c>
      <c r="M49" s="21">
        <f t="shared" si="17"/>
        <v>1.2096</v>
      </c>
      <c r="N49" s="21">
        <f t="shared" si="14"/>
        <v>7.8623999999999992</v>
      </c>
    </row>
    <row r="50" spans="1:14">
      <c r="A50" s="254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B51" s="24" t="s">
        <v>0</v>
      </c>
      <c r="C51" s="24" t="s">
        <v>1</v>
      </c>
      <c r="D51" s="24" t="s">
        <v>2</v>
      </c>
      <c r="E51" s="24" t="s">
        <v>3</v>
      </c>
      <c r="F51" s="24" t="s">
        <v>4</v>
      </c>
      <c r="G51" s="24" t="s">
        <v>5</v>
      </c>
      <c r="H51" s="24" t="s">
        <v>6</v>
      </c>
      <c r="I51" s="24" t="s">
        <v>7</v>
      </c>
      <c r="J51" s="24" t="s">
        <v>8</v>
      </c>
      <c r="K51" s="24" t="s">
        <v>9</v>
      </c>
      <c r="L51" s="24" t="s">
        <v>10</v>
      </c>
      <c r="M51" s="24" t="s">
        <v>11</v>
      </c>
      <c r="N51" s="24" t="s">
        <v>12</v>
      </c>
    </row>
    <row r="52" spans="1:14">
      <c r="A52" s="255">
        <f>+A29+1</f>
        <v>2016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>
      <c r="A53" s="254" t="s">
        <v>37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>
      <c r="A54" s="256" t="s">
        <v>47</v>
      </c>
      <c r="B54" s="239">
        <f>'Homestead Forecast'!E12</f>
        <v>18000</v>
      </c>
      <c r="C54" s="239">
        <f>'Homestead Forecast'!F12</f>
        <v>6000</v>
      </c>
      <c r="D54" s="239">
        <f>'Homestead Forecast'!G12</f>
        <v>0</v>
      </c>
      <c r="E54" s="239">
        <f>'Homestead Forecast'!H12</f>
        <v>3000</v>
      </c>
      <c r="F54" s="239">
        <f>'Homestead Forecast'!I12</f>
        <v>12000</v>
      </c>
      <c r="G54" s="239">
        <f>'Homestead Forecast'!J12</f>
        <v>20000</v>
      </c>
      <c r="H54" s="239">
        <f>'Homestead Forecast'!K12</f>
        <v>25000</v>
      </c>
      <c r="I54" s="239">
        <f>'Homestead Forecast'!L12</f>
        <v>18000</v>
      </c>
      <c r="J54" s="239">
        <f>'Homestead Forecast'!M12</f>
        <v>21000</v>
      </c>
      <c r="K54" s="239">
        <f>'Homestead Forecast'!N12</f>
        <v>8000</v>
      </c>
      <c r="L54" s="239">
        <f>'Homestead Forecast'!O12</f>
        <v>0</v>
      </c>
      <c r="M54" s="239">
        <f>'Homestead Forecast'!P12</f>
        <v>0</v>
      </c>
      <c r="N54" s="21">
        <f>SUM(B54:M54)</f>
        <v>131000</v>
      </c>
    </row>
    <row r="55" spans="1:14">
      <c r="A55" s="256" t="s">
        <v>45</v>
      </c>
      <c r="B55" s="28">
        <f>B54-B56</f>
        <v>326.9513991163476</v>
      </c>
      <c r="C55" s="28">
        <f t="shared" ref="C55:M55" si="18">C54-C56</f>
        <v>108.9837997054492</v>
      </c>
      <c r="D55" s="28">
        <f t="shared" si="18"/>
        <v>0</v>
      </c>
      <c r="E55" s="28">
        <f t="shared" si="18"/>
        <v>54.4918998527246</v>
      </c>
      <c r="F55" s="28">
        <f t="shared" si="18"/>
        <v>217.9675994108984</v>
      </c>
      <c r="G55" s="28">
        <f t="shared" si="18"/>
        <v>363.27933235149612</v>
      </c>
      <c r="H55" s="28">
        <f t="shared" si="18"/>
        <v>454.09916543936924</v>
      </c>
      <c r="I55" s="28">
        <f t="shared" si="18"/>
        <v>326.9513991163476</v>
      </c>
      <c r="J55" s="28">
        <f t="shared" si="18"/>
        <v>381.4432989690722</v>
      </c>
      <c r="K55" s="28">
        <f t="shared" si="18"/>
        <v>145.31173294059863</v>
      </c>
      <c r="L55" s="28">
        <f t="shared" si="18"/>
        <v>0</v>
      </c>
      <c r="M55" s="28">
        <f t="shared" si="18"/>
        <v>0</v>
      </c>
      <c r="N55" s="21">
        <f>SUM(B55:M55)</f>
        <v>2379.4796269023036</v>
      </c>
    </row>
    <row r="56" spans="1:14">
      <c r="A56" s="256" t="s">
        <v>433</v>
      </c>
      <c r="B56" s="28">
        <f>B54/(1+'Transmission Formula Rate (7)'!$B$27)</f>
        <v>17673.048600883652</v>
      </c>
      <c r="C56" s="28">
        <f>C54/(1+'Transmission Formula Rate (7)'!$B$27)</f>
        <v>5891.0162002945508</v>
      </c>
      <c r="D56" s="28">
        <f>D54/(1+'Transmission Formula Rate (7)'!$B$27)</f>
        <v>0</v>
      </c>
      <c r="E56" s="28">
        <f>E54/(1+'Transmission Formula Rate (7)'!$B$27)</f>
        <v>2945.5081001472754</v>
      </c>
      <c r="F56" s="28">
        <f>F54/(1+'Transmission Formula Rate (7)'!$B$27)</f>
        <v>11782.032400589102</v>
      </c>
      <c r="G56" s="28">
        <f>G54/(1+'Transmission Formula Rate (7)'!$B$27)</f>
        <v>19636.720667648504</v>
      </c>
      <c r="H56" s="28">
        <f>H54/(1+'Transmission Formula Rate (7)'!$B$27)</f>
        <v>24545.900834560631</v>
      </c>
      <c r="I56" s="28">
        <f>I54/(1+'Transmission Formula Rate (7)'!$B$27)</f>
        <v>17673.048600883652</v>
      </c>
      <c r="J56" s="28">
        <f>J54/(1+'Transmission Formula Rate (7)'!$B$27)</f>
        <v>20618.556701030928</v>
      </c>
      <c r="K56" s="28">
        <f>K54/(1+'Transmission Formula Rate (7)'!$B$27)</f>
        <v>7854.6882670594014</v>
      </c>
      <c r="L56" s="28">
        <f>L54/(1+'Transmission Formula Rate (7)'!$B$27)</f>
        <v>0</v>
      </c>
      <c r="M56" s="28">
        <f>M54/(1+'Transmission Formula Rate (7)'!$B$27)</f>
        <v>0</v>
      </c>
      <c r="N56" s="124">
        <f>SUM(B56:M56)</f>
        <v>128620.52037309769</v>
      </c>
    </row>
    <row r="57" spans="1:14">
      <c r="A57" s="254" t="s">
        <v>20</v>
      </c>
      <c r="B57" s="30">
        <f>'Transmission Formula Rate (7)'!B12</f>
        <v>1.59</v>
      </c>
      <c r="C57" s="30">
        <f>'Transmission Formula Rate (7)'!C12</f>
        <v>1.59</v>
      </c>
      <c r="D57" s="30">
        <f>'Transmission Formula Rate (7)'!D12</f>
        <v>1.59</v>
      </c>
      <c r="E57" s="30">
        <f>'Transmission Formula Rate (7)'!E12</f>
        <v>1.59</v>
      </c>
      <c r="F57" s="30">
        <f>'Transmission Formula Rate (7)'!F12</f>
        <v>1.59</v>
      </c>
      <c r="G57" s="30">
        <f>'Transmission Formula Rate (7)'!G12</f>
        <v>1.59</v>
      </c>
      <c r="H57" s="30">
        <f>'Transmission Formula Rate (7)'!H12</f>
        <v>1.59</v>
      </c>
      <c r="I57" s="30">
        <f>'Transmission Formula Rate (7)'!I12</f>
        <v>1.59</v>
      </c>
      <c r="J57" s="30">
        <f>'Transmission Formula Rate (7)'!J12</f>
        <v>1.59</v>
      </c>
      <c r="K57" s="30">
        <f>'Transmission Formula Rate (7)'!K12</f>
        <v>1.59</v>
      </c>
      <c r="L57" s="30">
        <f>'Transmission Formula Rate (7)'!L12</f>
        <v>1.59</v>
      </c>
      <c r="M57" s="30">
        <f>'Transmission Formula Rate (7)'!M12</f>
        <v>1.59</v>
      </c>
      <c r="N57" s="20"/>
    </row>
    <row r="58" spans="1:14">
      <c r="A58" s="254" t="s">
        <v>17</v>
      </c>
      <c r="B58" s="21">
        <f>B54*B57</f>
        <v>28620</v>
      </c>
      <c r="C58" s="21">
        <f t="shared" ref="C58:M58" si="19">C54*C57</f>
        <v>9540</v>
      </c>
      <c r="D58" s="21">
        <f t="shared" si="19"/>
        <v>0</v>
      </c>
      <c r="E58" s="21">
        <f t="shared" si="19"/>
        <v>4770</v>
      </c>
      <c r="F58" s="21">
        <f t="shared" si="19"/>
        <v>19080</v>
      </c>
      <c r="G58" s="21">
        <f t="shared" si="19"/>
        <v>31800</v>
      </c>
      <c r="H58" s="21">
        <f t="shared" si="19"/>
        <v>39750</v>
      </c>
      <c r="I58" s="21">
        <f t="shared" si="19"/>
        <v>28620</v>
      </c>
      <c r="J58" s="21">
        <f t="shared" si="19"/>
        <v>33390</v>
      </c>
      <c r="K58" s="21">
        <f t="shared" si="19"/>
        <v>12720</v>
      </c>
      <c r="L58" s="21">
        <f t="shared" si="19"/>
        <v>0</v>
      </c>
      <c r="M58" s="21">
        <f t="shared" si="19"/>
        <v>0</v>
      </c>
      <c r="N58" s="21">
        <f>SUM(B58:M58)</f>
        <v>208290</v>
      </c>
    </row>
    <row r="60" spans="1:14">
      <c r="A60" s="254" t="s">
        <v>141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56" t="s">
        <v>47</v>
      </c>
      <c r="B61" s="239">
        <f>B54</f>
        <v>18000</v>
      </c>
      <c r="C61" s="239">
        <f t="shared" ref="C61:M61" si="20">C54</f>
        <v>6000</v>
      </c>
      <c r="D61" s="239">
        <f t="shared" si="20"/>
        <v>0</v>
      </c>
      <c r="E61" s="239">
        <f t="shared" si="20"/>
        <v>3000</v>
      </c>
      <c r="F61" s="239">
        <f t="shared" si="20"/>
        <v>12000</v>
      </c>
      <c r="G61" s="239">
        <f t="shared" si="20"/>
        <v>20000</v>
      </c>
      <c r="H61" s="239">
        <f t="shared" si="20"/>
        <v>25000</v>
      </c>
      <c r="I61" s="239">
        <f t="shared" si="20"/>
        <v>18000</v>
      </c>
      <c r="J61" s="239">
        <f t="shared" si="20"/>
        <v>21000</v>
      </c>
      <c r="K61" s="239">
        <f t="shared" si="20"/>
        <v>8000</v>
      </c>
      <c r="L61" s="239">
        <f t="shared" si="20"/>
        <v>0</v>
      </c>
      <c r="M61" s="239">
        <f t="shared" si="20"/>
        <v>0</v>
      </c>
      <c r="N61" s="21">
        <f>SUM(B61:M61)</f>
        <v>131000</v>
      </c>
    </row>
    <row r="62" spans="1:14">
      <c r="A62" s="256" t="s">
        <v>45</v>
      </c>
      <c r="B62" s="28">
        <f>B61-B63</f>
        <v>326.9513991163476</v>
      </c>
      <c r="C62" s="28">
        <f t="shared" ref="C62" si="21">C61-C63</f>
        <v>108.9837997054492</v>
      </c>
      <c r="D62" s="28">
        <f t="shared" ref="D62" si="22">D61-D63</f>
        <v>0</v>
      </c>
      <c r="E62" s="28">
        <f t="shared" ref="E62" si="23">E61-E63</f>
        <v>54.4918998527246</v>
      </c>
      <c r="F62" s="28">
        <f t="shared" ref="F62" si="24">F61-F63</f>
        <v>217.9675994108984</v>
      </c>
      <c r="G62" s="28">
        <f t="shared" ref="G62" si="25">G61-G63</f>
        <v>363.27933235149612</v>
      </c>
      <c r="H62" s="28">
        <f t="shared" ref="H62" si="26">H61-H63</f>
        <v>454.09916543936924</v>
      </c>
      <c r="I62" s="28">
        <f t="shared" ref="I62" si="27">I61-I63</f>
        <v>326.9513991163476</v>
      </c>
      <c r="J62" s="28">
        <f t="shared" ref="J62" si="28">J61-J63</f>
        <v>381.4432989690722</v>
      </c>
      <c r="K62" s="28">
        <f t="shared" ref="K62" si="29">K61-K63</f>
        <v>145.31173294059863</v>
      </c>
      <c r="L62" s="28">
        <f t="shared" ref="L62" si="30">L61-L63</f>
        <v>0</v>
      </c>
      <c r="M62" s="28">
        <f t="shared" ref="M62" si="31">M61-M63</f>
        <v>0</v>
      </c>
      <c r="N62" s="21">
        <f>SUM(B62:M62)</f>
        <v>2379.4796269023036</v>
      </c>
    </row>
    <row r="63" spans="1:14">
      <c r="A63" s="256" t="s">
        <v>433</v>
      </c>
      <c r="B63" s="28">
        <f>B61/(1+'Transmission Formula Rate (7)'!$B$27)</f>
        <v>17673.048600883652</v>
      </c>
      <c r="C63" s="28">
        <f>C61/(1+'Transmission Formula Rate (7)'!$B$27)</f>
        <v>5891.0162002945508</v>
      </c>
      <c r="D63" s="28">
        <f>D61/(1+'Transmission Formula Rate (7)'!$B$27)</f>
        <v>0</v>
      </c>
      <c r="E63" s="28">
        <f>E61/(1+'Transmission Formula Rate (7)'!$B$27)</f>
        <v>2945.5081001472754</v>
      </c>
      <c r="F63" s="28">
        <f>F61/(1+'Transmission Formula Rate (7)'!$B$27)</f>
        <v>11782.032400589102</v>
      </c>
      <c r="G63" s="28">
        <f>G61/(1+'Transmission Formula Rate (7)'!$B$27)</f>
        <v>19636.720667648504</v>
      </c>
      <c r="H63" s="28">
        <f>H61/(1+'Transmission Formula Rate (7)'!$B$27)</f>
        <v>24545.900834560631</v>
      </c>
      <c r="I63" s="28">
        <f>I61/(1+'Transmission Formula Rate (7)'!$B$27)</f>
        <v>17673.048600883652</v>
      </c>
      <c r="J63" s="28">
        <f>J61/(1+'Transmission Formula Rate (7)'!$B$27)</f>
        <v>20618.556701030928</v>
      </c>
      <c r="K63" s="28">
        <f>K61/(1+'Transmission Formula Rate (7)'!$B$27)</f>
        <v>7854.6882670594014</v>
      </c>
      <c r="L63" s="28">
        <f>L61/(1+'Transmission Formula Rate (7)'!$B$27)</f>
        <v>0</v>
      </c>
      <c r="M63" s="28">
        <f>M61/(1+'Transmission Formula Rate (7)'!$B$27)</f>
        <v>0</v>
      </c>
      <c r="N63" s="124">
        <f>SUM(B63:M63)</f>
        <v>128620.52037309769</v>
      </c>
    </row>
    <row r="64" spans="1:14">
      <c r="A64" s="254" t="s">
        <v>149</v>
      </c>
      <c r="B64" s="32">
        <f>'charges (1 &amp; 2)'!G33</f>
        <v>1.274E-2</v>
      </c>
      <c r="C64" s="32">
        <f>B64</f>
        <v>1.274E-2</v>
      </c>
      <c r="D64" s="32">
        <f t="shared" ref="D64:M64" si="32">C64</f>
        <v>1.274E-2</v>
      </c>
      <c r="E64" s="32">
        <f t="shared" si="32"/>
        <v>1.274E-2</v>
      </c>
      <c r="F64" s="32">
        <f t="shared" si="32"/>
        <v>1.274E-2</v>
      </c>
      <c r="G64" s="32">
        <f t="shared" si="32"/>
        <v>1.274E-2</v>
      </c>
      <c r="H64" s="32">
        <f t="shared" si="32"/>
        <v>1.274E-2</v>
      </c>
      <c r="I64" s="32">
        <f t="shared" si="32"/>
        <v>1.274E-2</v>
      </c>
      <c r="J64" s="32">
        <f t="shared" si="32"/>
        <v>1.274E-2</v>
      </c>
      <c r="K64" s="32">
        <f t="shared" si="32"/>
        <v>1.274E-2</v>
      </c>
      <c r="L64" s="32">
        <f t="shared" si="32"/>
        <v>1.274E-2</v>
      </c>
      <c r="M64" s="32">
        <f t="shared" si="32"/>
        <v>1.274E-2</v>
      </c>
      <c r="N64" s="20"/>
    </row>
    <row r="65" spans="1:15">
      <c r="A65" s="254" t="s">
        <v>17</v>
      </c>
      <c r="B65" s="21">
        <f>B61*B64</f>
        <v>229.32</v>
      </c>
      <c r="C65" s="21">
        <f t="shared" ref="C65" si="33">C61*C64</f>
        <v>76.44</v>
      </c>
      <c r="D65" s="21">
        <f t="shared" ref="D65" si="34">D61*D64</f>
        <v>0</v>
      </c>
      <c r="E65" s="21">
        <f t="shared" ref="E65" si="35">E61*E64</f>
        <v>38.22</v>
      </c>
      <c r="F65" s="21">
        <f t="shared" ref="F65" si="36">F61*F64</f>
        <v>152.88</v>
      </c>
      <c r="G65" s="21">
        <f t="shared" ref="G65" si="37">G61*G64</f>
        <v>254.79999999999998</v>
      </c>
      <c r="H65" s="21">
        <f t="shared" ref="H65" si="38">H61*H64</f>
        <v>318.5</v>
      </c>
      <c r="I65" s="21">
        <f t="shared" ref="I65" si="39">I61*I64</f>
        <v>229.32</v>
      </c>
      <c r="J65" s="21">
        <f t="shared" ref="J65" si="40">J61*J64</f>
        <v>267.53999999999996</v>
      </c>
      <c r="K65" s="21">
        <f t="shared" ref="K65" si="41">K61*K64</f>
        <v>101.92</v>
      </c>
      <c r="L65" s="21">
        <f t="shared" ref="L65" si="42">L61*L64</f>
        <v>0</v>
      </c>
      <c r="M65" s="21">
        <f t="shared" ref="M65" si="43">M61*M64</f>
        <v>0</v>
      </c>
      <c r="N65" s="21">
        <f>SUM(B65:M65)</f>
        <v>1668.9399999999998</v>
      </c>
    </row>
    <row r="67" spans="1:15">
      <c r="A67" s="254" t="s">
        <v>38</v>
      </c>
    </row>
    <row r="68" spans="1:15">
      <c r="A68" s="256" t="s">
        <v>47</v>
      </c>
      <c r="B68" s="239">
        <f>B54</f>
        <v>18000</v>
      </c>
      <c r="C68" s="239">
        <f t="shared" ref="C68:M68" si="44">C54</f>
        <v>6000</v>
      </c>
      <c r="D68" s="239">
        <f t="shared" si="44"/>
        <v>0</v>
      </c>
      <c r="E68" s="239">
        <f t="shared" si="44"/>
        <v>3000</v>
      </c>
      <c r="F68" s="239">
        <f t="shared" si="44"/>
        <v>12000</v>
      </c>
      <c r="G68" s="239">
        <f t="shared" si="44"/>
        <v>20000</v>
      </c>
      <c r="H68" s="239">
        <f t="shared" si="44"/>
        <v>25000</v>
      </c>
      <c r="I68" s="239">
        <f t="shared" si="44"/>
        <v>18000</v>
      </c>
      <c r="J68" s="239">
        <f t="shared" si="44"/>
        <v>21000</v>
      </c>
      <c r="K68" s="239">
        <f t="shared" si="44"/>
        <v>8000</v>
      </c>
      <c r="L68" s="239">
        <f t="shared" si="44"/>
        <v>0</v>
      </c>
      <c r="M68" s="239">
        <f t="shared" si="44"/>
        <v>0</v>
      </c>
      <c r="N68" s="21">
        <f>SUM(B68:M68)</f>
        <v>131000</v>
      </c>
    </row>
    <row r="69" spans="1:15">
      <c r="A69" s="256" t="s">
        <v>45</v>
      </c>
      <c r="B69" s="28">
        <f>B68-B70</f>
        <v>326.9513991163476</v>
      </c>
      <c r="C69" s="28">
        <f t="shared" ref="C69" si="45">C68-C70</f>
        <v>108.9837997054492</v>
      </c>
      <c r="D69" s="28">
        <f t="shared" ref="D69" si="46">D68-D70</f>
        <v>0</v>
      </c>
      <c r="E69" s="28">
        <f t="shared" ref="E69" si="47">E68-E70</f>
        <v>54.4918998527246</v>
      </c>
      <c r="F69" s="28">
        <f t="shared" ref="F69" si="48">F68-F70</f>
        <v>217.9675994108984</v>
      </c>
      <c r="G69" s="28">
        <f t="shared" ref="G69" si="49">G68-G70</f>
        <v>363.27933235149612</v>
      </c>
      <c r="H69" s="28">
        <f t="shared" ref="H69" si="50">H68-H70</f>
        <v>454.09916543936924</v>
      </c>
      <c r="I69" s="28">
        <f t="shared" ref="I69" si="51">I68-I70</f>
        <v>326.9513991163476</v>
      </c>
      <c r="J69" s="28">
        <f t="shared" ref="J69" si="52">J68-J70</f>
        <v>381.4432989690722</v>
      </c>
      <c r="K69" s="28">
        <f t="shared" ref="K69" si="53">K68-K70</f>
        <v>145.31173294059863</v>
      </c>
      <c r="L69" s="28">
        <f t="shared" ref="L69" si="54">L68-L70</f>
        <v>0</v>
      </c>
      <c r="M69" s="28">
        <f t="shared" ref="M69" si="55">M68-M70</f>
        <v>0</v>
      </c>
      <c r="N69" s="21">
        <f t="shared" ref="N69:N70" si="56">SUM(B69:M69)</f>
        <v>2379.4796269023036</v>
      </c>
    </row>
    <row r="70" spans="1:15">
      <c r="A70" s="256" t="s">
        <v>433</v>
      </c>
      <c r="B70" s="28">
        <f>B68/(1+'Transmission Formula Rate (7)'!$B$27)</f>
        <v>17673.048600883652</v>
      </c>
      <c r="C70" s="28">
        <f>C68/(1+'Transmission Formula Rate (7)'!$B$27)</f>
        <v>5891.0162002945508</v>
      </c>
      <c r="D70" s="28">
        <f>D68/(1+'Transmission Formula Rate (7)'!$B$27)</f>
        <v>0</v>
      </c>
      <c r="E70" s="28">
        <f>E68/(1+'Transmission Formula Rate (7)'!$B$27)</f>
        <v>2945.5081001472754</v>
      </c>
      <c r="F70" s="28">
        <f>F68/(1+'Transmission Formula Rate (7)'!$B$27)</f>
        <v>11782.032400589102</v>
      </c>
      <c r="G70" s="28">
        <f>G68/(1+'Transmission Formula Rate (7)'!$B$27)</f>
        <v>19636.720667648504</v>
      </c>
      <c r="H70" s="28">
        <f>H68/(1+'Transmission Formula Rate (7)'!$B$27)</f>
        <v>24545.900834560631</v>
      </c>
      <c r="I70" s="28">
        <f>I68/(1+'Transmission Formula Rate (7)'!$B$27)</f>
        <v>17673.048600883652</v>
      </c>
      <c r="J70" s="28">
        <f>J68/(1+'Transmission Formula Rate (7)'!$B$27)</f>
        <v>20618.556701030928</v>
      </c>
      <c r="K70" s="28">
        <f>K68/(1+'Transmission Formula Rate (7)'!$B$27)</f>
        <v>7854.6882670594014</v>
      </c>
      <c r="L70" s="28">
        <f>L68/(1+'Transmission Formula Rate (7)'!$B$27)</f>
        <v>0</v>
      </c>
      <c r="M70" s="28">
        <f>M68/(1+'Transmission Formula Rate (7)'!$B$27)</f>
        <v>0</v>
      </c>
      <c r="N70" s="124">
        <f t="shared" si="56"/>
        <v>128620.52037309769</v>
      </c>
    </row>
    <row r="71" spans="1:15">
      <c r="A71" s="254" t="s">
        <v>150</v>
      </c>
      <c r="B71" s="32">
        <f>'charges (1 &amp; 2)'!E11</f>
        <v>0.1008</v>
      </c>
      <c r="C71" s="32">
        <f>B71</f>
        <v>0.1008</v>
      </c>
      <c r="D71" s="32">
        <f t="shared" ref="D71:M71" si="57">C71</f>
        <v>0.1008</v>
      </c>
      <c r="E71" s="32">
        <f t="shared" si="57"/>
        <v>0.1008</v>
      </c>
      <c r="F71" s="32">
        <f t="shared" si="57"/>
        <v>0.1008</v>
      </c>
      <c r="G71" s="32">
        <f t="shared" si="57"/>
        <v>0.1008</v>
      </c>
      <c r="H71" s="32">
        <f t="shared" si="57"/>
        <v>0.1008</v>
      </c>
      <c r="I71" s="32">
        <f t="shared" si="57"/>
        <v>0.1008</v>
      </c>
      <c r="J71" s="32">
        <f t="shared" si="57"/>
        <v>0.1008</v>
      </c>
      <c r="K71" s="32">
        <f t="shared" si="57"/>
        <v>0.1008</v>
      </c>
      <c r="L71" s="32">
        <f t="shared" si="57"/>
        <v>0.1008</v>
      </c>
      <c r="M71" s="32">
        <f t="shared" si="57"/>
        <v>0.1008</v>
      </c>
    </row>
    <row r="72" spans="1:15">
      <c r="A72" s="254" t="s">
        <v>17</v>
      </c>
      <c r="B72" s="21">
        <f>B68*B71</f>
        <v>1814.4</v>
      </c>
      <c r="C72" s="21">
        <f t="shared" ref="C72" si="58">C68*C71</f>
        <v>604.79999999999995</v>
      </c>
      <c r="D72" s="21">
        <f t="shared" ref="D72" si="59">D68*D71</f>
        <v>0</v>
      </c>
      <c r="E72" s="21">
        <f t="shared" ref="E72" si="60">E68*E71</f>
        <v>302.39999999999998</v>
      </c>
      <c r="F72" s="21">
        <f t="shared" ref="F72" si="61">F68*F71</f>
        <v>1209.5999999999999</v>
      </c>
      <c r="G72" s="21">
        <f t="shared" ref="G72" si="62">G68*G71</f>
        <v>2016</v>
      </c>
      <c r="H72" s="21">
        <f t="shared" ref="H72" si="63">H68*H71</f>
        <v>2520</v>
      </c>
      <c r="I72" s="21">
        <f t="shared" ref="I72" si="64">I68*I71</f>
        <v>1814.4</v>
      </c>
      <c r="J72" s="21">
        <f t="shared" ref="J72" si="65">J68*J71</f>
        <v>2116.8000000000002</v>
      </c>
      <c r="K72" s="21">
        <f t="shared" ref="K72" si="66">K68*K71</f>
        <v>806.4</v>
      </c>
      <c r="L72" s="21">
        <f t="shared" ref="L72" si="67">L68*L71</f>
        <v>0</v>
      </c>
      <c r="M72" s="21">
        <f t="shared" ref="M72" si="68">M68*M71</f>
        <v>0</v>
      </c>
      <c r="N72" s="21">
        <f>SUM(B72:M72)</f>
        <v>13204.800000000001</v>
      </c>
    </row>
    <row r="74" spans="1:15">
      <c r="B74" s="24" t="s">
        <v>0</v>
      </c>
      <c r="C74" s="24" t="s">
        <v>1</v>
      </c>
      <c r="D74" s="24" t="s">
        <v>2</v>
      </c>
      <c r="E74" s="24" t="s">
        <v>3</v>
      </c>
      <c r="F74" s="24" t="s">
        <v>4</v>
      </c>
      <c r="G74" s="24" t="s">
        <v>5</v>
      </c>
      <c r="H74" s="24" t="s">
        <v>6</v>
      </c>
      <c r="I74" s="24" t="s">
        <v>7</v>
      </c>
      <c r="J74" s="24" t="s">
        <v>8</v>
      </c>
      <c r="K74" s="24" t="s">
        <v>9</v>
      </c>
      <c r="L74" s="24" t="s">
        <v>10</v>
      </c>
      <c r="M74" s="24" t="s">
        <v>11</v>
      </c>
      <c r="N74" s="24" t="s">
        <v>12</v>
      </c>
    </row>
    <row r="75" spans="1:15">
      <c r="A75" s="255">
        <f>+A52+1</f>
        <v>2017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1:15">
      <c r="A76" s="254" t="s">
        <v>37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5">
      <c r="A77" s="256" t="s">
        <v>47</v>
      </c>
      <c r="B77" s="239">
        <f>'Homestead Forecast'!E13</f>
        <v>21000</v>
      </c>
      <c r="C77" s="239">
        <f>'Homestead Forecast'!F13</f>
        <v>6000</v>
      </c>
      <c r="D77" s="239">
        <f>'Homestead Forecast'!G13</f>
        <v>0</v>
      </c>
      <c r="E77" s="239">
        <f>'Homestead Forecast'!H13</f>
        <v>3000</v>
      </c>
      <c r="F77" s="239">
        <f>'Homestead Forecast'!I13</f>
        <v>12000</v>
      </c>
      <c r="G77" s="239">
        <f>'Homestead Forecast'!J13</f>
        <v>20000</v>
      </c>
      <c r="H77" s="239">
        <f>'Homestead Forecast'!K13</f>
        <v>25000</v>
      </c>
      <c r="I77" s="239">
        <f>'Homestead Forecast'!L13</f>
        <v>21000</v>
      </c>
      <c r="J77" s="239">
        <f>'Homestead Forecast'!M13</f>
        <v>21000</v>
      </c>
      <c r="K77" s="239">
        <f>'Homestead Forecast'!N13</f>
        <v>8000</v>
      </c>
      <c r="L77" s="239">
        <f>'Homestead Forecast'!O13</f>
        <v>0</v>
      </c>
      <c r="M77" s="239">
        <f>'Homestead Forecast'!P13</f>
        <v>0</v>
      </c>
      <c r="N77" s="21">
        <f>SUM(B77:M77)</f>
        <v>137000</v>
      </c>
    </row>
    <row r="78" spans="1:15">
      <c r="A78" s="256" t="s">
        <v>45</v>
      </c>
      <c r="B78" s="28">
        <f>B77-B79</f>
        <v>381.4432989690722</v>
      </c>
      <c r="C78" s="28">
        <f t="shared" ref="C78" si="69">C77-C79</f>
        <v>108.9837997054492</v>
      </c>
      <c r="D78" s="28">
        <f t="shared" ref="D78" si="70">D77-D79</f>
        <v>0</v>
      </c>
      <c r="E78" s="28">
        <f t="shared" ref="E78" si="71">E77-E79</f>
        <v>54.4918998527246</v>
      </c>
      <c r="F78" s="28">
        <f t="shared" ref="F78" si="72">F77-F79</f>
        <v>217.9675994108984</v>
      </c>
      <c r="G78" s="28">
        <f t="shared" ref="G78" si="73">G77-G79</f>
        <v>363.27933235149612</v>
      </c>
      <c r="H78" s="28">
        <f t="shared" ref="H78" si="74">H77-H79</f>
        <v>454.09916543936924</v>
      </c>
      <c r="I78" s="28">
        <f t="shared" ref="I78" si="75">I77-I79</f>
        <v>381.4432989690722</v>
      </c>
      <c r="J78" s="28">
        <f t="shared" ref="J78" si="76">J77-J79</f>
        <v>381.4432989690722</v>
      </c>
      <c r="K78" s="28">
        <f t="shared" ref="K78" si="77">K77-K79</f>
        <v>145.31173294059863</v>
      </c>
      <c r="L78" s="28">
        <f t="shared" ref="L78" si="78">L77-L79</f>
        <v>0</v>
      </c>
      <c r="M78" s="28">
        <f t="shared" ref="M78" si="79">M77-M79</f>
        <v>0</v>
      </c>
      <c r="N78" s="21">
        <f>SUM(B78:M78)</f>
        <v>2488.4634266077528</v>
      </c>
    </row>
    <row r="79" spans="1:15">
      <c r="A79" s="256" t="s">
        <v>433</v>
      </c>
      <c r="B79" s="28">
        <f>B77/(1+'Transmission Formula Rate (7)'!$B$27)</f>
        <v>20618.556701030928</v>
      </c>
      <c r="C79" s="28">
        <f>C77/(1+'Transmission Formula Rate (7)'!$B$27)</f>
        <v>5891.0162002945508</v>
      </c>
      <c r="D79" s="28">
        <f>D77/(1+'Transmission Formula Rate (7)'!$B$27)</f>
        <v>0</v>
      </c>
      <c r="E79" s="28">
        <f>E77/(1+'Transmission Formula Rate (7)'!$B$27)</f>
        <v>2945.5081001472754</v>
      </c>
      <c r="F79" s="28">
        <f>F77/(1+'Transmission Formula Rate (7)'!$B$27)</f>
        <v>11782.032400589102</v>
      </c>
      <c r="G79" s="28">
        <f>G77/(1+'Transmission Formula Rate (7)'!$B$27)</f>
        <v>19636.720667648504</v>
      </c>
      <c r="H79" s="28">
        <f>H77/(1+'Transmission Formula Rate (7)'!$B$27)</f>
        <v>24545.900834560631</v>
      </c>
      <c r="I79" s="28">
        <f>I77/(1+'Transmission Formula Rate (7)'!$B$27)</f>
        <v>20618.556701030928</v>
      </c>
      <c r="J79" s="28">
        <f>J77/(1+'Transmission Formula Rate (7)'!$B$27)</f>
        <v>20618.556701030928</v>
      </c>
      <c r="K79" s="28">
        <f>K77/(1+'Transmission Formula Rate (7)'!$B$27)</f>
        <v>7854.6882670594014</v>
      </c>
      <c r="L79" s="28">
        <f>L77/(1+'Transmission Formula Rate (7)'!$B$27)</f>
        <v>0</v>
      </c>
      <c r="M79" s="28">
        <f>M77/(1+'Transmission Formula Rate (7)'!$B$27)</f>
        <v>0</v>
      </c>
      <c r="N79" s="124">
        <f>SUM(B79:M79)</f>
        <v>134511.53657339225</v>
      </c>
    </row>
    <row r="80" spans="1:15">
      <c r="A80" s="254" t="s">
        <v>20</v>
      </c>
      <c r="B80" s="30">
        <f>'Transmission Formula Rate (7)'!B14</f>
        <v>1.59</v>
      </c>
      <c r="C80" s="30">
        <f>'Transmission Formula Rate (7)'!C14</f>
        <v>1.59</v>
      </c>
      <c r="D80" s="30">
        <f>'Transmission Formula Rate (7)'!D14</f>
        <v>1.59</v>
      </c>
      <c r="E80" s="30">
        <f>'Transmission Formula Rate (7)'!E14</f>
        <v>1.59</v>
      </c>
      <c r="F80" s="30">
        <f>'Transmission Formula Rate (7)'!F14</f>
        <v>1.59</v>
      </c>
      <c r="G80" s="30">
        <f>'Transmission Formula Rate (7)'!G14</f>
        <v>1.59</v>
      </c>
      <c r="H80" s="30">
        <f>'Transmission Formula Rate (7)'!H14</f>
        <v>1.59</v>
      </c>
      <c r="I80" s="30">
        <f>'Transmission Formula Rate (7)'!I14</f>
        <v>1.59</v>
      </c>
      <c r="J80" s="30">
        <f>'Transmission Formula Rate (7)'!J14</f>
        <v>1.59</v>
      </c>
      <c r="K80" s="30">
        <f>'Transmission Formula Rate (7)'!K14</f>
        <v>1.59</v>
      </c>
      <c r="L80" s="30">
        <f>'Transmission Formula Rate (7)'!L14</f>
        <v>1.59</v>
      </c>
      <c r="M80" s="30">
        <f>'Transmission Formula Rate (7)'!M14</f>
        <v>1.59</v>
      </c>
      <c r="N80" s="20"/>
      <c r="O80" s="277"/>
    </row>
    <row r="81" spans="1:14">
      <c r="A81" s="254" t="s">
        <v>17</v>
      </c>
      <c r="B81" s="21">
        <f>B77*B80</f>
        <v>33390</v>
      </c>
      <c r="C81" s="21">
        <f t="shared" ref="C81" si="80">C77*C80</f>
        <v>9540</v>
      </c>
      <c r="D81" s="21">
        <f t="shared" ref="D81" si="81">D77*D80</f>
        <v>0</v>
      </c>
      <c r="E81" s="21">
        <f t="shared" ref="E81" si="82">E77*E80</f>
        <v>4770</v>
      </c>
      <c r="F81" s="21">
        <f t="shared" ref="F81" si="83">F77*F80</f>
        <v>19080</v>
      </c>
      <c r="G81" s="21">
        <f t="shared" ref="G81" si="84">G77*G80</f>
        <v>31800</v>
      </c>
      <c r="H81" s="21">
        <f t="shared" ref="H81" si="85">H77*H80</f>
        <v>39750</v>
      </c>
      <c r="I81" s="21">
        <f t="shared" ref="I81" si="86">I77*I80</f>
        <v>33390</v>
      </c>
      <c r="J81" s="21">
        <f t="shared" ref="J81" si="87">J77*J80</f>
        <v>33390</v>
      </c>
      <c r="K81" s="21">
        <f t="shared" ref="K81" si="88">K77*K80</f>
        <v>12720</v>
      </c>
      <c r="L81" s="21">
        <f t="shared" ref="L81" si="89">L77*L80</f>
        <v>0</v>
      </c>
      <c r="M81" s="21">
        <f t="shared" ref="M81" si="90">M77*M80</f>
        <v>0</v>
      </c>
      <c r="N81" s="21">
        <f>SUM(B81:M81)</f>
        <v>217830</v>
      </c>
    </row>
    <row r="83" spans="1:14">
      <c r="A83" s="254" t="s">
        <v>141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256" t="s">
        <v>47</v>
      </c>
      <c r="B84" s="239">
        <f>B77</f>
        <v>21000</v>
      </c>
      <c r="C84" s="239">
        <f t="shared" ref="C84:M84" si="91">C77</f>
        <v>6000</v>
      </c>
      <c r="D84" s="239">
        <f t="shared" si="91"/>
        <v>0</v>
      </c>
      <c r="E84" s="239">
        <f t="shared" si="91"/>
        <v>3000</v>
      </c>
      <c r="F84" s="239">
        <f t="shared" si="91"/>
        <v>12000</v>
      </c>
      <c r="G84" s="239">
        <f t="shared" si="91"/>
        <v>20000</v>
      </c>
      <c r="H84" s="239">
        <f t="shared" si="91"/>
        <v>25000</v>
      </c>
      <c r="I84" s="239">
        <f t="shared" si="91"/>
        <v>21000</v>
      </c>
      <c r="J84" s="239">
        <f t="shared" si="91"/>
        <v>21000</v>
      </c>
      <c r="K84" s="239">
        <f t="shared" si="91"/>
        <v>8000</v>
      </c>
      <c r="L84" s="239">
        <f t="shared" si="91"/>
        <v>0</v>
      </c>
      <c r="M84" s="239">
        <f t="shared" si="91"/>
        <v>0</v>
      </c>
      <c r="N84" s="21">
        <f>SUM(B84:M84)</f>
        <v>137000</v>
      </c>
    </row>
    <row r="85" spans="1:14">
      <c r="A85" s="256" t="s">
        <v>45</v>
      </c>
      <c r="B85" s="28">
        <f>B84-B86</f>
        <v>381.4432989690722</v>
      </c>
      <c r="C85" s="28">
        <f t="shared" ref="C85" si="92">C84-C86</f>
        <v>108.9837997054492</v>
      </c>
      <c r="D85" s="28">
        <f t="shared" ref="D85" si="93">D84-D86</f>
        <v>0</v>
      </c>
      <c r="E85" s="28">
        <f t="shared" ref="E85" si="94">E84-E86</f>
        <v>54.4918998527246</v>
      </c>
      <c r="F85" s="28">
        <f t="shared" ref="F85" si="95">F84-F86</f>
        <v>217.9675994108984</v>
      </c>
      <c r="G85" s="28">
        <f t="shared" ref="G85" si="96">G84-G86</f>
        <v>363.27933235149612</v>
      </c>
      <c r="H85" s="28">
        <f t="shared" ref="H85" si="97">H84-H86</f>
        <v>454.09916543936924</v>
      </c>
      <c r="I85" s="28">
        <f t="shared" ref="I85" si="98">I84-I86</f>
        <v>381.4432989690722</v>
      </c>
      <c r="J85" s="28">
        <f t="shared" ref="J85" si="99">J84-J86</f>
        <v>381.4432989690722</v>
      </c>
      <c r="K85" s="28">
        <f t="shared" ref="K85" si="100">K84-K86</f>
        <v>145.31173294059863</v>
      </c>
      <c r="L85" s="28">
        <f t="shared" ref="L85" si="101">L84-L86</f>
        <v>0</v>
      </c>
      <c r="M85" s="28">
        <f t="shared" ref="M85" si="102">M84-M86</f>
        <v>0</v>
      </c>
      <c r="N85" s="21">
        <f>SUM(B85:M85)</f>
        <v>2488.4634266077528</v>
      </c>
    </row>
    <row r="86" spans="1:14">
      <c r="A86" s="256" t="s">
        <v>433</v>
      </c>
      <c r="B86" s="28">
        <f>B84/(1+'Transmission Formula Rate (7)'!$B$27)</f>
        <v>20618.556701030928</v>
      </c>
      <c r="C86" s="28">
        <f>C84/(1+'Transmission Formula Rate (7)'!$B$27)</f>
        <v>5891.0162002945508</v>
      </c>
      <c r="D86" s="28">
        <f>D84/(1+'Transmission Formula Rate (7)'!$B$27)</f>
        <v>0</v>
      </c>
      <c r="E86" s="28">
        <f>E84/(1+'Transmission Formula Rate (7)'!$B$27)</f>
        <v>2945.5081001472754</v>
      </c>
      <c r="F86" s="28">
        <f>F84/(1+'Transmission Formula Rate (7)'!$B$27)</f>
        <v>11782.032400589102</v>
      </c>
      <c r="G86" s="28">
        <f>G84/(1+'Transmission Formula Rate (7)'!$B$27)</f>
        <v>19636.720667648504</v>
      </c>
      <c r="H86" s="28">
        <f>H84/(1+'Transmission Formula Rate (7)'!$B$27)</f>
        <v>24545.900834560631</v>
      </c>
      <c r="I86" s="28">
        <f>I84/(1+'Transmission Formula Rate (7)'!$B$27)</f>
        <v>20618.556701030928</v>
      </c>
      <c r="J86" s="28">
        <f>J84/(1+'Transmission Formula Rate (7)'!$B$27)</f>
        <v>20618.556701030928</v>
      </c>
      <c r="K86" s="28">
        <f>K84/(1+'Transmission Formula Rate (7)'!$B$27)</f>
        <v>7854.6882670594014</v>
      </c>
      <c r="L86" s="28">
        <f>L84/(1+'Transmission Formula Rate (7)'!$B$27)</f>
        <v>0</v>
      </c>
      <c r="M86" s="28">
        <f>M84/(1+'Transmission Formula Rate (7)'!$B$27)</f>
        <v>0</v>
      </c>
      <c r="N86" s="124">
        <f>SUM(B86:M86)</f>
        <v>134511.53657339225</v>
      </c>
    </row>
    <row r="87" spans="1:14">
      <c r="A87" s="254" t="s">
        <v>149</v>
      </c>
      <c r="B87" s="32">
        <f>'charges (1 &amp; 2)'!H33</f>
        <v>1.274E-2</v>
      </c>
      <c r="C87" s="32">
        <f>B87</f>
        <v>1.274E-2</v>
      </c>
      <c r="D87" s="32">
        <f t="shared" ref="D87:M87" si="103">C87</f>
        <v>1.274E-2</v>
      </c>
      <c r="E87" s="32">
        <f t="shared" si="103"/>
        <v>1.274E-2</v>
      </c>
      <c r="F87" s="32">
        <f t="shared" si="103"/>
        <v>1.274E-2</v>
      </c>
      <c r="G87" s="32">
        <f t="shared" si="103"/>
        <v>1.274E-2</v>
      </c>
      <c r="H87" s="32">
        <f t="shared" si="103"/>
        <v>1.274E-2</v>
      </c>
      <c r="I87" s="32">
        <f t="shared" si="103"/>
        <v>1.274E-2</v>
      </c>
      <c r="J87" s="32">
        <f t="shared" si="103"/>
        <v>1.274E-2</v>
      </c>
      <c r="K87" s="32">
        <f t="shared" si="103"/>
        <v>1.274E-2</v>
      </c>
      <c r="L87" s="32">
        <f t="shared" si="103"/>
        <v>1.274E-2</v>
      </c>
      <c r="M87" s="32">
        <f t="shared" si="103"/>
        <v>1.274E-2</v>
      </c>
      <c r="N87" s="20"/>
    </row>
    <row r="88" spans="1:14">
      <c r="A88" s="254" t="s">
        <v>17</v>
      </c>
      <c r="B88" s="21">
        <f>B84*B87</f>
        <v>267.53999999999996</v>
      </c>
      <c r="C88" s="21">
        <f t="shared" ref="C88" si="104">C84*C87</f>
        <v>76.44</v>
      </c>
      <c r="D88" s="21">
        <f t="shared" ref="D88" si="105">D84*D87</f>
        <v>0</v>
      </c>
      <c r="E88" s="21">
        <f t="shared" ref="E88" si="106">E84*E87</f>
        <v>38.22</v>
      </c>
      <c r="F88" s="21">
        <f t="shared" ref="F88" si="107">F84*F87</f>
        <v>152.88</v>
      </c>
      <c r="G88" s="21">
        <f t="shared" ref="G88" si="108">G84*G87</f>
        <v>254.79999999999998</v>
      </c>
      <c r="H88" s="21">
        <f t="shared" ref="H88" si="109">H84*H87</f>
        <v>318.5</v>
      </c>
      <c r="I88" s="21">
        <f t="shared" ref="I88" si="110">I84*I87</f>
        <v>267.53999999999996</v>
      </c>
      <c r="J88" s="21">
        <f t="shared" ref="J88" si="111">J84*J87</f>
        <v>267.53999999999996</v>
      </c>
      <c r="K88" s="21">
        <f t="shared" ref="K88" si="112">K84*K87</f>
        <v>101.92</v>
      </c>
      <c r="L88" s="21">
        <f t="shared" ref="L88" si="113">L84*L87</f>
        <v>0</v>
      </c>
      <c r="M88" s="21">
        <f t="shared" ref="M88" si="114">M84*M87</f>
        <v>0</v>
      </c>
      <c r="N88" s="21">
        <f>SUM(B88:M88)</f>
        <v>1745.3799999999999</v>
      </c>
    </row>
    <row r="89" spans="1:14">
      <c r="A89" s="254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14">
      <c r="A90" s="254" t="s">
        <v>38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</row>
    <row r="91" spans="1:14">
      <c r="A91" s="256" t="s">
        <v>47</v>
      </c>
      <c r="B91" s="239">
        <f>B77</f>
        <v>21000</v>
      </c>
      <c r="C91" s="239">
        <f t="shared" ref="C91:M91" si="115">C77</f>
        <v>6000</v>
      </c>
      <c r="D91" s="239">
        <f t="shared" si="115"/>
        <v>0</v>
      </c>
      <c r="E91" s="239">
        <f t="shared" si="115"/>
        <v>3000</v>
      </c>
      <c r="F91" s="239">
        <f t="shared" si="115"/>
        <v>12000</v>
      </c>
      <c r="G91" s="239">
        <f t="shared" si="115"/>
        <v>20000</v>
      </c>
      <c r="H91" s="239">
        <f t="shared" si="115"/>
        <v>25000</v>
      </c>
      <c r="I91" s="239">
        <f t="shared" si="115"/>
        <v>21000</v>
      </c>
      <c r="J91" s="239">
        <f t="shared" si="115"/>
        <v>21000</v>
      </c>
      <c r="K91" s="239">
        <f t="shared" si="115"/>
        <v>8000</v>
      </c>
      <c r="L91" s="239">
        <f t="shared" si="115"/>
        <v>0</v>
      </c>
      <c r="M91" s="239">
        <f t="shared" si="115"/>
        <v>0</v>
      </c>
      <c r="N91" s="21">
        <f>SUM(B91:M91)</f>
        <v>137000</v>
      </c>
    </row>
    <row r="92" spans="1:14">
      <c r="A92" s="256" t="s">
        <v>45</v>
      </c>
      <c r="B92" s="28">
        <f>B91-B93</f>
        <v>381.4432989690722</v>
      </c>
      <c r="C92" s="28">
        <f t="shared" ref="C92" si="116">C91-C93</f>
        <v>108.9837997054492</v>
      </c>
      <c r="D92" s="28">
        <f t="shared" ref="D92" si="117">D91-D93</f>
        <v>0</v>
      </c>
      <c r="E92" s="28">
        <f t="shared" ref="E92" si="118">E91-E93</f>
        <v>54.4918998527246</v>
      </c>
      <c r="F92" s="28">
        <f t="shared" ref="F92" si="119">F91-F93</f>
        <v>217.9675994108984</v>
      </c>
      <c r="G92" s="28">
        <f t="shared" ref="G92" si="120">G91-G93</f>
        <v>363.27933235149612</v>
      </c>
      <c r="H92" s="28">
        <f t="shared" ref="H92" si="121">H91-H93</f>
        <v>454.09916543936924</v>
      </c>
      <c r="I92" s="28">
        <f t="shared" ref="I92" si="122">I91-I93</f>
        <v>381.4432989690722</v>
      </c>
      <c r="J92" s="28">
        <f t="shared" ref="J92" si="123">J91-J93</f>
        <v>381.4432989690722</v>
      </c>
      <c r="K92" s="28">
        <f t="shared" ref="K92" si="124">K91-K93</f>
        <v>145.31173294059863</v>
      </c>
      <c r="L92" s="28">
        <f t="shared" ref="L92" si="125">L91-L93</f>
        <v>0</v>
      </c>
      <c r="M92" s="28">
        <f t="shared" ref="M92" si="126">M91-M93</f>
        <v>0</v>
      </c>
      <c r="N92" s="21">
        <f t="shared" ref="N92:N95" si="127">SUM(B92:M92)</f>
        <v>2488.4634266077528</v>
      </c>
    </row>
    <row r="93" spans="1:14">
      <c r="A93" s="256" t="s">
        <v>433</v>
      </c>
      <c r="B93" s="28">
        <f>B91/(1+'Transmission Formula Rate (7)'!$B$27)</f>
        <v>20618.556701030928</v>
      </c>
      <c r="C93" s="28">
        <f>C91/(1+'Transmission Formula Rate (7)'!$B$27)</f>
        <v>5891.0162002945508</v>
      </c>
      <c r="D93" s="28">
        <f>D91/(1+'Transmission Formula Rate (7)'!$B$27)</f>
        <v>0</v>
      </c>
      <c r="E93" s="28">
        <f>E91/(1+'Transmission Formula Rate (7)'!$B$27)</f>
        <v>2945.5081001472754</v>
      </c>
      <c r="F93" s="28">
        <f>F91/(1+'Transmission Formula Rate (7)'!$B$27)</f>
        <v>11782.032400589102</v>
      </c>
      <c r="G93" s="28">
        <f>G91/(1+'Transmission Formula Rate (7)'!$B$27)</f>
        <v>19636.720667648504</v>
      </c>
      <c r="H93" s="28">
        <f>H91/(1+'Transmission Formula Rate (7)'!$B$27)</f>
        <v>24545.900834560631</v>
      </c>
      <c r="I93" s="28">
        <f>I91/(1+'Transmission Formula Rate (7)'!$B$27)</f>
        <v>20618.556701030928</v>
      </c>
      <c r="J93" s="28">
        <f>J91/(1+'Transmission Formula Rate (7)'!$B$27)</f>
        <v>20618.556701030928</v>
      </c>
      <c r="K93" s="28">
        <f>K91/(1+'Transmission Formula Rate (7)'!$B$27)</f>
        <v>7854.6882670594014</v>
      </c>
      <c r="L93" s="28">
        <f>L91/(1+'Transmission Formula Rate (7)'!$B$27)</f>
        <v>0</v>
      </c>
      <c r="M93" s="28">
        <f>M91/(1+'Transmission Formula Rate (7)'!$B$27)</f>
        <v>0</v>
      </c>
      <c r="N93" s="124">
        <f t="shared" si="127"/>
        <v>134511.53657339225</v>
      </c>
    </row>
    <row r="94" spans="1:14">
      <c r="A94" s="254" t="s">
        <v>150</v>
      </c>
      <c r="B94" s="32">
        <f>'charges (1 &amp; 2)'!F11</f>
        <v>0.1008</v>
      </c>
      <c r="C94" s="32">
        <f>B94</f>
        <v>0.1008</v>
      </c>
      <c r="D94" s="32">
        <f t="shared" ref="D94:M94" si="128">C94</f>
        <v>0.1008</v>
      </c>
      <c r="E94" s="32">
        <f t="shared" si="128"/>
        <v>0.1008</v>
      </c>
      <c r="F94" s="32">
        <f t="shared" si="128"/>
        <v>0.1008</v>
      </c>
      <c r="G94" s="32">
        <f t="shared" si="128"/>
        <v>0.1008</v>
      </c>
      <c r="H94" s="32">
        <f t="shared" si="128"/>
        <v>0.1008</v>
      </c>
      <c r="I94" s="32">
        <f t="shared" si="128"/>
        <v>0.1008</v>
      </c>
      <c r="J94" s="32">
        <f t="shared" si="128"/>
        <v>0.1008</v>
      </c>
      <c r="K94" s="32">
        <f t="shared" si="128"/>
        <v>0.1008</v>
      </c>
      <c r="L94" s="32">
        <f t="shared" si="128"/>
        <v>0.1008</v>
      </c>
      <c r="M94" s="32">
        <f t="shared" si="128"/>
        <v>0.1008</v>
      </c>
      <c r="N94" s="21"/>
    </row>
    <row r="95" spans="1:14">
      <c r="A95" s="254" t="s">
        <v>17</v>
      </c>
      <c r="B95" s="21">
        <f>B91*B94</f>
        <v>2116.8000000000002</v>
      </c>
      <c r="C95" s="21">
        <f t="shared" ref="C95" si="129">C91*C94</f>
        <v>604.79999999999995</v>
      </c>
      <c r="D95" s="21">
        <f t="shared" ref="D95" si="130">D91*D94</f>
        <v>0</v>
      </c>
      <c r="E95" s="21">
        <f t="shared" ref="E95" si="131">E91*E94</f>
        <v>302.39999999999998</v>
      </c>
      <c r="F95" s="21">
        <f t="shared" ref="F95" si="132">F91*F94</f>
        <v>1209.5999999999999</v>
      </c>
      <c r="G95" s="21">
        <f t="shared" ref="G95" si="133">G91*G94</f>
        <v>2016</v>
      </c>
      <c r="H95" s="21">
        <f t="shared" ref="H95" si="134">H91*H94</f>
        <v>2520</v>
      </c>
      <c r="I95" s="21">
        <f t="shared" ref="I95" si="135">I91*I94</f>
        <v>2116.8000000000002</v>
      </c>
      <c r="J95" s="21">
        <f t="shared" ref="J95" si="136">J91*J94</f>
        <v>2116.8000000000002</v>
      </c>
      <c r="K95" s="21">
        <f t="shared" ref="K95" si="137">K91*K94</f>
        <v>806.4</v>
      </c>
      <c r="L95" s="21">
        <f t="shared" ref="L95" si="138">L91*L94</f>
        <v>0</v>
      </c>
      <c r="M95" s="21">
        <f t="shared" ref="M95" si="139">M91*M94</f>
        <v>0</v>
      </c>
      <c r="N95" s="21">
        <f t="shared" si="127"/>
        <v>13809.6</v>
      </c>
    </row>
    <row r="96" spans="1:14">
      <c r="A96" s="254"/>
    </row>
    <row r="97" spans="1:15">
      <c r="B97" s="24" t="s">
        <v>0</v>
      </c>
      <c r="C97" s="24" t="s">
        <v>1</v>
      </c>
      <c r="D97" s="24" t="s">
        <v>2</v>
      </c>
      <c r="E97" s="24" t="s">
        <v>3</v>
      </c>
      <c r="F97" s="24" t="s">
        <v>4</v>
      </c>
      <c r="G97" s="24" t="s">
        <v>5</v>
      </c>
      <c r="H97" s="24" t="s">
        <v>6</v>
      </c>
      <c r="I97" s="24" t="s">
        <v>7</v>
      </c>
      <c r="J97" s="24" t="s">
        <v>8</v>
      </c>
      <c r="K97" s="24" t="s">
        <v>9</v>
      </c>
      <c r="L97" s="24" t="s">
        <v>10</v>
      </c>
      <c r="M97" s="24" t="s">
        <v>11</v>
      </c>
      <c r="N97" s="24" t="s">
        <v>12</v>
      </c>
    </row>
    <row r="98" spans="1:15">
      <c r="A98" s="255">
        <f>A75+1</f>
        <v>2018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1:15">
      <c r="A99" s="254" t="s">
        <v>37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5">
      <c r="A100" s="256" t="s">
        <v>47</v>
      </c>
      <c r="B100" s="239">
        <f>'Homestead Forecast'!E14</f>
        <v>24000</v>
      </c>
      <c r="C100" s="239">
        <f>'Homestead Forecast'!F14</f>
        <v>6000</v>
      </c>
      <c r="D100" s="239">
        <f>'Homestead Forecast'!G14</f>
        <v>0</v>
      </c>
      <c r="E100" s="239">
        <f>'Homestead Forecast'!H14</f>
        <v>3000</v>
      </c>
      <c r="F100" s="239">
        <f>'Homestead Forecast'!I14</f>
        <v>12000</v>
      </c>
      <c r="G100" s="239">
        <f>'Homestead Forecast'!J14</f>
        <v>20000</v>
      </c>
      <c r="H100" s="239">
        <f>'Homestead Forecast'!K14</f>
        <v>25000</v>
      </c>
      <c r="I100" s="239">
        <f>'Homestead Forecast'!L14</f>
        <v>24000</v>
      </c>
      <c r="J100" s="239">
        <f>'Homestead Forecast'!M14</f>
        <v>21000</v>
      </c>
      <c r="K100" s="239">
        <f>'Homestead Forecast'!N14</f>
        <v>8000</v>
      </c>
      <c r="L100" s="239">
        <f>'Homestead Forecast'!O14</f>
        <v>0</v>
      </c>
      <c r="M100" s="239">
        <f>'Homestead Forecast'!P14</f>
        <v>0</v>
      </c>
      <c r="N100" s="21">
        <f>SUM(B100:M100)</f>
        <v>143000</v>
      </c>
    </row>
    <row r="101" spans="1:15">
      <c r="A101" s="256" t="s">
        <v>45</v>
      </c>
      <c r="B101" s="28">
        <f>B100-B102</f>
        <v>435.9351988217968</v>
      </c>
      <c r="C101" s="28">
        <f t="shared" ref="C101" si="140">C100-C102</f>
        <v>108.9837997054492</v>
      </c>
      <c r="D101" s="28">
        <f t="shared" ref="D101" si="141">D100-D102</f>
        <v>0</v>
      </c>
      <c r="E101" s="28">
        <f t="shared" ref="E101" si="142">E100-E102</f>
        <v>54.4918998527246</v>
      </c>
      <c r="F101" s="28">
        <f t="shared" ref="F101" si="143">F100-F102</f>
        <v>217.9675994108984</v>
      </c>
      <c r="G101" s="28">
        <f t="shared" ref="G101" si="144">G100-G102</f>
        <v>363.27933235149612</v>
      </c>
      <c r="H101" s="28">
        <f t="shared" ref="H101" si="145">H100-H102</f>
        <v>454.09916543936924</v>
      </c>
      <c r="I101" s="28">
        <f t="shared" ref="I101" si="146">I100-I102</f>
        <v>435.9351988217968</v>
      </c>
      <c r="J101" s="28">
        <f t="shared" ref="J101" si="147">J100-J102</f>
        <v>381.4432989690722</v>
      </c>
      <c r="K101" s="28">
        <f t="shared" ref="K101" si="148">K100-K102</f>
        <v>145.31173294059863</v>
      </c>
      <c r="L101" s="28">
        <f t="shared" ref="L101" si="149">L100-L102</f>
        <v>0</v>
      </c>
      <c r="M101" s="28">
        <f t="shared" ref="M101" si="150">M100-M102</f>
        <v>0</v>
      </c>
      <c r="N101" s="21">
        <f>SUM(B101:M101)</f>
        <v>2597.447226313202</v>
      </c>
    </row>
    <row r="102" spans="1:15">
      <c r="A102" s="256" t="s">
        <v>433</v>
      </c>
      <c r="B102" s="28">
        <f>B100/(1+'Transmission Formula Rate (7)'!$B$27)</f>
        <v>23564.064801178203</v>
      </c>
      <c r="C102" s="28">
        <f>C100/(1+'Transmission Formula Rate (7)'!$B$27)</f>
        <v>5891.0162002945508</v>
      </c>
      <c r="D102" s="28">
        <f>D100/(1+'Transmission Formula Rate (7)'!$B$27)</f>
        <v>0</v>
      </c>
      <c r="E102" s="28">
        <f>E100/(1+'Transmission Formula Rate (7)'!$B$27)</f>
        <v>2945.5081001472754</v>
      </c>
      <c r="F102" s="28">
        <f>F100/(1+'Transmission Formula Rate (7)'!$B$27)</f>
        <v>11782.032400589102</v>
      </c>
      <c r="G102" s="28">
        <f>G100/(1+'Transmission Formula Rate (7)'!$B$27)</f>
        <v>19636.720667648504</v>
      </c>
      <c r="H102" s="28">
        <f>H100/(1+'Transmission Formula Rate (7)'!$B$27)</f>
        <v>24545.900834560631</v>
      </c>
      <c r="I102" s="28">
        <f>I100/(1+'Transmission Formula Rate (7)'!$B$27)</f>
        <v>23564.064801178203</v>
      </c>
      <c r="J102" s="28">
        <f>J100/(1+'Transmission Formula Rate (7)'!$B$27)</f>
        <v>20618.556701030928</v>
      </c>
      <c r="K102" s="28">
        <f>K100/(1+'Transmission Formula Rate (7)'!$B$27)</f>
        <v>7854.6882670594014</v>
      </c>
      <c r="L102" s="28">
        <f>L100/(1+'Transmission Formula Rate (7)'!$B$27)</f>
        <v>0</v>
      </c>
      <c r="M102" s="28">
        <f>M100/(1+'Transmission Formula Rate (7)'!$B$27)</f>
        <v>0</v>
      </c>
      <c r="N102" s="124">
        <f>SUM(B102:M102)</f>
        <v>140402.5527736868</v>
      </c>
    </row>
    <row r="103" spans="1:15">
      <c r="A103" s="254" t="s">
        <v>20</v>
      </c>
      <c r="B103" s="30">
        <f>'Transmission Formula Rate (7)'!B16</f>
        <v>1.59</v>
      </c>
      <c r="C103" s="30">
        <f>'Transmission Formula Rate (7)'!C16</f>
        <v>1.59</v>
      </c>
      <c r="D103" s="30">
        <f>'Transmission Formula Rate (7)'!D16</f>
        <v>1.59</v>
      </c>
      <c r="E103" s="30">
        <f>'Transmission Formula Rate (7)'!E16</f>
        <v>1.59</v>
      </c>
      <c r="F103" s="30">
        <f>'Transmission Formula Rate (7)'!$F$16</f>
        <v>1.59</v>
      </c>
      <c r="G103" s="30">
        <f>'Transmission Formula Rate (7)'!$F$16</f>
        <v>1.59</v>
      </c>
      <c r="H103" s="30">
        <f>'Transmission Formula Rate (7)'!$F$16</f>
        <v>1.59</v>
      </c>
      <c r="I103" s="30">
        <f>'Transmission Formula Rate (7)'!$F$16</f>
        <v>1.59</v>
      </c>
      <c r="J103" s="30">
        <f>'Transmission Formula Rate (7)'!$F$16</f>
        <v>1.59</v>
      </c>
      <c r="K103" s="30">
        <f>'Transmission Formula Rate (7)'!$F$16</f>
        <v>1.59</v>
      </c>
      <c r="L103" s="30">
        <f>'Transmission Formula Rate (7)'!$F$16</f>
        <v>1.59</v>
      </c>
      <c r="M103" s="30">
        <f>'Transmission Formula Rate (7)'!$F$16</f>
        <v>1.59</v>
      </c>
      <c r="N103" s="20"/>
      <c r="O103" s="277"/>
    </row>
    <row r="104" spans="1:15">
      <c r="A104" s="254" t="s">
        <v>17</v>
      </c>
      <c r="B104" s="21">
        <f>B100*B103</f>
        <v>38160</v>
      </c>
      <c r="C104" s="21">
        <f t="shared" ref="C104" si="151">C100*C103</f>
        <v>9540</v>
      </c>
      <c r="D104" s="21">
        <f t="shared" ref="D104" si="152">D100*D103</f>
        <v>0</v>
      </c>
      <c r="E104" s="21">
        <f t="shared" ref="E104" si="153">E100*E103</f>
        <v>4770</v>
      </c>
      <c r="F104" s="21">
        <f t="shared" ref="F104" si="154">F100*F103</f>
        <v>19080</v>
      </c>
      <c r="G104" s="21">
        <f t="shared" ref="G104" si="155">G100*G103</f>
        <v>31800</v>
      </c>
      <c r="H104" s="21">
        <f t="shared" ref="H104" si="156">H100*H103</f>
        <v>39750</v>
      </c>
      <c r="I104" s="21">
        <f t="shared" ref="I104" si="157">I100*I103</f>
        <v>38160</v>
      </c>
      <c r="J104" s="21">
        <f t="shared" ref="J104" si="158">J100*J103</f>
        <v>33390</v>
      </c>
      <c r="K104" s="21">
        <f t="shared" ref="K104" si="159">K100*K103</f>
        <v>12720</v>
      </c>
      <c r="L104" s="21">
        <f t="shared" ref="L104" si="160">L100*L103</f>
        <v>0</v>
      </c>
      <c r="M104" s="21">
        <f t="shared" ref="M104" si="161">M100*M103</f>
        <v>0</v>
      </c>
      <c r="N104" s="21">
        <f>SUM(B104:M104)</f>
        <v>227370</v>
      </c>
    </row>
    <row r="106" spans="1:15">
      <c r="A106" s="254" t="s">
        <v>141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5">
      <c r="A107" s="256" t="s">
        <v>47</v>
      </c>
      <c r="B107" s="239">
        <f>B100</f>
        <v>24000</v>
      </c>
      <c r="C107" s="239">
        <f t="shared" ref="C107:M107" si="162">C100</f>
        <v>6000</v>
      </c>
      <c r="D107" s="239">
        <f t="shared" si="162"/>
        <v>0</v>
      </c>
      <c r="E107" s="239">
        <f t="shared" si="162"/>
        <v>3000</v>
      </c>
      <c r="F107" s="239">
        <f t="shared" si="162"/>
        <v>12000</v>
      </c>
      <c r="G107" s="239">
        <f t="shared" si="162"/>
        <v>20000</v>
      </c>
      <c r="H107" s="239">
        <f t="shared" si="162"/>
        <v>25000</v>
      </c>
      <c r="I107" s="239">
        <f t="shared" si="162"/>
        <v>24000</v>
      </c>
      <c r="J107" s="239">
        <f t="shared" si="162"/>
        <v>21000</v>
      </c>
      <c r="K107" s="239">
        <f t="shared" si="162"/>
        <v>8000</v>
      </c>
      <c r="L107" s="239">
        <f t="shared" si="162"/>
        <v>0</v>
      </c>
      <c r="M107" s="239">
        <f t="shared" si="162"/>
        <v>0</v>
      </c>
      <c r="N107" s="21">
        <f>SUM(B107:M107)</f>
        <v>143000</v>
      </c>
    </row>
    <row r="108" spans="1:15">
      <c r="A108" s="256" t="s">
        <v>45</v>
      </c>
      <c r="B108" s="28">
        <f>B107-B109</f>
        <v>435.9351988217968</v>
      </c>
      <c r="C108" s="28">
        <f t="shared" ref="C108" si="163">C107-C109</f>
        <v>108.9837997054492</v>
      </c>
      <c r="D108" s="28">
        <f t="shared" ref="D108" si="164">D107-D109</f>
        <v>0</v>
      </c>
      <c r="E108" s="28">
        <f t="shared" ref="E108" si="165">E107-E109</f>
        <v>54.4918998527246</v>
      </c>
      <c r="F108" s="28">
        <f t="shared" ref="F108" si="166">F107-F109</f>
        <v>217.9675994108984</v>
      </c>
      <c r="G108" s="28">
        <f t="shared" ref="G108" si="167">G107-G109</f>
        <v>363.27933235149612</v>
      </c>
      <c r="H108" s="28">
        <f t="shared" ref="H108" si="168">H107-H109</f>
        <v>454.09916543936924</v>
      </c>
      <c r="I108" s="28">
        <f t="shared" ref="I108" si="169">I107-I109</f>
        <v>435.9351988217968</v>
      </c>
      <c r="J108" s="28">
        <f t="shared" ref="J108" si="170">J107-J109</f>
        <v>381.4432989690722</v>
      </c>
      <c r="K108" s="28">
        <f t="shared" ref="K108" si="171">K107-K109</f>
        <v>145.31173294059863</v>
      </c>
      <c r="L108" s="28">
        <f t="shared" ref="L108" si="172">L107-L109</f>
        <v>0</v>
      </c>
      <c r="M108" s="28">
        <f t="shared" ref="M108" si="173">M107-M109</f>
        <v>0</v>
      </c>
      <c r="N108" s="21">
        <f>SUM(B108:M108)</f>
        <v>2597.447226313202</v>
      </c>
    </row>
    <row r="109" spans="1:15">
      <c r="A109" s="256" t="s">
        <v>433</v>
      </c>
      <c r="B109" s="28">
        <f>B107/(1+'Transmission Formula Rate (7)'!$B$27)</f>
        <v>23564.064801178203</v>
      </c>
      <c r="C109" s="28">
        <f>C107/(1+'Transmission Formula Rate (7)'!$B$27)</f>
        <v>5891.0162002945508</v>
      </c>
      <c r="D109" s="28">
        <f>D107/(1+'Transmission Formula Rate (7)'!$B$27)</f>
        <v>0</v>
      </c>
      <c r="E109" s="28">
        <f>E107/(1+'Transmission Formula Rate (7)'!$B$27)</f>
        <v>2945.5081001472754</v>
      </c>
      <c r="F109" s="28">
        <f>F107/(1+'Transmission Formula Rate (7)'!$B$27)</f>
        <v>11782.032400589102</v>
      </c>
      <c r="G109" s="28">
        <f>G107/(1+'Transmission Formula Rate (7)'!$B$27)</f>
        <v>19636.720667648504</v>
      </c>
      <c r="H109" s="28">
        <f>H107/(1+'Transmission Formula Rate (7)'!$B$27)</f>
        <v>24545.900834560631</v>
      </c>
      <c r="I109" s="28">
        <f>I107/(1+'Transmission Formula Rate (7)'!$B$27)</f>
        <v>23564.064801178203</v>
      </c>
      <c r="J109" s="28">
        <f>J107/(1+'Transmission Formula Rate (7)'!$B$27)</f>
        <v>20618.556701030928</v>
      </c>
      <c r="K109" s="28">
        <f>K107/(1+'Transmission Formula Rate (7)'!$B$27)</f>
        <v>7854.6882670594014</v>
      </c>
      <c r="L109" s="28">
        <f>L107/(1+'Transmission Formula Rate (7)'!$B$27)</f>
        <v>0</v>
      </c>
      <c r="M109" s="28">
        <f>M107/(1+'Transmission Formula Rate (7)'!$B$27)</f>
        <v>0</v>
      </c>
      <c r="N109" s="124">
        <f>SUM(B109:M109)</f>
        <v>140402.5527736868</v>
      </c>
    </row>
    <row r="110" spans="1:15">
      <c r="A110" s="254" t="s">
        <v>149</v>
      </c>
      <c r="B110" s="32">
        <f>'charges (1 &amp; 2)'!$H$39</f>
        <v>1.274E-2</v>
      </c>
      <c r="C110" s="32">
        <f>B110</f>
        <v>1.274E-2</v>
      </c>
      <c r="D110" s="32">
        <f t="shared" ref="D110:E110" si="174">C110</f>
        <v>1.274E-2</v>
      </c>
      <c r="E110" s="32">
        <f t="shared" si="174"/>
        <v>1.274E-2</v>
      </c>
      <c r="F110" s="32">
        <f>$E$110</f>
        <v>1.274E-2</v>
      </c>
      <c r="G110" s="32">
        <f t="shared" ref="G110:M110" si="175">$E$110</f>
        <v>1.274E-2</v>
      </c>
      <c r="H110" s="32">
        <f t="shared" si="175"/>
        <v>1.274E-2</v>
      </c>
      <c r="I110" s="32">
        <f t="shared" si="175"/>
        <v>1.274E-2</v>
      </c>
      <c r="J110" s="32">
        <f t="shared" si="175"/>
        <v>1.274E-2</v>
      </c>
      <c r="K110" s="32">
        <f t="shared" si="175"/>
        <v>1.274E-2</v>
      </c>
      <c r="L110" s="32">
        <f t="shared" si="175"/>
        <v>1.274E-2</v>
      </c>
      <c r="M110" s="32">
        <f t="shared" si="175"/>
        <v>1.274E-2</v>
      </c>
      <c r="N110" s="20"/>
    </row>
    <row r="111" spans="1:15">
      <c r="A111" s="254" t="s">
        <v>17</v>
      </c>
      <c r="B111" s="21">
        <f>B107*B110</f>
        <v>305.76</v>
      </c>
      <c r="C111" s="21">
        <f t="shared" ref="C111" si="176">C107*C110</f>
        <v>76.44</v>
      </c>
      <c r="D111" s="21">
        <f t="shared" ref="D111" si="177">D107*D110</f>
        <v>0</v>
      </c>
      <c r="E111" s="21">
        <f t="shared" ref="E111" si="178">E107*E110</f>
        <v>38.22</v>
      </c>
      <c r="F111" s="21">
        <f t="shared" ref="F111" si="179">F107*F110</f>
        <v>152.88</v>
      </c>
      <c r="G111" s="21">
        <f t="shared" ref="G111" si="180">G107*G110</f>
        <v>254.79999999999998</v>
      </c>
      <c r="H111" s="21">
        <f t="shared" ref="H111" si="181">H107*H110</f>
        <v>318.5</v>
      </c>
      <c r="I111" s="21">
        <f t="shared" ref="I111" si="182">I107*I110</f>
        <v>305.76</v>
      </c>
      <c r="J111" s="21">
        <f t="shared" ref="J111" si="183">J107*J110</f>
        <v>267.53999999999996</v>
      </c>
      <c r="K111" s="21">
        <f t="shared" ref="K111" si="184">K107*K110</f>
        <v>101.92</v>
      </c>
      <c r="L111" s="21">
        <f t="shared" ref="L111" si="185">L107*L110</f>
        <v>0</v>
      </c>
      <c r="M111" s="21">
        <f t="shared" ref="M111" si="186">M107*M110</f>
        <v>0</v>
      </c>
      <c r="N111" s="21">
        <f>SUM(B111:M111)</f>
        <v>1821.82</v>
      </c>
    </row>
    <row r="112" spans="1:15">
      <c r="A112" s="254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5">
      <c r="A113" s="254" t="s">
        <v>38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</row>
    <row r="114" spans="1:15">
      <c r="A114" s="256" t="s">
        <v>47</v>
      </c>
      <c r="B114" s="239">
        <f>B100</f>
        <v>24000</v>
      </c>
      <c r="C114" s="239">
        <f t="shared" ref="C114:M114" si="187">C100</f>
        <v>6000</v>
      </c>
      <c r="D114" s="239">
        <f t="shared" si="187"/>
        <v>0</v>
      </c>
      <c r="E114" s="239">
        <f t="shared" si="187"/>
        <v>3000</v>
      </c>
      <c r="F114" s="239">
        <f t="shared" si="187"/>
        <v>12000</v>
      </c>
      <c r="G114" s="239">
        <f t="shared" si="187"/>
        <v>20000</v>
      </c>
      <c r="H114" s="239">
        <f t="shared" si="187"/>
        <v>25000</v>
      </c>
      <c r="I114" s="239">
        <f t="shared" si="187"/>
        <v>24000</v>
      </c>
      <c r="J114" s="239">
        <f t="shared" si="187"/>
        <v>21000</v>
      </c>
      <c r="K114" s="239">
        <f t="shared" si="187"/>
        <v>8000</v>
      </c>
      <c r="L114" s="239">
        <f t="shared" si="187"/>
        <v>0</v>
      </c>
      <c r="M114" s="239">
        <f t="shared" si="187"/>
        <v>0</v>
      </c>
      <c r="N114" s="21">
        <f>SUM(B114:M114)</f>
        <v>143000</v>
      </c>
    </row>
    <row r="115" spans="1:15">
      <c r="A115" s="256" t="s">
        <v>45</v>
      </c>
      <c r="B115" s="28">
        <f>B114-B116</f>
        <v>435.9351988217968</v>
      </c>
      <c r="C115" s="28">
        <f t="shared" ref="C115" si="188">C114-C116</f>
        <v>108.9837997054492</v>
      </c>
      <c r="D115" s="28">
        <f t="shared" ref="D115" si="189">D114-D116</f>
        <v>0</v>
      </c>
      <c r="E115" s="28">
        <f t="shared" ref="E115" si="190">E114-E116</f>
        <v>54.4918998527246</v>
      </c>
      <c r="F115" s="28">
        <f t="shared" ref="F115" si="191">F114-F116</f>
        <v>217.9675994108984</v>
      </c>
      <c r="G115" s="28">
        <f t="shared" ref="G115" si="192">G114-G116</f>
        <v>363.27933235149612</v>
      </c>
      <c r="H115" s="28">
        <f t="shared" ref="H115" si="193">H114-H116</f>
        <v>454.09916543936924</v>
      </c>
      <c r="I115" s="28">
        <f t="shared" ref="I115" si="194">I114-I116</f>
        <v>435.9351988217968</v>
      </c>
      <c r="J115" s="28">
        <f t="shared" ref="J115" si="195">J114-J116</f>
        <v>381.4432989690722</v>
      </c>
      <c r="K115" s="28">
        <f t="shared" ref="K115" si="196">K114-K116</f>
        <v>145.31173294059863</v>
      </c>
      <c r="L115" s="28">
        <f t="shared" ref="L115" si="197">L114-L116</f>
        <v>0</v>
      </c>
      <c r="M115" s="28">
        <f t="shared" ref="M115" si="198">M114-M116</f>
        <v>0</v>
      </c>
      <c r="N115" s="21">
        <f t="shared" ref="N115:N118" si="199">SUM(B115:M115)</f>
        <v>2597.447226313202</v>
      </c>
    </row>
    <row r="116" spans="1:15">
      <c r="A116" s="256" t="s">
        <v>433</v>
      </c>
      <c r="B116" s="28">
        <f>B114/(1+'Transmission Formula Rate (7)'!$B$27)</f>
        <v>23564.064801178203</v>
      </c>
      <c r="C116" s="28">
        <f>C114/(1+'Transmission Formula Rate (7)'!$B$27)</f>
        <v>5891.0162002945508</v>
      </c>
      <c r="D116" s="28">
        <f>D114/(1+'Transmission Formula Rate (7)'!$B$27)</f>
        <v>0</v>
      </c>
      <c r="E116" s="28">
        <f>E114/(1+'Transmission Formula Rate (7)'!$B$27)</f>
        <v>2945.5081001472754</v>
      </c>
      <c r="F116" s="28">
        <f>F114/(1+'Transmission Formula Rate (7)'!$B$27)</f>
        <v>11782.032400589102</v>
      </c>
      <c r="G116" s="28">
        <f>G114/(1+'Transmission Formula Rate (7)'!$B$27)</f>
        <v>19636.720667648504</v>
      </c>
      <c r="H116" s="28">
        <f>H114/(1+'Transmission Formula Rate (7)'!$B$27)</f>
        <v>24545.900834560631</v>
      </c>
      <c r="I116" s="28">
        <f>I114/(1+'Transmission Formula Rate (7)'!$B$27)</f>
        <v>23564.064801178203</v>
      </c>
      <c r="J116" s="28">
        <f>J114/(1+'Transmission Formula Rate (7)'!$B$27)</f>
        <v>20618.556701030928</v>
      </c>
      <c r="K116" s="28">
        <f>K114/(1+'Transmission Formula Rate (7)'!$B$27)</f>
        <v>7854.6882670594014</v>
      </c>
      <c r="L116" s="28">
        <f>L114/(1+'Transmission Formula Rate (7)'!$B$27)</f>
        <v>0</v>
      </c>
      <c r="M116" s="28">
        <f>M114/(1+'Transmission Formula Rate (7)'!$B$27)</f>
        <v>0</v>
      </c>
      <c r="N116" s="124">
        <f t="shared" si="199"/>
        <v>140402.5527736868</v>
      </c>
    </row>
    <row r="117" spans="1:15">
      <c r="A117" s="254" t="s">
        <v>150</v>
      </c>
      <c r="B117" s="32">
        <f>'charges (1 &amp; 2)'!G11</f>
        <v>0.1008</v>
      </c>
      <c r="C117" s="32">
        <f>B117</f>
        <v>0.1008</v>
      </c>
      <c r="D117" s="32">
        <f t="shared" ref="D117:M117" si="200">C117</f>
        <v>0.1008</v>
      </c>
      <c r="E117" s="32">
        <f t="shared" si="200"/>
        <v>0.1008</v>
      </c>
      <c r="F117" s="32">
        <f t="shared" si="200"/>
        <v>0.1008</v>
      </c>
      <c r="G117" s="32">
        <f t="shared" si="200"/>
        <v>0.1008</v>
      </c>
      <c r="H117" s="32">
        <f t="shared" si="200"/>
        <v>0.1008</v>
      </c>
      <c r="I117" s="32">
        <f t="shared" si="200"/>
        <v>0.1008</v>
      </c>
      <c r="J117" s="32">
        <f t="shared" si="200"/>
        <v>0.1008</v>
      </c>
      <c r="K117" s="32">
        <f t="shared" si="200"/>
        <v>0.1008</v>
      </c>
      <c r="L117" s="32">
        <f t="shared" si="200"/>
        <v>0.1008</v>
      </c>
      <c r="M117" s="32">
        <f t="shared" si="200"/>
        <v>0.1008</v>
      </c>
      <c r="N117" s="21"/>
    </row>
    <row r="118" spans="1:15">
      <c r="A118" s="254" t="s">
        <v>17</v>
      </c>
      <c r="B118" s="21">
        <f>B114*B117</f>
        <v>2419.1999999999998</v>
      </c>
      <c r="C118" s="21">
        <f t="shared" ref="C118" si="201">C114*C117</f>
        <v>604.79999999999995</v>
      </c>
      <c r="D118" s="21">
        <f t="shared" ref="D118" si="202">D114*D117</f>
        <v>0</v>
      </c>
      <c r="E118" s="21">
        <f t="shared" ref="E118" si="203">E114*E117</f>
        <v>302.39999999999998</v>
      </c>
      <c r="F118" s="21">
        <f t="shared" ref="F118" si="204">F114*F117</f>
        <v>1209.5999999999999</v>
      </c>
      <c r="G118" s="21">
        <f t="shared" ref="G118" si="205">G114*G117</f>
        <v>2016</v>
      </c>
      <c r="H118" s="21">
        <f t="shared" ref="H118" si="206">H114*H117</f>
        <v>2520</v>
      </c>
      <c r="I118" s="21">
        <f t="shared" ref="I118" si="207">I114*I117</f>
        <v>2419.1999999999998</v>
      </c>
      <c r="J118" s="21">
        <f t="shared" ref="J118" si="208">J114*J117</f>
        <v>2116.8000000000002</v>
      </c>
      <c r="K118" s="21">
        <f t="shared" ref="K118" si="209">K114*K117</f>
        <v>806.4</v>
      </c>
      <c r="L118" s="21">
        <f t="shared" ref="L118" si="210">L114*L117</f>
        <v>0</v>
      </c>
      <c r="M118" s="21">
        <f t="shared" ref="M118" si="211">M114*M117</f>
        <v>0</v>
      </c>
      <c r="N118" s="21">
        <f t="shared" si="199"/>
        <v>14414.4</v>
      </c>
    </row>
    <row r="120" spans="1:15">
      <c r="B120" s="24" t="s">
        <v>0</v>
      </c>
      <c r="C120" s="24" t="s">
        <v>1</v>
      </c>
      <c r="D120" s="24" t="s">
        <v>2</v>
      </c>
      <c r="E120" s="24" t="s">
        <v>3</v>
      </c>
      <c r="F120" s="24" t="s">
        <v>4</v>
      </c>
      <c r="G120" s="24" t="s">
        <v>5</v>
      </c>
      <c r="H120" s="24" t="s">
        <v>6</v>
      </c>
      <c r="I120" s="24" t="s">
        <v>7</v>
      </c>
      <c r="J120" s="24" t="s">
        <v>8</v>
      </c>
      <c r="K120" s="24" t="s">
        <v>9</v>
      </c>
      <c r="L120" s="24" t="s">
        <v>10</v>
      </c>
      <c r="M120" s="24" t="s">
        <v>11</v>
      </c>
      <c r="N120" s="24" t="s">
        <v>12</v>
      </c>
    </row>
    <row r="121" spans="1:15">
      <c r="A121" s="255">
        <f>A98+1</f>
        <v>2019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1:15">
      <c r="A122" s="254" t="s">
        <v>37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5">
      <c r="A123" s="256" t="s">
        <v>47</v>
      </c>
      <c r="B123" s="239">
        <f>'Homestead Forecast'!E15</f>
        <v>27000</v>
      </c>
      <c r="C123" s="239">
        <f>'Homestead Forecast'!F15</f>
        <v>6000</v>
      </c>
      <c r="D123" s="239">
        <f>'Homestead Forecast'!G15</f>
        <v>0</v>
      </c>
      <c r="E123" s="239">
        <f>'Homestead Forecast'!H15</f>
        <v>3000</v>
      </c>
      <c r="F123" s="239">
        <f>'Homestead Forecast'!I15</f>
        <v>12000</v>
      </c>
      <c r="G123" s="239">
        <f>'Homestead Forecast'!J15</f>
        <v>20000</v>
      </c>
      <c r="H123" s="239">
        <f>'Homestead Forecast'!K15</f>
        <v>25000</v>
      </c>
      <c r="I123" s="239">
        <f>'Homestead Forecast'!L15</f>
        <v>27000</v>
      </c>
      <c r="J123" s="239">
        <f>'Homestead Forecast'!M15</f>
        <v>21000</v>
      </c>
      <c r="K123" s="239">
        <f>'Homestead Forecast'!N15</f>
        <v>8000</v>
      </c>
      <c r="L123" s="239">
        <f>'Homestead Forecast'!O15</f>
        <v>0</v>
      </c>
      <c r="M123" s="239">
        <f>'Homestead Forecast'!P15</f>
        <v>0</v>
      </c>
      <c r="N123" s="21">
        <f>SUM(B123:M123)</f>
        <v>149000</v>
      </c>
    </row>
    <row r="124" spans="1:15">
      <c r="A124" s="256" t="s">
        <v>45</v>
      </c>
      <c r="B124" s="28">
        <f>B123-B125</f>
        <v>490.4270986745214</v>
      </c>
      <c r="C124" s="28">
        <f t="shared" ref="C124" si="212">C123-C125</f>
        <v>108.9837997054492</v>
      </c>
      <c r="D124" s="28">
        <f t="shared" ref="D124" si="213">D123-D125</f>
        <v>0</v>
      </c>
      <c r="E124" s="28">
        <f t="shared" ref="E124" si="214">E123-E125</f>
        <v>54.4918998527246</v>
      </c>
      <c r="F124" s="28">
        <f t="shared" ref="F124" si="215">F123-F125</f>
        <v>217.9675994108984</v>
      </c>
      <c r="G124" s="28">
        <f t="shared" ref="G124" si="216">G123-G125</f>
        <v>363.27933235149612</v>
      </c>
      <c r="H124" s="28">
        <f t="shared" ref="H124" si="217">H123-H125</f>
        <v>454.09916543936924</v>
      </c>
      <c r="I124" s="28">
        <f t="shared" ref="I124" si="218">I123-I125</f>
        <v>490.4270986745214</v>
      </c>
      <c r="J124" s="28">
        <f t="shared" ref="J124" si="219">J123-J125</f>
        <v>381.4432989690722</v>
      </c>
      <c r="K124" s="28">
        <f t="shared" ref="K124" si="220">K123-K125</f>
        <v>145.31173294059863</v>
      </c>
      <c r="L124" s="28">
        <f t="shared" ref="L124" si="221">L123-L125</f>
        <v>0</v>
      </c>
      <c r="M124" s="28">
        <f t="shared" ref="M124" si="222">M123-M125</f>
        <v>0</v>
      </c>
      <c r="N124" s="21">
        <f>SUM(B124:M124)</f>
        <v>2706.4310260186512</v>
      </c>
    </row>
    <row r="125" spans="1:15">
      <c r="A125" s="256" t="s">
        <v>433</v>
      </c>
      <c r="B125" s="28">
        <f>B123/(1+'Transmission Formula Rate (7)'!$B$27)</f>
        <v>26509.572901325479</v>
      </c>
      <c r="C125" s="28">
        <f>C123/(1+'Transmission Formula Rate (7)'!$B$27)</f>
        <v>5891.0162002945508</v>
      </c>
      <c r="D125" s="28">
        <f>D123/(1+'Transmission Formula Rate (7)'!$B$27)</f>
        <v>0</v>
      </c>
      <c r="E125" s="28">
        <f>E123/(1+'Transmission Formula Rate (7)'!$B$27)</f>
        <v>2945.5081001472754</v>
      </c>
      <c r="F125" s="28">
        <f>F123/(1+'Transmission Formula Rate (7)'!$B$27)</f>
        <v>11782.032400589102</v>
      </c>
      <c r="G125" s="28">
        <f>G123/(1+'Transmission Formula Rate (7)'!$B$27)</f>
        <v>19636.720667648504</v>
      </c>
      <c r="H125" s="28">
        <f>H123/(1+'Transmission Formula Rate (7)'!$B$27)</f>
        <v>24545.900834560631</v>
      </c>
      <c r="I125" s="28">
        <f>I123/(1+'Transmission Formula Rate (7)'!$B$27)</f>
        <v>26509.572901325479</v>
      </c>
      <c r="J125" s="28">
        <f>J123/(1+'Transmission Formula Rate (7)'!$B$27)</f>
        <v>20618.556701030928</v>
      </c>
      <c r="K125" s="28">
        <f>K123/(1+'Transmission Formula Rate (7)'!$B$27)</f>
        <v>7854.6882670594014</v>
      </c>
      <c r="L125" s="28">
        <f>L123/(1+'Transmission Formula Rate (7)'!$B$27)</f>
        <v>0</v>
      </c>
      <c r="M125" s="28">
        <f>M123/(1+'Transmission Formula Rate (7)'!$B$27)</f>
        <v>0</v>
      </c>
      <c r="N125" s="124">
        <f>SUM(B125:M125)</f>
        <v>146293.56897398134</v>
      </c>
    </row>
    <row r="126" spans="1:15">
      <c r="A126" s="254" t="s">
        <v>20</v>
      </c>
      <c r="B126" s="30">
        <f>B103</f>
        <v>1.59</v>
      </c>
      <c r="C126" s="30">
        <f t="shared" ref="C126:M126" si="223">C103</f>
        <v>1.59</v>
      </c>
      <c r="D126" s="30">
        <f t="shared" si="223"/>
        <v>1.59</v>
      </c>
      <c r="E126" s="30">
        <f t="shared" si="223"/>
        <v>1.59</v>
      </c>
      <c r="F126" s="30">
        <f t="shared" si="223"/>
        <v>1.59</v>
      </c>
      <c r="G126" s="30">
        <f t="shared" si="223"/>
        <v>1.59</v>
      </c>
      <c r="H126" s="30">
        <f t="shared" si="223"/>
        <v>1.59</v>
      </c>
      <c r="I126" s="30">
        <f t="shared" si="223"/>
        <v>1.59</v>
      </c>
      <c r="J126" s="30">
        <f t="shared" si="223"/>
        <v>1.59</v>
      </c>
      <c r="K126" s="30">
        <f t="shared" si="223"/>
        <v>1.59</v>
      </c>
      <c r="L126" s="30">
        <f t="shared" si="223"/>
        <v>1.59</v>
      </c>
      <c r="M126" s="30">
        <f t="shared" si="223"/>
        <v>1.59</v>
      </c>
      <c r="N126" s="20"/>
      <c r="O126" s="277"/>
    </row>
    <row r="127" spans="1:15">
      <c r="A127" s="254" t="s">
        <v>17</v>
      </c>
      <c r="B127" s="21">
        <f>B123*B126</f>
        <v>42930</v>
      </c>
      <c r="C127" s="21">
        <f t="shared" ref="C127" si="224">C123*C126</f>
        <v>9540</v>
      </c>
      <c r="D127" s="21">
        <f t="shared" ref="D127" si="225">D123*D126</f>
        <v>0</v>
      </c>
      <c r="E127" s="21">
        <f t="shared" ref="E127" si="226">E123*E126</f>
        <v>4770</v>
      </c>
      <c r="F127" s="21">
        <f t="shared" ref="F127" si="227">F123*F126</f>
        <v>19080</v>
      </c>
      <c r="G127" s="21">
        <f t="shared" ref="G127" si="228">G123*G126</f>
        <v>31800</v>
      </c>
      <c r="H127" s="21">
        <f t="shared" ref="H127" si="229">H123*H126</f>
        <v>39750</v>
      </c>
      <c r="I127" s="21">
        <f t="shared" ref="I127" si="230">I123*I126</f>
        <v>42930</v>
      </c>
      <c r="J127" s="21">
        <f t="shared" ref="J127" si="231">J123*J126</f>
        <v>33390</v>
      </c>
      <c r="K127" s="21">
        <f t="shared" ref="K127" si="232">K123*K126</f>
        <v>12720</v>
      </c>
      <c r="L127" s="21">
        <f t="shared" ref="L127" si="233">L123*L126</f>
        <v>0</v>
      </c>
      <c r="M127" s="21">
        <f t="shared" ref="M127" si="234">M123*M126</f>
        <v>0</v>
      </c>
      <c r="N127" s="21">
        <f>SUM(B127:M127)</f>
        <v>236910</v>
      </c>
    </row>
    <row r="129" spans="1:14">
      <c r="A129" s="254" t="s">
        <v>141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>
      <c r="A130" s="256" t="s">
        <v>47</v>
      </c>
      <c r="B130" s="239">
        <f>B123</f>
        <v>27000</v>
      </c>
      <c r="C130" s="239">
        <f t="shared" ref="C130:M130" si="235">C123</f>
        <v>6000</v>
      </c>
      <c r="D130" s="239">
        <f t="shared" si="235"/>
        <v>0</v>
      </c>
      <c r="E130" s="239">
        <f t="shared" si="235"/>
        <v>3000</v>
      </c>
      <c r="F130" s="239">
        <f t="shared" si="235"/>
        <v>12000</v>
      </c>
      <c r="G130" s="239">
        <f t="shared" si="235"/>
        <v>20000</v>
      </c>
      <c r="H130" s="239">
        <f t="shared" si="235"/>
        <v>25000</v>
      </c>
      <c r="I130" s="239">
        <f t="shared" si="235"/>
        <v>27000</v>
      </c>
      <c r="J130" s="239">
        <f t="shared" si="235"/>
        <v>21000</v>
      </c>
      <c r="K130" s="239">
        <f t="shared" si="235"/>
        <v>8000</v>
      </c>
      <c r="L130" s="239">
        <f t="shared" si="235"/>
        <v>0</v>
      </c>
      <c r="M130" s="239">
        <f t="shared" si="235"/>
        <v>0</v>
      </c>
      <c r="N130" s="21">
        <f>SUM(B130:M130)</f>
        <v>149000</v>
      </c>
    </row>
    <row r="131" spans="1:14">
      <c r="A131" s="256" t="s">
        <v>45</v>
      </c>
      <c r="B131" s="28">
        <f>B130-B132</f>
        <v>490.4270986745214</v>
      </c>
      <c r="C131" s="28">
        <f t="shared" ref="C131" si="236">C130-C132</f>
        <v>108.9837997054492</v>
      </c>
      <c r="D131" s="28">
        <f t="shared" ref="D131" si="237">D130-D132</f>
        <v>0</v>
      </c>
      <c r="E131" s="28">
        <f t="shared" ref="E131" si="238">E130-E132</f>
        <v>54.4918998527246</v>
      </c>
      <c r="F131" s="28">
        <f t="shared" ref="F131" si="239">F130-F132</f>
        <v>217.9675994108984</v>
      </c>
      <c r="G131" s="28">
        <f t="shared" ref="G131" si="240">G130-G132</f>
        <v>363.27933235149612</v>
      </c>
      <c r="H131" s="28">
        <f t="shared" ref="H131" si="241">H130-H132</f>
        <v>454.09916543936924</v>
      </c>
      <c r="I131" s="28">
        <f t="shared" ref="I131" si="242">I130-I132</f>
        <v>490.4270986745214</v>
      </c>
      <c r="J131" s="28">
        <f t="shared" ref="J131" si="243">J130-J132</f>
        <v>381.4432989690722</v>
      </c>
      <c r="K131" s="28">
        <f t="shared" ref="K131" si="244">K130-K132</f>
        <v>145.31173294059863</v>
      </c>
      <c r="L131" s="28">
        <f t="shared" ref="L131" si="245">L130-L132</f>
        <v>0</v>
      </c>
      <c r="M131" s="28">
        <f t="shared" ref="M131" si="246">M130-M132</f>
        <v>0</v>
      </c>
      <c r="N131" s="21">
        <f>SUM(B131:M131)</f>
        <v>2706.4310260186512</v>
      </c>
    </row>
    <row r="132" spans="1:14">
      <c r="A132" s="256" t="s">
        <v>433</v>
      </c>
      <c r="B132" s="28">
        <f>B130/(1+'Transmission Formula Rate (7)'!$B$27)</f>
        <v>26509.572901325479</v>
      </c>
      <c r="C132" s="28">
        <f>C130/(1+'Transmission Formula Rate (7)'!$B$27)</f>
        <v>5891.0162002945508</v>
      </c>
      <c r="D132" s="28">
        <f>D130/(1+'Transmission Formula Rate (7)'!$B$27)</f>
        <v>0</v>
      </c>
      <c r="E132" s="28">
        <f>E130/(1+'Transmission Formula Rate (7)'!$B$27)</f>
        <v>2945.5081001472754</v>
      </c>
      <c r="F132" s="28">
        <f>F130/(1+'Transmission Formula Rate (7)'!$B$27)</f>
        <v>11782.032400589102</v>
      </c>
      <c r="G132" s="28">
        <f>G130/(1+'Transmission Formula Rate (7)'!$B$27)</f>
        <v>19636.720667648504</v>
      </c>
      <c r="H132" s="28">
        <f>H130/(1+'Transmission Formula Rate (7)'!$B$27)</f>
        <v>24545.900834560631</v>
      </c>
      <c r="I132" s="28">
        <f>I130/(1+'Transmission Formula Rate (7)'!$B$27)</f>
        <v>26509.572901325479</v>
      </c>
      <c r="J132" s="28">
        <f>J130/(1+'Transmission Formula Rate (7)'!$B$27)</f>
        <v>20618.556701030928</v>
      </c>
      <c r="K132" s="28">
        <f>K130/(1+'Transmission Formula Rate (7)'!$B$27)</f>
        <v>7854.6882670594014</v>
      </c>
      <c r="L132" s="28">
        <f>L130/(1+'Transmission Formula Rate (7)'!$B$27)</f>
        <v>0</v>
      </c>
      <c r="M132" s="28">
        <f>M130/(1+'Transmission Formula Rate (7)'!$B$27)</f>
        <v>0</v>
      </c>
      <c r="N132" s="124">
        <f>SUM(B132:M132)</f>
        <v>146293.56897398134</v>
      </c>
    </row>
    <row r="133" spans="1:14">
      <c r="A133" s="254" t="s">
        <v>149</v>
      </c>
      <c r="B133" s="32">
        <f>'charges (1 &amp; 2)'!$H$39</f>
        <v>1.274E-2</v>
      </c>
      <c r="C133" s="32">
        <f>B133</f>
        <v>1.274E-2</v>
      </c>
      <c r="D133" s="32">
        <f t="shared" ref="D133:M133" si="247">C133</f>
        <v>1.274E-2</v>
      </c>
      <c r="E133" s="32">
        <f t="shared" si="247"/>
        <v>1.274E-2</v>
      </c>
      <c r="F133" s="32">
        <f t="shared" si="247"/>
        <v>1.274E-2</v>
      </c>
      <c r="G133" s="32">
        <f t="shared" si="247"/>
        <v>1.274E-2</v>
      </c>
      <c r="H133" s="32">
        <f t="shared" si="247"/>
        <v>1.274E-2</v>
      </c>
      <c r="I133" s="32">
        <f t="shared" si="247"/>
        <v>1.274E-2</v>
      </c>
      <c r="J133" s="32">
        <f t="shared" si="247"/>
        <v>1.274E-2</v>
      </c>
      <c r="K133" s="32">
        <f t="shared" si="247"/>
        <v>1.274E-2</v>
      </c>
      <c r="L133" s="32">
        <f t="shared" si="247"/>
        <v>1.274E-2</v>
      </c>
      <c r="M133" s="32">
        <f t="shared" si="247"/>
        <v>1.274E-2</v>
      </c>
      <c r="N133" s="20"/>
    </row>
    <row r="134" spans="1:14">
      <c r="A134" s="254" t="s">
        <v>17</v>
      </c>
      <c r="B134" s="21">
        <f>B130*B133</f>
        <v>343.97999999999996</v>
      </c>
      <c r="C134" s="21">
        <f t="shared" ref="C134" si="248">C130*C133</f>
        <v>76.44</v>
      </c>
      <c r="D134" s="21">
        <f t="shared" ref="D134" si="249">D130*D133</f>
        <v>0</v>
      </c>
      <c r="E134" s="21">
        <f t="shared" ref="E134" si="250">E130*E133</f>
        <v>38.22</v>
      </c>
      <c r="F134" s="21">
        <f t="shared" ref="F134" si="251">F130*F133</f>
        <v>152.88</v>
      </c>
      <c r="G134" s="21">
        <f t="shared" ref="G134" si="252">G130*G133</f>
        <v>254.79999999999998</v>
      </c>
      <c r="H134" s="21">
        <f t="shared" ref="H134" si="253">H130*H133</f>
        <v>318.5</v>
      </c>
      <c r="I134" s="21">
        <f t="shared" ref="I134" si="254">I130*I133</f>
        <v>343.97999999999996</v>
      </c>
      <c r="J134" s="21">
        <f t="shared" ref="J134" si="255">J130*J133</f>
        <v>267.53999999999996</v>
      </c>
      <c r="K134" s="21">
        <f t="shared" ref="K134" si="256">K130*K133</f>
        <v>101.92</v>
      </c>
      <c r="L134" s="21">
        <f t="shared" ref="L134" si="257">L130*L133</f>
        <v>0</v>
      </c>
      <c r="M134" s="21">
        <f t="shared" ref="M134" si="258">M130*M133</f>
        <v>0</v>
      </c>
      <c r="N134" s="21">
        <f>SUM(B134:M134)</f>
        <v>1898.26</v>
      </c>
    </row>
    <row r="135" spans="1:14">
      <c r="A135" s="254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>
      <c r="A136" s="254" t="s">
        <v>38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>
      <c r="A137" s="256" t="s">
        <v>47</v>
      </c>
      <c r="B137" s="239">
        <f>B123</f>
        <v>27000</v>
      </c>
      <c r="C137" s="239">
        <f t="shared" ref="C137:M137" si="259">C123</f>
        <v>6000</v>
      </c>
      <c r="D137" s="239">
        <f t="shared" si="259"/>
        <v>0</v>
      </c>
      <c r="E137" s="239">
        <f t="shared" si="259"/>
        <v>3000</v>
      </c>
      <c r="F137" s="239">
        <f t="shared" si="259"/>
        <v>12000</v>
      </c>
      <c r="G137" s="239">
        <f t="shared" si="259"/>
        <v>20000</v>
      </c>
      <c r="H137" s="239">
        <f t="shared" si="259"/>
        <v>25000</v>
      </c>
      <c r="I137" s="239">
        <f t="shared" si="259"/>
        <v>27000</v>
      </c>
      <c r="J137" s="239">
        <f t="shared" si="259"/>
        <v>21000</v>
      </c>
      <c r="K137" s="239">
        <f t="shared" si="259"/>
        <v>8000</v>
      </c>
      <c r="L137" s="239">
        <f t="shared" si="259"/>
        <v>0</v>
      </c>
      <c r="M137" s="239">
        <f t="shared" si="259"/>
        <v>0</v>
      </c>
      <c r="N137" s="21">
        <f>SUM(B137:M137)</f>
        <v>149000</v>
      </c>
    </row>
    <row r="138" spans="1:14">
      <c r="A138" s="256" t="s">
        <v>45</v>
      </c>
      <c r="B138" s="28">
        <f>B137-B139</f>
        <v>490.4270986745214</v>
      </c>
      <c r="C138" s="28">
        <f t="shared" ref="C138" si="260">C137-C139</f>
        <v>108.9837997054492</v>
      </c>
      <c r="D138" s="28">
        <f t="shared" ref="D138" si="261">D137-D139</f>
        <v>0</v>
      </c>
      <c r="E138" s="28">
        <f t="shared" ref="E138" si="262">E137-E139</f>
        <v>54.4918998527246</v>
      </c>
      <c r="F138" s="28">
        <f t="shared" ref="F138" si="263">F137-F139</f>
        <v>217.9675994108984</v>
      </c>
      <c r="G138" s="28">
        <f t="shared" ref="G138" si="264">G137-G139</f>
        <v>363.27933235149612</v>
      </c>
      <c r="H138" s="28">
        <f t="shared" ref="H138" si="265">H137-H139</f>
        <v>454.09916543936924</v>
      </c>
      <c r="I138" s="28">
        <f t="shared" ref="I138" si="266">I137-I139</f>
        <v>490.4270986745214</v>
      </c>
      <c r="J138" s="28">
        <f t="shared" ref="J138" si="267">J137-J139</f>
        <v>381.4432989690722</v>
      </c>
      <c r="K138" s="28">
        <f t="shared" ref="K138" si="268">K137-K139</f>
        <v>145.31173294059863</v>
      </c>
      <c r="L138" s="28">
        <f t="shared" ref="L138" si="269">L137-L139</f>
        <v>0</v>
      </c>
      <c r="M138" s="28">
        <f t="shared" ref="M138" si="270">M137-M139</f>
        <v>0</v>
      </c>
      <c r="N138" s="21">
        <f>SUM(B138:M138)</f>
        <v>2706.4310260186512</v>
      </c>
    </row>
    <row r="139" spans="1:14">
      <c r="A139" s="256" t="s">
        <v>433</v>
      </c>
      <c r="B139" s="28">
        <f>B137/(1+'Transmission Formula Rate (7)'!$B$27)</f>
        <v>26509.572901325479</v>
      </c>
      <c r="C139" s="28">
        <f>C137/(1+'Transmission Formula Rate (7)'!$B$27)</f>
        <v>5891.0162002945508</v>
      </c>
      <c r="D139" s="28">
        <f>D137/(1+'Transmission Formula Rate (7)'!$B$27)</f>
        <v>0</v>
      </c>
      <c r="E139" s="28">
        <f>E137/(1+'Transmission Formula Rate (7)'!$B$27)</f>
        <v>2945.5081001472754</v>
      </c>
      <c r="F139" s="28">
        <f>F137/(1+'Transmission Formula Rate (7)'!$B$27)</f>
        <v>11782.032400589102</v>
      </c>
      <c r="G139" s="28">
        <f>G137/(1+'Transmission Formula Rate (7)'!$B$27)</f>
        <v>19636.720667648504</v>
      </c>
      <c r="H139" s="28">
        <f>H137/(1+'Transmission Formula Rate (7)'!$B$27)</f>
        <v>24545.900834560631</v>
      </c>
      <c r="I139" s="28">
        <f>I137/(1+'Transmission Formula Rate (7)'!$B$27)</f>
        <v>26509.572901325479</v>
      </c>
      <c r="J139" s="28">
        <f>J137/(1+'Transmission Formula Rate (7)'!$B$27)</f>
        <v>20618.556701030928</v>
      </c>
      <c r="K139" s="28">
        <f>K137/(1+'Transmission Formula Rate (7)'!$B$27)</f>
        <v>7854.6882670594014</v>
      </c>
      <c r="L139" s="28">
        <f>L137/(1+'Transmission Formula Rate (7)'!$B$27)</f>
        <v>0</v>
      </c>
      <c r="M139" s="28">
        <f>M137/(1+'Transmission Formula Rate (7)'!$B$27)</f>
        <v>0</v>
      </c>
      <c r="N139" s="124">
        <f>SUM(B139:M139)</f>
        <v>146293.56897398134</v>
      </c>
    </row>
    <row r="140" spans="1:14">
      <c r="A140" s="254" t="s">
        <v>150</v>
      </c>
      <c r="B140" s="32">
        <f>'charges (1 &amp; 2)'!H11</f>
        <v>0.1008</v>
      </c>
      <c r="C140" s="32">
        <f>B140</f>
        <v>0.1008</v>
      </c>
      <c r="D140" s="32">
        <f t="shared" ref="D140:M140" si="271">C140</f>
        <v>0.1008</v>
      </c>
      <c r="E140" s="32">
        <f t="shared" si="271"/>
        <v>0.1008</v>
      </c>
      <c r="F140" s="32">
        <f t="shared" si="271"/>
        <v>0.1008</v>
      </c>
      <c r="G140" s="32">
        <f t="shared" si="271"/>
        <v>0.1008</v>
      </c>
      <c r="H140" s="32">
        <f t="shared" si="271"/>
        <v>0.1008</v>
      </c>
      <c r="I140" s="32">
        <f t="shared" si="271"/>
        <v>0.1008</v>
      </c>
      <c r="J140" s="32">
        <f t="shared" si="271"/>
        <v>0.1008</v>
      </c>
      <c r="K140" s="32">
        <f t="shared" si="271"/>
        <v>0.1008</v>
      </c>
      <c r="L140" s="32">
        <f t="shared" si="271"/>
        <v>0.1008</v>
      </c>
      <c r="M140" s="32">
        <f t="shared" si="271"/>
        <v>0.1008</v>
      </c>
      <c r="N140" s="21"/>
    </row>
    <row r="141" spans="1:14">
      <c r="A141" s="254" t="s">
        <v>17</v>
      </c>
      <c r="B141" s="21">
        <f>B137*B140</f>
        <v>2721.6</v>
      </c>
      <c r="C141" s="21">
        <f t="shared" ref="C141" si="272">C137*C140</f>
        <v>604.79999999999995</v>
      </c>
      <c r="D141" s="21">
        <f t="shared" ref="D141" si="273">D137*D140</f>
        <v>0</v>
      </c>
      <c r="E141" s="21">
        <f t="shared" ref="E141" si="274">E137*E140</f>
        <v>302.39999999999998</v>
      </c>
      <c r="F141" s="21">
        <f t="shared" ref="F141" si="275">F137*F140</f>
        <v>1209.5999999999999</v>
      </c>
      <c r="G141" s="21">
        <f t="shared" ref="G141" si="276">G137*G140</f>
        <v>2016</v>
      </c>
      <c r="H141" s="21">
        <f t="shared" ref="H141" si="277">H137*H140</f>
        <v>2520</v>
      </c>
      <c r="I141" s="21">
        <f t="shared" ref="I141" si="278">I137*I140</f>
        <v>2721.6</v>
      </c>
      <c r="J141" s="21">
        <f t="shared" ref="J141" si="279">J137*J140</f>
        <v>2116.8000000000002</v>
      </c>
      <c r="K141" s="21">
        <f t="shared" ref="K141" si="280">K137*K140</f>
        <v>806.4</v>
      </c>
      <c r="L141" s="21">
        <f t="shared" ref="L141" si="281">L137*L140</f>
        <v>0</v>
      </c>
      <c r="M141" s="21">
        <f t="shared" ref="M141" si="282">M137*M140</f>
        <v>0</v>
      </c>
      <c r="N141" s="21">
        <f>SUM(B141:M141)</f>
        <v>15019.199999999999</v>
      </c>
    </row>
    <row r="143" spans="1:14">
      <c r="B143" s="24" t="s">
        <v>0</v>
      </c>
      <c r="C143" s="24" t="s">
        <v>1</v>
      </c>
      <c r="D143" s="24" t="s">
        <v>2</v>
      </c>
      <c r="E143" s="24" t="s">
        <v>3</v>
      </c>
      <c r="F143" s="24" t="s">
        <v>4</v>
      </c>
      <c r="G143" s="24" t="s">
        <v>5</v>
      </c>
      <c r="H143" s="24" t="s">
        <v>6</v>
      </c>
      <c r="I143" s="24" t="s">
        <v>7</v>
      </c>
      <c r="J143" s="24" t="s">
        <v>8</v>
      </c>
      <c r="K143" s="24" t="s">
        <v>9</v>
      </c>
      <c r="L143" s="24" t="s">
        <v>10</v>
      </c>
      <c r="M143" s="24" t="s">
        <v>11</v>
      </c>
      <c r="N143" s="24" t="s">
        <v>12</v>
      </c>
    </row>
    <row r="144" spans="1:14">
      <c r="A144" s="255">
        <v>2020</v>
      </c>
    </row>
    <row r="145" spans="1:16">
      <c r="A145" s="254" t="s">
        <v>37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6">
      <c r="A146" s="256" t="s">
        <v>47</v>
      </c>
      <c r="B146" s="239">
        <f>'Homestead Forecast'!E16</f>
        <v>27000</v>
      </c>
      <c r="C146" s="239">
        <f>'Homestead Forecast'!F16</f>
        <v>47600.000000000007</v>
      </c>
      <c r="D146" s="239">
        <f>'Homestead Forecast'!G16</f>
        <v>29750</v>
      </c>
      <c r="E146" s="239">
        <f>'Homestead Forecast'!H16</f>
        <v>44450</v>
      </c>
      <c r="F146" s="239">
        <f>'Homestead Forecast'!I16</f>
        <v>53900.000000000007</v>
      </c>
      <c r="G146" s="239">
        <f>'Homestead Forecast'!J16</f>
        <v>62300</v>
      </c>
      <c r="H146" s="239">
        <f>'Homestead Forecast'!K16</f>
        <v>67550</v>
      </c>
      <c r="I146" s="239">
        <f>'Homestead Forecast'!L16</f>
        <v>27000</v>
      </c>
      <c r="J146" s="239">
        <f>'Homestead Forecast'!M16</f>
        <v>63350.000000000007</v>
      </c>
      <c r="K146" s="239">
        <f>'Homestead Forecast'!N16</f>
        <v>49700</v>
      </c>
      <c r="L146" s="239">
        <f>'Homestead Forecast'!O16</f>
        <v>40250</v>
      </c>
      <c r="M146" s="239">
        <f>'Homestead Forecast'!P16</f>
        <v>39200</v>
      </c>
      <c r="N146" s="21">
        <f>SUM(B146:M146)</f>
        <v>552050</v>
      </c>
    </row>
    <row r="147" spans="1:16">
      <c r="A147" s="256" t="s">
        <v>45</v>
      </c>
      <c r="B147" s="28">
        <f>B146-B148</f>
        <v>490.4270986745214</v>
      </c>
      <c r="C147" s="28">
        <f t="shared" ref="C147" si="283">C146-C148</f>
        <v>864.60481099656317</v>
      </c>
      <c r="D147" s="28">
        <f t="shared" ref="D147" si="284">D146-D148</f>
        <v>540.37800687285198</v>
      </c>
      <c r="E147" s="28">
        <f t="shared" ref="E147" si="285">E146-E148</f>
        <v>807.38831615119852</v>
      </c>
      <c r="F147" s="28">
        <f t="shared" ref="F147" si="286">F146-F148</f>
        <v>979.0378006872852</v>
      </c>
      <c r="G147" s="28">
        <f t="shared" ref="G147" si="287">G146-G148</f>
        <v>1131.6151202749097</v>
      </c>
      <c r="H147" s="28">
        <f t="shared" ref="H147" si="288">H146-H148</f>
        <v>1226.9759450171841</v>
      </c>
      <c r="I147" s="28">
        <f t="shared" ref="I147" si="289">I146-I148</f>
        <v>490.4270986745214</v>
      </c>
      <c r="J147" s="28">
        <f t="shared" ref="J147" si="290">J146-J148</f>
        <v>1150.6872852233646</v>
      </c>
      <c r="K147" s="28">
        <f t="shared" ref="K147" si="291">K146-K148</f>
        <v>902.74914089346566</v>
      </c>
      <c r="L147" s="28">
        <f t="shared" ref="L147" si="292">L146-L148</f>
        <v>731.09965635738627</v>
      </c>
      <c r="M147" s="28">
        <f t="shared" ref="M147" si="293">M146-M148</f>
        <v>712.02749140893138</v>
      </c>
      <c r="N147" s="21">
        <f>SUM(B147:M147)</f>
        <v>10027.417771232183</v>
      </c>
      <c r="P147" s="22" t="s">
        <v>435</v>
      </c>
    </row>
    <row r="148" spans="1:16">
      <c r="A148" s="256" t="s">
        <v>433</v>
      </c>
      <c r="B148" s="28">
        <f>B146/(1+'Transmission Formula Rate (7)'!$B$27)</f>
        <v>26509.572901325479</v>
      </c>
      <c r="C148" s="28">
        <f>C146/(1+'Transmission Formula Rate (7)'!$B$27)</f>
        <v>46735.395189003444</v>
      </c>
      <c r="D148" s="28">
        <f>D146/(1+'Transmission Formula Rate (7)'!$B$27)</f>
        <v>29209.621993127148</v>
      </c>
      <c r="E148" s="28">
        <f>E146/(1+'Transmission Formula Rate (7)'!$B$27)</f>
        <v>43642.611683848801</v>
      </c>
      <c r="F148" s="28">
        <f>F146/(1+'Transmission Formula Rate (7)'!$B$27)</f>
        <v>52920.962199312722</v>
      </c>
      <c r="G148" s="28">
        <f>G146/(1+'Transmission Formula Rate (7)'!$B$27)</f>
        <v>61168.38487972509</v>
      </c>
      <c r="H148" s="28">
        <f>H146/(1+'Transmission Formula Rate (7)'!$B$27)</f>
        <v>66323.024054982816</v>
      </c>
      <c r="I148" s="28">
        <f>I146/(1+'Transmission Formula Rate (7)'!$B$27)</f>
        <v>26509.572901325479</v>
      </c>
      <c r="J148" s="28">
        <f>J146/(1+'Transmission Formula Rate (7)'!$B$27)</f>
        <v>62199.312714776643</v>
      </c>
      <c r="K148" s="28">
        <f>K146/(1+'Transmission Formula Rate (7)'!$B$27)</f>
        <v>48797.250859106534</v>
      </c>
      <c r="L148" s="28">
        <f>L146/(1+'Transmission Formula Rate (7)'!$B$27)</f>
        <v>39518.900343642614</v>
      </c>
      <c r="M148" s="28">
        <f>M146/(1+'Transmission Formula Rate (7)'!$B$27)</f>
        <v>38487.972508591069</v>
      </c>
      <c r="N148" s="124">
        <f>SUM(B148:M148)</f>
        <v>542022.58222876792</v>
      </c>
    </row>
    <row r="149" spans="1:16">
      <c r="A149" s="254" t="s">
        <v>20</v>
      </c>
      <c r="B149" s="30">
        <f>B126</f>
        <v>1.59</v>
      </c>
      <c r="C149" s="30">
        <f t="shared" ref="C149:M149" si="294">C126</f>
        <v>1.59</v>
      </c>
      <c r="D149" s="30">
        <f t="shared" si="294"/>
        <v>1.59</v>
      </c>
      <c r="E149" s="30">
        <f t="shared" si="294"/>
        <v>1.59</v>
      </c>
      <c r="F149" s="30">
        <f t="shared" si="294"/>
        <v>1.59</v>
      </c>
      <c r="G149" s="30">
        <f t="shared" si="294"/>
        <v>1.59</v>
      </c>
      <c r="H149" s="30">
        <f t="shared" si="294"/>
        <v>1.59</v>
      </c>
      <c r="I149" s="30">
        <f t="shared" si="294"/>
        <v>1.59</v>
      </c>
      <c r="J149" s="30">
        <f t="shared" si="294"/>
        <v>1.59</v>
      </c>
      <c r="K149" s="30">
        <f t="shared" si="294"/>
        <v>1.59</v>
      </c>
      <c r="L149" s="30">
        <f t="shared" si="294"/>
        <v>1.59</v>
      </c>
      <c r="M149" s="30">
        <f t="shared" si="294"/>
        <v>1.59</v>
      </c>
      <c r="N149" s="20"/>
    </row>
    <row r="150" spans="1:16">
      <c r="A150" s="254" t="s">
        <v>17</v>
      </c>
      <c r="B150" s="21">
        <f>B146*B149</f>
        <v>42930</v>
      </c>
      <c r="C150" s="21">
        <f t="shared" ref="C150" si="295">C146*C149</f>
        <v>75684.000000000015</v>
      </c>
      <c r="D150" s="21">
        <f t="shared" ref="D150" si="296">D146*D149</f>
        <v>47302.5</v>
      </c>
      <c r="E150" s="21">
        <f t="shared" ref="E150" si="297">E146*E149</f>
        <v>70675.5</v>
      </c>
      <c r="F150" s="21">
        <f t="shared" ref="F150" si="298">F146*F149</f>
        <v>85701.000000000015</v>
      </c>
      <c r="G150" s="21">
        <f t="shared" ref="G150" si="299">G146*G149</f>
        <v>99057</v>
      </c>
      <c r="H150" s="21">
        <f t="shared" ref="H150" si="300">H146*H149</f>
        <v>107404.5</v>
      </c>
      <c r="I150" s="21">
        <f t="shared" ref="I150" si="301">I146*I149</f>
        <v>42930</v>
      </c>
      <c r="J150" s="21">
        <f t="shared" ref="J150" si="302">J146*J149</f>
        <v>100726.50000000001</v>
      </c>
      <c r="K150" s="21">
        <f t="shared" ref="K150" si="303">K146*K149</f>
        <v>79023</v>
      </c>
      <c r="L150" s="21">
        <f t="shared" ref="L150" si="304">L146*L149</f>
        <v>63997.5</v>
      </c>
      <c r="M150" s="21">
        <f t="shared" ref="M150" si="305">M146*M149</f>
        <v>62328</v>
      </c>
      <c r="N150" s="21">
        <f>SUM(B150:M150)</f>
        <v>877759.5</v>
      </c>
    </row>
    <row r="152" spans="1:16">
      <c r="A152" s="254" t="s">
        <v>141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6">
      <c r="A153" s="256" t="s">
        <v>47</v>
      </c>
      <c r="B153" s="239">
        <f>B146</f>
        <v>27000</v>
      </c>
      <c r="C153" s="239">
        <f t="shared" ref="C153:M153" si="306">C146</f>
        <v>47600.000000000007</v>
      </c>
      <c r="D153" s="239">
        <f t="shared" si="306"/>
        <v>29750</v>
      </c>
      <c r="E153" s="239">
        <f t="shared" si="306"/>
        <v>44450</v>
      </c>
      <c r="F153" s="239">
        <f t="shared" si="306"/>
        <v>53900.000000000007</v>
      </c>
      <c r="G153" s="239">
        <f t="shared" si="306"/>
        <v>62300</v>
      </c>
      <c r="H153" s="239">
        <f t="shared" si="306"/>
        <v>67550</v>
      </c>
      <c r="I153" s="239">
        <f t="shared" si="306"/>
        <v>27000</v>
      </c>
      <c r="J153" s="239">
        <f t="shared" si="306"/>
        <v>63350.000000000007</v>
      </c>
      <c r="K153" s="239">
        <f t="shared" si="306"/>
        <v>49700</v>
      </c>
      <c r="L153" s="239">
        <f t="shared" si="306"/>
        <v>40250</v>
      </c>
      <c r="M153" s="239">
        <f t="shared" si="306"/>
        <v>39200</v>
      </c>
      <c r="N153" s="21">
        <f>SUM(B153:M153)</f>
        <v>552050</v>
      </c>
    </row>
    <row r="154" spans="1:16">
      <c r="A154" s="256" t="s">
        <v>45</v>
      </c>
      <c r="B154" s="28">
        <f>B153-B155</f>
        <v>490.4270986745214</v>
      </c>
      <c r="C154" s="28">
        <f t="shared" ref="C154" si="307">C153-C155</f>
        <v>864.60481099656317</v>
      </c>
      <c r="D154" s="28">
        <f t="shared" ref="D154" si="308">D153-D155</f>
        <v>540.37800687285198</v>
      </c>
      <c r="E154" s="28">
        <f t="shared" ref="E154" si="309">E153-E155</f>
        <v>807.38831615119852</v>
      </c>
      <c r="F154" s="28">
        <f t="shared" ref="F154" si="310">F153-F155</f>
        <v>979.0378006872852</v>
      </c>
      <c r="G154" s="28">
        <f t="shared" ref="G154" si="311">G153-G155</f>
        <v>1131.6151202749097</v>
      </c>
      <c r="H154" s="28">
        <f t="shared" ref="H154" si="312">H153-H155</f>
        <v>1226.9759450171841</v>
      </c>
      <c r="I154" s="28">
        <f t="shared" ref="I154" si="313">I153-I155</f>
        <v>490.4270986745214</v>
      </c>
      <c r="J154" s="28">
        <f t="shared" ref="J154" si="314">J153-J155</f>
        <v>1150.6872852233646</v>
      </c>
      <c r="K154" s="28">
        <f t="shared" ref="K154" si="315">K153-K155</f>
        <v>902.74914089346566</v>
      </c>
      <c r="L154" s="28">
        <f t="shared" ref="L154" si="316">L153-L155</f>
        <v>731.09965635738627</v>
      </c>
      <c r="M154" s="28">
        <f t="shared" ref="M154" si="317">M153-M155</f>
        <v>712.02749140893138</v>
      </c>
      <c r="N154" s="21">
        <f>SUM(B154:M154)</f>
        <v>10027.417771232183</v>
      </c>
    </row>
    <row r="155" spans="1:16">
      <c r="A155" s="256" t="s">
        <v>433</v>
      </c>
      <c r="B155" s="28">
        <f>B153/(1+'Transmission Formula Rate (7)'!$B$27)</f>
        <v>26509.572901325479</v>
      </c>
      <c r="C155" s="28">
        <f>C153/(1+'Transmission Formula Rate (7)'!$B$27)</f>
        <v>46735.395189003444</v>
      </c>
      <c r="D155" s="28">
        <f>D153/(1+'Transmission Formula Rate (7)'!$B$27)</f>
        <v>29209.621993127148</v>
      </c>
      <c r="E155" s="28">
        <f>E153/(1+'Transmission Formula Rate (7)'!$B$27)</f>
        <v>43642.611683848801</v>
      </c>
      <c r="F155" s="28">
        <f>F153/(1+'Transmission Formula Rate (7)'!$B$27)</f>
        <v>52920.962199312722</v>
      </c>
      <c r="G155" s="28">
        <f>G153/(1+'Transmission Formula Rate (7)'!$B$27)</f>
        <v>61168.38487972509</v>
      </c>
      <c r="H155" s="28">
        <f>H153/(1+'Transmission Formula Rate (7)'!$B$27)</f>
        <v>66323.024054982816</v>
      </c>
      <c r="I155" s="28">
        <f>I153/(1+'Transmission Formula Rate (7)'!$B$27)</f>
        <v>26509.572901325479</v>
      </c>
      <c r="J155" s="28">
        <f>J153/(1+'Transmission Formula Rate (7)'!$B$27)</f>
        <v>62199.312714776643</v>
      </c>
      <c r="K155" s="28">
        <f>K153/(1+'Transmission Formula Rate (7)'!$B$27)</f>
        <v>48797.250859106534</v>
      </c>
      <c r="L155" s="28">
        <f>L153/(1+'Transmission Formula Rate (7)'!$B$27)</f>
        <v>39518.900343642614</v>
      </c>
      <c r="M155" s="28">
        <f>M153/(1+'Transmission Formula Rate (7)'!$B$27)</f>
        <v>38487.972508591069</v>
      </c>
      <c r="N155" s="124">
        <f>SUM(B155:M155)</f>
        <v>542022.58222876792</v>
      </c>
    </row>
    <row r="156" spans="1:16">
      <c r="A156" s="254" t="s">
        <v>149</v>
      </c>
      <c r="B156" s="32">
        <f>'charges (1 &amp; 2)'!$H$39</f>
        <v>1.274E-2</v>
      </c>
      <c r="C156" s="32">
        <f>B156</f>
        <v>1.274E-2</v>
      </c>
      <c r="D156" s="32">
        <f t="shared" ref="D156:M156" si="318">C156</f>
        <v>1.274E-2</v>
      </c>
      <c r="E156" s="32">
        <f t="shared" si="318"/>
        <v>1.274E-2</v>
      </c>
      <c r="F156" s="32">
        <f t="shared" si="318"/>
        <v>1.274E-2</v>
      </c>
      <c r="G156" s="32">
        <f t="shared" si="318"/>
        <v>1.274E-2</v>
      </c>
      <c r="H156" s="32">
        <f t="shared" si="318"/>
        <v>1.274E-2</v>
      </c>
      <c r="I156" s="32">
        <f t="shared" si="318"/>
        <v>1.274E-2</v>
      </c>
      <c r="J156" s="32">
        <f t="shared" si="318"/>
        <v>1.274E-2</v>
      </c>
      <c r="K156" s="32">
        <f t="shared" si="318"/>
        <v>1.274E-2</v>
      </c>
      <c r="L156" s="32">
        <f t="shared" si="318"/>
        <v>1.274E-2</v>
      </c>
      <c r="M156" s="32">
        <f t="shared" si="318"/>
        <v>1.274E-2</v>
      </c>
      <c r="N156" s="20"/>
    </row>
    <row r="157" spans="1:16">
      <c r="A157" s="254" t="s">
        <v>17</v>
      </c>
      <c r="B157" s="21">
        <f>B153*B156</f>
        <v>343.97999999999996</v>
      </c>
      <c r="C157" s="21">
        <f t="shared" ref="C157" si="319">C153*C156</f>
        <v>606.42400000000009</v>
      </c>
      <c r="D157" s="21">
        <f t="shared" ref="D157" si="320">D153*D156</f>
        <v>379.01499999999999</v>
      </c>
      <c r="E157" s="21">
        <f t="shared" ref="E157" si="321">E153*E156</f>
        <v>566.29300000000001</v>
      </c>
      <c r="F157" s="21">
        <f t="shared" ref="F157" si="322">F153*F156</f>
        <v>686.68600000000004</v>
      </c>
      <c r="G157" s="21">
        <f t="shared" ref="G157" si="323">G153*G156</f>
        <v>793.702</v>
      </c>
      <c r="H157" s="21">
        <f t="shared" ref="H157" si="324">H153*H156</f>
        <v>860.58699999999999</v>
      </c>
      <c r="I157" s="21">
        <f t="shared" ref="I157" si="325">I153*I156</f>
        <v>343.97999999999996</v>
      </c>
      <c r="J157" s="21">
        <f t="shared" ref="J157" si="326">J153*J156</f>
        <v>807.07900000000006</v>
      </c>
      <c r="K157" s="21">
        <f t="shared" ref="K157" si="327">K153*K156</f>
        <v>633.178</v>
      </c>
      <c r="L157" s="21">
        <f t="shared" ref="L157" si="328">L153*L156</f>
        <v>512.78499999999997</v>
      </c>
      <c r="M157" s="21">
        <f t="shared" ref="M157" si="329">M153*M156</f>
        <v>499.40799999999996</v>
      </c>
      <c r="N157" s="21">
        <f>SUM(B157:M157)</f>
        <v>7033.1169999999993</v>
      </c>
    </row>
    <row r="159" spans="1:16">
      <c r="A159" s="254" t="s">
        <v>38</v>
      </c>
    </row>
    <row r="160" spans="1:16">
      <c r="A160" s="256" t="s">
        <v>47</v>
      </c>
      <c r="B160" s="239">
        <f>B146</f>
        <v>27000</v>
      </c>
      <c r="C160" s="239">
        <f t="shared" ref="C160:M160" si="330">C146</f>
        <v>47600.000000000007</v>
      </c>
      <c r="D160" s="239">
        <f t="shared" si="330"/>
        <v>29750</v>
      </c>
      <c r="E160" s="239">
        <f t="shared" si="330"/>
        <v>44450</v>
      </c>
      <c r="F160" s="239">
        <f t="shared" si="330"/>
        <v>53900.000000000007</v>
      </c>
      <c r="G160" s="239">
        <f t="shared" si="330"/>
        <v>62300</v>
      </c>
      <c r="H160" s="239">
        <f t="shared" si="330"/>
        <v>67550</v>
      </c>
      <c r="I160" s="239">
        <f t="shared" si="330"/>
        <v>27000</v>
      </c>
      <c r="J160" s="239">
        <f t="shared" si="330"/>
        <v>63350.000000000007</v>
      </c>
      <c r="K160" s="239">
        <f t="shared" si="330"/>
        <v>49700</v>
      </c>
      <c r="L160" s="239">
        <f t="shared" si="330"/>
        <v>40250</v>
      </c>
      <c r="M160" s="239">
        <f t="shared" si="330"/>
        <v>39200</v>
      </c>
      <c r="N160" s="21">
        <f>SUM(B160:M160)</f>
        <v>552050</v>
      </c>
    </row>
    <row r="161" spans="1:14">
      <c r="A161" s="256" t="s">
        <v>45</v>
      </c>
      <c r="B161" s="28">
        <f>B160-B162</f>
        <v>490.4270986745214</v>
      </c>
      <c r="C161" s="28">
        <f t="shared" ref="C161" si="331">C160-C162</f>
        <v>864.60481099656317</v>
      </c>
      <c r="D161" s="28">
        <f t="shared" ref="D161" si="332">D160-D162</f>
        <v>540.37800687285198</v>
      </c>
      <c r="E161" s="28">
        <f t="shared" ref="E161" si="333">E160-E162</f>
        <v>807.38831615119852</v>
      </c>
      <c r="F161" s="28">
        <f t="shared" ref="F161" si="334">F160-F162</f>
        <v>979.0378006872852</v>
      </c>
      <c r="G161" s="28">
        <f t="shared" ref="G161" si="335">G160-G162</f>
        <v>1131.6151202749097</v>
      </c>
      <c r="H161" s="28">
        <f t="shared" ref="H161" si="336">H160-H162</f>
        <v>1226.9759450171841</v>
      </c>
      <c r="I161" s="28">
        <f t="shared" ref="I161" si="337">I160-I162</f>
        <v>490.4270986745214</v>
      </c>
      <c r="J161" s="28">
        <f t="shared" ref="J161" si="338">J160-J162</f>
        <v>1150.6872852233646</v>
      </c>
      <c r="K161" s="28">
        <f t="shared" ref="K161" si="339">K160-K162</f>
        <v>902.74914089346566</v>
      </c>
      <c r="L161" s="28">
        <f t="shared" ref="L161" si="340">L160-L162</f>
        <v>731.09965635738627</v>
      </c>
      <c r="M161" s="28">
        <f t="shared" ref="M161" si="341">M160-M162</f>
        <v>712.02749140893138</v>
      </c>
      <c r="N161" s="21">
        <f>SUM(B161:M161)</f>
        <v>10027.417771232183</v>
      </c>
    </row>
    <row r="162" spans="1:14">
      <c r="A162" s="256" t="s">
        <v>433</v>
      </c>
      <c r="B162" s="28">
        <f>B160/(1+'Transmission Formula Rate (7)'!$B$27)</f>
        <v>26509.572901325479</v>
      </c>
      <c r="C162" s="28">
        <f>C160/(1+'Transmission Formula Rate (7)'!$B$27)</f>
        <v>46735.395189003444</v>
      </c>
      <c r="D162" s="28">
        <f>D160/(1+'Transmission Formula Rate (7)'!$B$27)</f>
        <v>29209.621993127148</v>
      </c>
      <c r="E162" s="28">
        <f>E160/(1+'Transmission Formula Rate (7)'!$B$27)</f>
        <v>43642.611683848801</v>
      </c>
      <c r="F162" s="28">
        <f>F160/(1+'Transmission Formula Rate (7)'!$B$27)</f>
        <v>52920.962199312722</v>
      </c>
      <c r="G162" s="28">
        <f>G160/(1+'Transmission Formula Rate (7)'!$B$27)</f>
        <v>61168.38487972509</v>
      </c>
      <c r="H162" s="28">
        <f>H160/(1+'Transmission Formula Rate (7)'!$B$27)</f>
        <v>66323.024054982816</v>
      </c>
      <c r="I162" s="28">
        <f>I160/(1+'Transmission Formula Rate (7)'!$B$27)</f>
        <v>26509.572901325479</v>
      </c>
      <c r="J162" s="28">
        <f>J160/(1+'Transmission Formula Rate (7)'!$B$27)</f>
        <v>62199.312714776643</v>
      </c>
      <c r="K162" s="28">
        <f>K160/(1+'Transmission Formula Rate (7)'!$B$27)</f>
        <v>48797.250859106534</v>
      </c>
      <c r="L162" s="28">
        <f>L160/(1+'Transmission Formula Rate (7)'!$B$27)</f>
        <v>39518.900343642614</v>
      </c>
      <c r="M162" s="28">
        <f>M160/(1+'Transmission Formula Rate (7)'!$B$27)</f>
        <v>38487.972508591069</v>
      </c>
      <c r="N162" s="124">
        <f>SUM(B162:M162)</f>
        <v>542022.58222876792</v>
      </c>
    </row>
    <row r="163" spans="1:14">
      <c r="A163" s="254" t="s">
        <v>150</v>
      </c>
      <c r="B163" s="32">
        <f>'charges (1 &amp; 2)'!H11</f>
        <v>0.1008</v>
      </c>
      <c r="C163" s="32">
        <f>B163</f>
        <v>0.1008</v>
      </c>
      <c r="D163" s="32">
        <f t="shared" ref="D163:M163" si="342">C163</f>
        <v>0.1008</v>
      </c>
      <c r="E163" s="32">
        <f t="shared" si="342"/>
        <v>0.1008</v>
      </c>
      <c r="F163" s="32">
        <f t="shared" si="342"/>
        <v>0.1008</v>
      </c>
      <c r="G163" s="32">
        <f t="shared" si="342"/>
        <v>0.1008</v>
      </c>
      <c r="H163" s="32">
        <f t="shared" si="342"/>
        <v>0.1008</v>
      </c>
      <c r="I163" s="32">
        <f t="shared" si="342"/>
        <v>0.1008</v>
      </c>
      <c r="J163" s="32">
        <f t="shared" si="342"/>
        <v>0.1008</v>
      </c>
      <c r="K163" s="32">
        <f t="shared" si="342"/>
        <v>0.1008</v>
      </c>
      <c r="L163" s="32">
        <f t="shared" si="342"/>
        <v>0.1008</v>
      </c>
      <c r="M163" s="32">
        <f t="shared" si="342"/>
        <v>0.1008</v>
      </c>
    </row>
    <row r="164" spans="1:14">
      <c r="A164" s="254" t="s">
        <v>17</v>
      </c>
      <c r="B164" s="21">
        <f>B160*B163</f>
        <v>2721.6</v>
      </c>
      <c r="C164" s="21">
        <f t="shared" ref="C164" si="343">C160*C163</f>
        <v>4798.0800000000008</v>
      </c>
      <c r="D164" s="21">
        <f t="shared" ref="D164" si="344">D160*D163</f>
        <v>2998.8</v>
      </c>
      <c r="E164" s="21">
        <f t="shared" ref="E164" si="345">E160*E163</f>
        <v>4480.5600000000004</v>
      </c>
      <c r="F164" s="21">
        <f t="shared" ref="F164" si="346">F160*F163</f>
        <v>5433.1200000000008</v>
      </c>
      <c r="G164" s="21">
        <f t="shared" ref="G164" si="347">G160*G163</f>
        <v>6279.84</v>
      </c>
      <c r="H164" s="21">
        <f t="shared" ref="H164" si="348">H160*H163</f>
        <v>6809.04</v>
      </c>
      <c r="I164" s="21">
        <f t="shared" ref="I164" si="349">I160*I163</f>
        <v>2721.6</v>
      </c>
      <c r="J164" s="21">
        <f t="shared" ref="J164" si="350">J160*J163</f>
        <v>6385.6800000000012</v>
      </c>
      <c r="K164" s="21">
        <f t="shared" ref="K164" si="351">K160*K163</f>
        <v>5009.76</v>
      </c>
      <c r="L164" s="21">
        <f t="shared" ref="L164" si="352">L160*L163</f>
        <v>4057.2</v>
      </c>
      <c r="M164" s="21">
        <f t="shared" ref="M164" si="353">M160*M163</f>
        <v>3951.36</v>
      </c>
      <c r="N164" s="21">
        <f>SUM(B164:M164)</f>
        <v>55646.64</v>
      </c>
    </row>
    <row r="168" spans="1:14" ht="13.2">
      <c r="B168" s="241"/>
      <c r="C168" s="286"/>
      <c r="D168" s="244"/>
      <c r="E168" s="244"/>
      <c r="F168" s="244"/>
      <c r="G168" s="241"/>
      <c r="H168" s="241"/>
      <c r="I168" s="241"/>
    </row>
    <row r="169" spans="1:14" ht="13.2">
      <c r="B169" s="244"/>
      <c r="C169" s="241"/>
      <c r="D169" s="244"/>
      <c r="E169" s="374"/>
      <c r="F169" s="244"/>
      <c r="G169" s="241"/>
      <c r="H169" s="241"/>
      <c r="I169" s="241"/>
    </row>
    <row r="170" spans="1:14" ht="13.2">
      <c r="B170" s="244"/>
      <c r="C170" s="244"/>
      <c r="D170" s="244"/>
      <c r="E170" s="244"/>
      <c r="F170" s="244"/>
      <c r="G170" s="241"/>
      <c r="H170" s="241"/>
      <c r="I170" s="241"/>
    </row>
  </sheetData>
  <pageMargins left="0.7" right="0.7" top="0.75" bottom="0.75" header="0.3" footer="0.3"/>
  <pageSetup scale="74" orientation="landscape" r:id="rId1"/>
  <rowBreaks count="2" manualBreakCount="2">
    <brk id="49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2" sqref="B1:B2"/>
    </sheetView>
  </sheetViews>
  <sheetFormatPr defaultColWidth="9" defaultRowHeight="13.2"/>
  <cols>
    <col min="1" max="1" width="4.6640625" style="241" customWidth="1"/>
    <col min="2" max="2" width="10.88671875" style="241" customWidth="1"/>
    <col min="3" max="3" width="1.6640625" style="258" hidden="1" customWidth="1"/>
    <col min="4" max="16384" width="9" style="241"/>
  </cols>
  <sheetData>
    <row r="1" spans="2:18">
      <c r="B1" s="480" t="s">
        <v>490</v>
      </c>
    </row>
    <row r="2" spans="2:18">
      <c r="B2" s="480" t="s">
        <v>473</v>
      </c>
    </row>
    <row r="4" spans="2:18">
      <c r="B4" s="286" t="s">
        <v>116</v>
      </c>
    </row>
    <row r="5" spans="2:18">
      <c r="B5" s="241" t="s">
        <v>443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2"/>
    </row>
    <row r="11" spans="2:18">
      <c r="D11" s="243"/>
      <c r="E11" s="244">
        <v>1</v>
      </c>
      <c r="F11" s="244">
        <v>2</v>
      </c>
      <c r="G11" s="244">
        <v>3</v>
      </c>
      <c r="H11" s="244">
        <v>4</v>
      </c>
      <c r="I11" s="244">
        <v>5</v>
      </c>
      <c r="J11" s="244">
        <v>6</v>
      </c>
      <c r="K11" s="244">
        <v>7</v>
      </c>
      <c r="L11" s="244">
        <v>8</v>
      </c>
      <c r="M11" s="244">
        <v>9</v>
      </c>
      <c r="N11" s="244">
        <v>10</v>
      </c>
      <c r="O11" s="244">
        <v>11</v>
      </c>
      <c r="P11" s="244">
        <v>12</v>
      </c>
      <c r="Q11" s="242"/>
    </row>
    <row r="12" spans="2:18">
      <c r="D12" s="243">
        <v>2016</v>
      </c>
      <c r="E12" s="244">
        <f>[10]Summary_CP!$L$99*1000</f>
        <v>18000</v>
      </c>
      <c r="F12" s="244">
        <f>VLOOKUP(CONCATENATE($D12,F$11),'[11]Summary_NCP '!$A$99:$H$206,6,FALSE)*1000</f>
        <v>6000</v>
      </c>
      <c r="G12" s="244">
        <f>VLOOKUP(CONCATENATE($D12,G$11),'[11]Summary_NCP '!$A$99:$H$206,6,FALSE)*1000</f>
        <v>0</v>
      </c>
      <c r="H12" s="244">
        <f>VLOOKUP(CONCATENATE($D12,H$11),'[11]Summary_NCP '!$A$99:$H$206,6,FALSE)*1000</f>
        <v>3000</v>
      </c>
      <c r="I12" s="244">
        <f>VLOOKUP(CONCATENATE($D12,I$11),'[11]Summary_NCP '!$A$99:$H$206,6,FALSE)*1000</f>
        <v>12000</v>
      </c>
      <c r="J12" s="244">
        <f>VLOOKUP(CONCATENATE($D12,J$11),'[11]Summary_NCP '!$A$99:$H$206,6,FALSE)*1000</f>
        <v>20000</v>
      </c>
      <c r="K12" s="244">
        <f>VLOOKUP(CONCATENATE($D12,K$11),'[11]Summary_NCP '!$A$99:$H$206,6,FALSE)*1000</f>
        <v>25000</v>
      </c>
      <c r="L12" s="244">
        <f>[10]Summary_CP!$L$106*1000</f>
        <v>18000</v>
      </c>
      <c r="M12" s="244">
        <f>VLOOKUP(CONCATENATE($D12,M$11),'[11]Summary_NCP '!$A$99:$H$206,6,FALSE)*1000</f>
        <v>21000</v>
      </c>
      <c r="N12" s="244">
        <f>VLOOKUP(CONCATENATE($D12,N$11),'[11]Summary_NCP '!$A$99:$H$206,6,FALSE)*1000</f>
        <v>8000</v>
      </c>
      <c r="O12" s="244">
        <f>VLOOKUP(CONCATENATE($D12,O$11),'[11]Summary_NCP '!$A$99:$H$206,6,FALSE)*1000</f>
        <v>0</v>
      </c>
      <c r="P12" s="244">
        <f>VLOOKUP(CONCATENATE($D12,P$11),'[11]Summary_NCP '!$A$99:$H$206,6,FALSE)*1000</f>
        <v>0</v>
      </c>
      <c r="Q12" s="467">
        <f t="shared" ref="Q12:Q16" si="0">SUM(E12:P12)</f>
        <v>131000</v>
      </c>
    </row>
    <row r="13" spans="2:18">
      <c r="D13" s="243">
        <f>1+D12</f>
        <v>2017</v>
      </c>
      <c r="E13" s="244">
        <f>[10]Summary_CP!$L$111*1000</f>
        <v>21000</v>
      </c>
      <c r="F13" s="244">
        <f>VLOOKUP(CONCATENATE($D13,F$11),'[11]Summary_NCP '!$A$99:$H$206,6,FALSE)*1000</f>
        <v>6000</v>
      </c>
      <c r="G13" s="244">
        <f>VLOOKUP(CONCATENATE($D13,G$11),'[11]Summary_NCP '!$A$99:$H$206,6,FALSE)*1000</f>
        <v>0</v>
      </c>
      <c r="H13" s="244">
        <f>VLOOKUP(CONCATENATE($D13,H$11),'[11]Summary_NCP '!$A$99:$H$206,6,FALSE)*1000</f>
        <v>3000</v>
      </c>
      <c r="I13" s="244">
        <f>VLOOKUP(CONCATENATE($D13,I$11),'[11]Summary_NCP '!$A$99:$H$206,6,FALSE)*1000</f>
        <v>12000</v>
      </c>
      <c r="J13" s="244">
        <f>VLOOKUP(CONCATENATE($D13,J$11),'[11]Summary_NCP '!$A$99:$H$206,6,FALSE)*1000</f>
        <v>20000</v>
      </c>
      <c r="K13" s="244">
        <f>VLOOKUP(CONCATENATE($D13,K$11),'[11]Summary_NCP '!$A$99:$H$206,6,FALSE)*1000</f>
        <v>25000</v>
      </c>
      <c r="L13" s="244">
        <f>[10]Summary_CP!$L$118*1000</f>
        <v>21000</v>
      </c>
      <c r="M13" s="244">
        <f>VLOOKUP(CONCATENATE($D13,M$11),'[11]Summary_NCP '!$A$99:$H$206,6,FALSE)*1000</f>
        <v>21000</v>
      </c>
      <c r="N13" s="244">
        <f>VLOOKUP(CONCATENATE($D13,N$11),'[11]Summary_NCP '!$A$99:$H$206,6,FALSE)*1000</f>
        <v>8000</v>
      </c>
      <c r="O13" s="244">
        <f>VLOOKUP(CONCATENATE($D13,O$11),'[11]Summary_NCP '!$A$99:$H$206,6,FALSE)*1000</f>
        <v>0</v>
      </c>
      <c r="P13" s="244">
        <f>VLOOKUP(CONCATENATE($D13,P$11),'[11]Summary_NCP '!$A$99:$H$206,6,FALSE)*1000</f>
        <v>0</v>
      </c>
      <c r="Q13" s="468">
        <f t="shared" si="0"/>
        <v>137000</v>
      </c>
    </row>
    <row r="14" spans="2:18">
      <c r="D14" s="243">
        <f>1+D13</f>
        <v>2018</v>
      </c>
      <c r="E14" s="244">
        <f>[10]Summary_CP!$L$123*1000</f>
        <v>24000</v>
      </c>
      <c r="F14" s="244">
        <f>VLOOKUP(CONCATENATE($D14,F$11),'[11]Summary_NCP '!$A$99:$H$206,6,FALSE)*1000</f>
        <v>6000</v>
      </c>
      <c r="G14" s="244">
        <f>VLOOKUP(CONCATENATE($D14,G$11),'[11]Summary_NCP '!$A$99:$H$206,6,FALSE)*1000</f>
        <v>0</v>
      </c>
      <c r="H14" s="244">
        <f>VLOOKUP(CONCATENATE($D14,H$11),'[11]Summary_NCP '!$A$99:$H$206,6,FALSE)*1000</f>
        <v>3000</v>
      </c>
      <c r="I14" s="244">
        <f>VLOOKUP(CONCATENATE($D14,I$11),'[11]Summary_NCP '!$A$99:$H$206,6,FALSE)*1000</f>
        <v>12000</v>
      </c>
      <c r="J14" s="244">
        <f>VLOOKUP(CONCATENATE($D14,J$11),'[11]Summary_NCP '!$A$99:$H$206,6,FALSE)*1000</f>
        <v>20000</v>
      </c>
      <c r="K14" s="244">
        <f>VLOOKUP(CONCATENATE($D14,K$11),'[11]Summary_NCP '!$A$99:$H$206,6,FALSE)*1000</f>
        <v>25000</v>
      </c>
      <c r="L14" s="244">
        <f>[10]Summary_CP!$L$130*1000</f>
        <v>24000</v>
      </c>
      <c r="M14" s="244">
        <f>VLOOKUP(CONCATENATE($D14,M$11),'[11]Summary_NCP '!$A$99:$H$206,6,FALSE)*1000</f>
        <v>21000</v>
      </c>
      <c r="N14" s="244">
        <f>VLOOKUP(CONCATENATE($D14,N$11),'[11]Summary_NCP '!$A$99:$H$206,6,FALSE)*1000</f>
        <v>8000</v>
      </c>
      <c r="O14" s="244">
        <f>VLOOKUP(CONCATENATE($D14,O$11),'[11]Summary_NCP '!$A$99:$H$206,6,FALSE)*1000</f>
        <v>0</v>
      </c>
      <c r="P14" s="244">
        <f>VLOOKUP(CONCATENATE($D14,P$11),'[11]Summary_NCP '!$A$99:$H$206,6,FALSE)*1000</f>
        <v>0</v>
      </c>
      <c r="Q14" s="468">
        <f t="shared" si="0"/>
        <v>143000</v>
      </c>
    </row>
    <row r="15" spans="2:18">
      <c r="D15" s="243">
        <v>2019</v>
      </c>
      <c r="E15" s="244">
        <f>[10]Summary_CP!$L$135*1000</f>
        <v>27000</v>
      </c>
      <c r="F15" s="244">
        <f>VLOOKUP(CONCATENATE($D15,F$11),'[11]Summary_NCP '!$A$99:$H$206,6,FALSE)*1000</f>
        <v>6000</v>
      </c>
      <c r="G15" s="244">
        <f>VLOOKUP(CONCATENATE($D15,G$11),'[11]Summary_NCP '!$A$99:$H$206,6,FALSE)*1000</f>
        <v>0</v>
      </c>
      <c r="H15" s="244">
        <f>VLOOKUP(CONCATENATE($D15,H$11),'[11]Summary_NCP '!$A$99:$H$206,6,FALSE)*1000</f>
        <v>3000</v>
      </c>
      <c r="I15" s="244">
        <f>VLOOKUP(CONCATENATE($D15,I$11),'[11]Summary_NCP '!$A$99:$H$206,6,FALSE)*1000</f>
        <v>12000</v>
      </c>
      <c r="J15" s="244">
        <f>VLOOKUP(CONCATENATE($D15,J$11),'[11]Summary_NCP '!$A$99:$H$206,6,FALSE)*1000</f>
        <v>20000</v>
      </c>
      <c r="K15" s="244">
        <f>VLOOKUP(CONCATENATE($D15,K$11),'[11]Summary_NCP '!$A$99:$H$206,6,FALSE)*1000</f>
        <v>25000</v>
      </c>
      <c r="L15" s="244">
        <f>[10]Summary_CP!$L$142*1000</f>
        <v>27000</v>
      </c>
      <c r="M15" s="244">
        <f>VLOOKUP(CONCATENATE($D15,M$11),'[11]Summary_NCP '!$A$99:$H$206,6,FALSE)*1000</f>
        <v>21000</v>
      </c>
      <c r="N15" s="244">
        <f>VLOOKUP(CONCATENATE($D15,N$11),'[11]Summary_NCP '!$A$99:$H$206,6,FALSE)*1000</f>
        <v>8000</v>
      </c>
      <c r="O15" s="244">
        <f>VLOOKUP(CONCATENATE($D15,O$11),'[11]Summary_NCP '!$A$99:$H$206,6,FALSE)*1000</f>
        <v>0</v>
      </c>
      <c r="P15" s="244">
        <f>VLOOKUP(CONCATENATE($D15,P$11),'[11]Summary_NCP '!$A$99:$H$206,6,FALSE)*1000</f>
        <v>0</v>
      </c>
      <c r="Q15" s="468">
        <f t="shared" si="0"/>
        <v>149000</v>
      </c>
      <c r="R15" s="344" t="s">
        <v>434</v>
      </c>
    </row>
    <row r="16" spans="2:18">
      <c r="C16" s="259"/>
      <c r="D16" s="243">
        <v>2020</v>
      </c>
      <c r="E16" s="244">
        <f>[10]Summary_CP!$L$147*1000</f>
        <v>27000</v>
      </c>
      <c r="F16" s="244">
        <f>VLOOKUP(CONCATENATE($D16,F$11),'[11]Summary_NCP '!$A$99:$H$206,6,FALSE)*1000</f>
        <v>47600.000000000007</v>
      </c>
      <c r="G16" s="244">
        <f>VLOOKUP(CONCATENATE($D16,G$11),'[11]Summary_NCP '!$A$99:$H$206,6,FALSE)*1000</f>
        <v>29750</v>
      </c>
      <c r="H16" s="244">
        <f>VLOOKUP(CONCATENATE($D16,H$11),'[11]Summary_NCP '!$A$99:$H$206,6,FALSE)*1000</f>
        <v>44450</v>
      </c>
      <c r="I16" s="244">
        <f>VLOOKUP(CONCATENATE($D16,I$11),'[11]Summary_NCP '!$A$99:$H$206,6,FALSE)*1000</f>
        <v>53900.000000000007</v>
      </c>
      <c r="J16" s="244">
        <f>VLOOKUP(CONCATENATE($D16,J$11),'[11]Summary_NCP '!$A$99:$H$206,6,FALSE)*1000</f>
        <v>62300</v>
      </c>
      <c r="K16" s="244">
        <f>VLOOKUP(CONCATENATE($D16,K$11),'[11]Summary_NCP '!$A$99:$H$206,6,FALSE)*1000</f>
        <v>67550</v>
      </c>
      <c r="L16" s="244">
        <f>[10]Summary_CP!$L$154*1000</f>
        <v>27000</v>
      </c>
      <c r="M16" s="244">
        <f>VLOOKUP(CONCATENATE($D16,M$11),'[11]Summary_NCP '!$A$99:$H$206,6,FALSE)*1000</f>
        <v>63350.000000000007</v>
      </c>
      <c r="N16" s="244">
        <f>VLOOKUP(CONCATENATE($D16,N$11),'[11]Summary_NCP '!$A$99:$H$206,6,FALSE)*1000</f>
        <v>49700</v>
      </c>
      <c r="O16" s="244">
        <f>VLOOKUP(CONCATENATE($D16,O$11),'[11]Summary_NCP '!$A$99:$H$206,6,FALSE)*1000</f>
        <v>40250</v>
      </c>
      <c r="P16" s="244">
        <f>VLOOKUP(CONCATENATE($D16,P$11),'[11]Summary_NCP '!$A$99:$H$206,6,FALSE)*1000</f>
        <v>39200</v>
      </c>
      <c r="Q16" s="468">
        <f t="shared" si="0"/>
        <v>552050</v>
      </c>
    </row>
    <row r="17" spans="3:8">
      <c r="C17" s="259"/>
      <c r="D17" s="244"/>
      <c r="E17" s="244"/>
      <c r="F17" s="244"/>
      <c r="G17" s="244"/>
      <c r="H17" s="244"/>
    </row>
    <row r="18" spans="3:8">
      <c r="C18" s="259"/>
      <c r="D18" s="244"/>
      <c r="E18" s="244"/>
      <c r="F18" s="244"/>
      <c r="G18" s="244"/>
      <c r="H18" s="244"/>
    </row>
    <row r="19" spans="3:8">
      <c r="C19" s="259"/>
      <c r="D19" s="286" t="s">
        <v>439</v>
      </c>
      <c r="E19" s="286"/>
      <c r="F19" s="244"/>
      <c r="G19" s="244"/>
      <c r="H19" s="244"/>
    </row>
    <row r="20" spans="3:8">
      <c r="C20" s="259"/>
      <c r="D20" s="286" t="s">
        <v>440</v>
      </c>
      <c r="F20" s="244"/>
      <c r="G20" s="374"/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9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491</v>
      </c>
    </row>
    <row r="2" spans="1:16" ht="13.2">
      <c r="A2" s="480" t="s">
        <v>473</v>
      </c>
    </row>
    <row r="5" spans="1:16" s="16" customFormat="1" ht="13.8">
      <c r="A5" s="250"/>
      <c r="B5" s="14">
        <f ca="1">TRUNC(NOW())</f>
        <v>42475</v>
      </c>
      <c r="C5" s="15"/>
      <c r="D5" s="17" t="s">
        <v>15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1"/>
      <c r="B6" s="18">
        <f ca="1">NOW()</f>
        <v>42475.808831944443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s="16" customFormat="1" ht="13.8">
      <c r="A7" s="252" t="s">
        <v>323</v>
      </c>
      <c r="B7" s="15"/>
      <c r="C7" s="15"/>
      <c r="D7" s="15"/>
      <c r="G7" s="15"/>
      <c r="H7" s="15"/>
      <c r="I7" s="15"/>
      <c r="J7" s="15"/>
      <c r="K7" s="15"/>
      <c r="L7" s="15"/>
      <c r="M7" s="15"/>
      <c r="O7" s="15"/>
      <c r="P7" s="15"/>
    </row>
    <row r="8" spans="1:16" s="16" customFormat="1" ht="13.8">
      <c r="A8" s="253"/>
      <c r="B8" s="245">
        <v>1</v>
      </c>
      <c r="C8" s="245">
        <f>1+B8</f>
        <v>2</v>
      </c>
      <c r="D8" s="245">
        <f t="shared" ref="D8:M8" si="0">1+C8</f>
        <v>3</v>
      </c>
      <c r="E8" s="245">
        <f t="shared" si="0"/>
        <v>4</v>
      </c>
      <c r="F8" s="245">
        <f t="shared" si="0"/>
        <v>5</v>
      </c>
      <c r="G8" s="245">
        <f t="shared" si="0"/>
        <v>6</v>
      </c>
      <c r="H8" s="245">
        <f t="shared" si="0"/>
        <v>7</v>
      </c>
      <c r="I8" s="245">
        <f t="shared" si="0"/>
        <v>8</v>
      </c>
      <c r="J8" s="245">
        <f t="shared" si="0"/>
        <v>9</v>
      </c>
      <c r="K8" s="245">
        <f t="shared" si="0"/>
        <v>10</v>
      </c>
      <c r="L8" s="245">
        <f t="shared" si="0"/>
        <v>11</v>
      </c>
      <c r="M8" s="245">
        <f t="shared" si="0"/>
        <v>12</v>
      </c>
    </row>
    <row r="9" spans="1:16" s="20" customFormat="1" ht="10.199999999999999">
      <c r="A9" s="253"/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8</v>
      </c>
      <c r="K9" s="24" t="s">
        <v>9</v>
      </c>
      <c r="L9" s="24" t="s">
        <v>10</v>
      </c>
      <c r="M9" s="24" t="s">
        <v>11</v>
      </c>
      <c r="N9" s="24" t="s">
        <v>12</v>
      </c>
    </row>
    <row r="10" spans="1:16" s="20" customFormat="1" ht="13.8">
      <c r="A10" s="254"/>
      <c r="P10" s="462" t="s">
        <v>384</v>
      </c>
    </row>
    <row r="11" spans="1:16" s="20" customFormat="1" ht="10.199999999999999">
      <c r="A11" s="254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>
      <c r="B12" s="24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4" t="s">
        <v>6</v>
      </c>
      <c r="I12" s="24" t="s">
        <v>7</v>
      </c>
      <c r="J12" s="24" t="s">
        <v>8</v>
      </c>
      <c r="K12" s="24" t="s">
        <v>9</v>
      </c>
      <c r="L12" s="24" t="s">
        <v>10</v>
      </c>
      <c r="M12" s="24" t="s">
        <v>11</v>
      </c>
      <c r="N12" s="24" t="s">
        <v>12</v>
      </c>
    </row>
    <row r="13" spans="1:16">
      <c r="A13" s="255">
        <v>2014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>
      <c r="A14" s="254" t="s">
        <v>37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6">
      <c r="A15" s="256" t="s">
        <v>47</v>
      </c>
      <c r="B15" s="239"/>
      <c r="C15" s="239">
        <f>[10]Summary_CP!$H75*1000</f>
        <v>0</v>
      </c>
      <c r="D15" s="239">
        <f>[10]Summary_CP!$H76*1000</f>
        <v>30000</v>
      </c>
      <c r="E15" s="239">
        <f>[10]Summary_CP!$H77*1000</f>
        <v>20000</v>
      </c>
      <c r="F15" s="239">
        <f>[10]Summary_CP!$H78*1000</f>
        <v>10000</v>
      </c>
      <c r="G15" s="239">
        <f>[10]Summary_CP!$H79*1000</f>
        <v>30000</v>
      </c>
      <c r="H15" s="239">
        <f>[10]Summary_CP!$H80*1000</f>
        <v>35000</v>
      </c>
      <c r="I15" s="239">
        <f>[10]Summary_CP!$H81*1000</f>
        <v>35000</v>
      </c>
      <c r="J15" s="239">
        <f>[10]Summary_CP!$H82*1000</f>
        <v>35000</v>
      </c>
      <c r="K15" s="239">
        <f>[10]Summary_CP!$H83*1000</f>
        <v>25000</v>
      </c>
      <c r="L15" s="239">
        <f>[10]Summary_CP!$H84*1000</f>
        <v>20000</v>
      </c>
      <c r="M15" s="239">
        <f>[10]Summary_CP!$H85*1000</f>
        <v>20000</v>
      </c>
      <c r="N15" s="21">
        <f>SUM(B15:M15)</f>
        <v>260000</v>
      </c>
    </row>
    <row r="16" spans="1:16">
      <c r="A16" s="256" t="s">
        <v>45</v>
      </c>
      <c r="B16" s="28">
        <f>ROUND(B15*'Transmission Formula Rate (7)'!$B$27,0)</f>
        <v>0</v>
      </c>
      <c r="C16" s="28">
        <f>ROUND(C15*'Transmission Formula Rate (7)'!$B$27,0)</f>
        <v>0</v>
      </c>
      <c r="D16" s="28">
        <f>ROUND(D15*'Transmission Formula Rate (7)'!$B$27,0)</f>
        <v>555</v>
      </c>
      <c r="E16" s="28">
        <f>ROUND(E15*'Transmission Formula Rate (7)'!$B$27,0)</f>
        <v>370</v>
      </c>
      <c r="F16" s="28">
        <f>ROUND(F15*'Transmission Formula Rate (7)'!$B$27,0)</f>
        <v>185</v>
      </c>
      <c r="G16" s="28">
        <f>ROUND(G15*'Transmission Formula Rate (7)'!$B$27,0)</f>
        <v>555</v>
      </c>
      <c r="H16" s="28">
        <f>ROUND(H15*'Transmission Formula Rate (7)'!$B$27,0)</f>
        <v>648</v>
      </c>
      <c r="I16" s="28">
        <f>ROUND(I15*'Transmission Formula Rate (7)'!$B$27,0)</f>
        <v>648</v>
      </c>
      <c r="J16" s="28">
        <f>ROUND(J15*'Transmission Formula Rate (7)'!$B$27,0)</f>
        <v>648</v>
      </c>
      <c r="K16" s="28">
        <f>ROUND(K15*'Transmission Formula Rate (7)'!$B$27,0)</f>
        <v>463</v>
      </c>
      <c r="L16" s="28">
        <f>ROUND(L15*'Transmission Formula Rate (7)'!$B$27,0)</f>
        <v>370</v>
      </c>
      <c r="M16" s="28">
        <f>ROUND(M15*'Transmission Formula Rate (7)'!$B$27,0)</f>
        <v>370</v>
      </c>
      <c r="N16" s="21">
        <f>SUM(B16:M16)</f>
        <v>4812</v>
      </c>
    </row>
    <row r="17" spans="1:14">
      <c r="A17" s="256" t="s">
        <v>324</v>
      </c>
      <c r="B17" s="28">
        <f t="shared" ref="B17:M17" si="1">B15+B16</f>
        <v>0</v>
      </c>
      <c r="C17" s="28">
        <f t="shared" si="1"/>
        <v>0</v>
      </c>
      <c r="D17" s="28">
        <f t="shared" si="1"/>
        <v>30555</v>
      </c>
      <c r="E17" s="28">
        <f t="shared" si="1"/>
        <v>20370</v>
      </c>
      <c r="F17" s="28">
        <f t="shared" si="1"/>
        <v>10185</v>
      </c>
      <c r="G17" s="28">
        <f t="shared" si="1"/>
        <v>30555</v>
      </c>
      <c r="H17" s="28">
        <f t="shared" si="1"/>
        <v>35648</v>
      </c>
      <c r="I17" s="28">
        <f t="shared" si="1"/>
        <v>35648</v>
      </c>
      <c r="J17" s="28">
        <f t="shared" si="1"/>
        <v>35648</v>
      </c>
      <c r="K17" s="28">
        <f t="shared" si="1"/>
        <v>25463</v>
      </c>
      <c r="L17" s="28">
        <f t="shared" si="1"/>
        <v>20370</v>
      </c>
      <c r="M17" s="28">
        <f t="shared" si="1"/>
        <v>20370</v>
      </c>
      <c r="N17" s="124">
        <f>SUM(B17:M17)</f>
        <v>264812</v>
      </c>
    </row>
    <row r="18" spans="1:14">
      <c r="A18" s="254" t="s">
        <v>20</v>
      </c>
      <c r="B18" s="30">
        <f>'Transmission Formula Rate (7)'!B8</f>
        <v>1.59</v>
      </c>
      <c r="C18" s="30">
        <f>'Transmission Formula Rate (7)'!C8</f>
        <v>1.59</v>
      </c>
      <c r="D18" s="30">
        <f>'Transmission Formula Rate (7)'!D8</f>
        <v>1.59</v>
      </c>
      <c r="E18" s="30">
        <f>'Transmission Formula Rate (7)'!E8</f>
        <v>1.59</v>
      </c>
      <c r="F18" s="30">
        <f>'Transmission Formula Rate (7)'!F8</f>
        <v>1.59</v>
      </c>
      <c r="G18" s="30">
        <f>'Transmission Formula Rate (7)'!G8</f>
        <v>1.59</v>
      </c>
      <c r="H18" s="30">
        <f>'Transmission Formula Rate (7)'!H8</f>
        <v>1.59</v>
      </c>
      <c r="I18" s="30">
        <f>'Transmission Formula Rate (7)'!I8</f>
        <v>1.59</v>
      </c>
      <c r="J18" s="30">
        <f>'Transmission Formula Rate (7)'!J8</f>
        <v>1.59</v>
      </c>
      <c r="K18" s="30">
        <f>'Transmission Formula Rate (7)'!K8</f>
        <v>1.59</v>
      </c>
      <c r="L18" s="30">
        <f>'Transmission Formula Rate (7)'!L8</f>
        <v>1.59</v>
      </c>
      <c r="M18" s="30">
        <f>'Transmission Formula Rate (7)'!M8</f>
        <v>1.59</v>
      </c>
      <c r="N18" s="20"/>
    </row>
    <row r="19" spans="1:14">
      <c r="A19" s="254" t="s">
        <v>17</v>
      </c>
      <c r="B19" s="21">
        <f t="shared" ref="B19:M19" si="2">B17*B18</f>
        <v>0</v>
      </c>
      <c r="C19" s="21">
        <f t="shared" si="2"/>
        <v>0</v>
      </c>
      <c r="D19" s="21">
        <f>D17*D18</f>
        <v>48582.450000000004</v>
      </c>
      <c r="E19" s="21">
        <f t="shared" si="2"/>
        <v>32388.300000000003</v>
      </c>
      <c r="F19" s="21">
        <f t="shared" si="2"/>
        <v>16194.150000000001</v>
      </c>
      <c r="G19" s="21">
        <f t="shared" si="2"/>
        <v>48582.450000000004</v>
      </c>
      <c r="H19" s="21">
        <f t="shared" si="2"/>
        <v>56680.32</v>
      </c>
      <c r="I19" s="21">
        <f t="shared" si="2"/>
        <v>56680.32</v>
      </c>
      <c r="J19" s="21">
        <f t="shared" si="2"/>
        <v>56680.32</v>
      </c>
      <c r="K19" s="21">
        <f t="shared" si="2"/>
        <v>40486.170000000006</v>
      </c>
      <c r="L19" s="21">
        <f t="shared" si="2"/>
        <v>32388.300000000003</v>
      </c>
      <c r="M19" s="21">
        <f t="shared" si="2"/>
        <v>32388.300000000003</v>
      </c>
      <c r="N19" s="21">
        <f>SUM(B19:M19)</f>
        <v>421051.07999999996</v>
      </c>
    </row>
    <row r="20" spans="1:14">
      <c r="A20" s="255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>
      <c r="A21" s="254" t="s">
        <v>141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56" t="s">
        <v>47</v>
      </c>
      <c r="B22" s="239">
        <f>B15</f>
        <v>0</v>
      </c>
      <c r="C22" s="239">
        <f t="shared" ref="C22:M22" si="3">C15</f>
        <v>0</v>
      </c>
      <c r="D22" s="239">
        <f t="shared" si="3"/>
        <v>30000</v>
      </c>
      <c r="E22" s="239">
        <f t="shared" si="3"/>
        <v>20000</v>
      </c>
      <c r="F22" s="239">
        <f t="shared" si="3"/>
        <v>10000</v>
      </c>
      <c r="G22" s="239">
        <f t="shared" si="3"/>
        <v>30000</v>
      </c>
      <c r="H22" s="239">
        <f t="shared" si="3"/>
        <v>35000</v>
      </c>
      <c r="I22" s="239">
        <f t="shared" si="3"/>
        <v>35000</v>
      </c>
      <c r="J22" s="239">
        <f t="shared" si="3"/>
        <v>35000</v>
      </c>
      <c r="K22" s="239">
        <f t="shared" si="3"/>
        <v>25000</v>
      </c>
      <c r="L22" s="239">
        <f t="shared" si="3"/>
        <v>20000</v>
      </c>
      <c r="M22" s="239">
        <f t="shared" si="3"/>
        <v>20000</v>
      </c>
      <c r="N22" s="21">
        <f>SUM(B22:M22)</f>
        <v>260000</v>
      </c>
    </row>
    <row r="23" spans="1:14">
      <c r="A23" s="256" t="s">
        <v>45</v>
      </c>
      <c r="B23" s="28">
        <f>ROUND(B22*'Transmission Formula Rate (7)'!$B$27,0)</f>
        <v>0</v>
      </c>
      <c r="C23" s="28">
        <f>ROUND(C22*'Transmission Formula Rate (7)'!$B$27,0)</f>
        <v>0</v>
      </c>
      <c r="D23" s="28">
        <f>ROUND(D22*'Transmission Formula Rate (7)'!$B$27,0)</f>
        <v>555</v>
      </c>
      <c r="E23" s="28">
        <f>ROUND(E22*'Transmission Formula Rate (7)'!$B$27,0)</f>
        <v>370</v>
      </c>
      <c r="F23" s="28">
        <f>ROUND(F22*'Transmission Formula Rate (7)'!$B$27,0)</f>
        <v>185</v>
      </c>
      <c r="G23" s="28">
        <f>ROUND(G22*'Transmission Formula Rate (7)'!$B$27,0)</f>
        <v>555</v>
      </c>
      <c r="H23" s="28">
        <f>ROUND(H22*'Transmission Formula Rate (7)'!$B$27,0)</f>
        <v>648</v>
      </c>
      <c r="I23" s="28">
        <f>ROUND(I22*'Transmission Formula Rate (7)'!$B$27,0)</f>
        <v>648</v>
      </c>
      <c r="J23" s="28">
        <f>ROUND(J22*'Transmission Formula Rate (7)'!$B$27,0)</f>
        <v>648</v>
      </c>
      <c r="K23" s="28">
        <f>ROUND(K22*'Transmission Formula Rate (7)'!$B$27,0)</f>
        <v>463</v>
      </c>
      <c r="L23" s="28">
        <f>ROUND(L22*'Transmission Formula Rate (7)'!$B$27,0)</f>
        <v>370</v>
      </c>
      <c r="M23" s="28">
        <f>ROUND(M22*'Transmission Formula Rate (7)'!$B$27,0)</f>
        <v>370</v>
      </c>
      <c r="N23" s="21">
        <f>SUM(B23:M23)</f>
        <v>4812</v>
      </c>
    </row>
    <row r="24" spans="1:14">
      <c r="A24" s="256" t="str">
        <f>$A$17</f>
        <v xml:space="preserve">       New Smyrna Load</v>
      </c>
      <c r="B24" s="28">
        <f>B22+B23</f>
        <v>0</v>
      </c>
      <c r="C24" s="28">
        <f t="shared" ref="C24:M24" si="4">C22+C23</f>
        <v>0</v>
      </c>
      <c r="D24" s="28">
        <f t="shared" si="4"/>
        <v>30555</v>
      </c>
      <c r="E24" s="28">
        <f t="shared" si="4"/>
        <v>20370</v>
      </c>
      <c r="F24" s="28">
        <f t="shared" si="4"/>
        <v>10185</v>
      </c>
      <c r="G24" s="28">
        <f t="shared" si="4"/>
        <v>30555</v>
      </c>
      <c r="H24" s="28">
        <f t="shared" si="4"/>
        <v>35648</v>
      </c>
      <c r="I24" s="28">
        <f t="shared" si="4"/>
        <v>35648</v>
      </c>
      <c r="J24" s="28">
        <f t="shared" si="4"/>
        <v>35648</v>
      </c>
      <c r="K24" s="28">
        <f t="shared" si="4"/>
        <v>25463</v>
      </c>
      <c r="L24" s="28">
        <f t="shared" si="4"/>
        <v>20370</v>
      </c>
      <c r="M24" s="28">
        <f t="shared" si="4"/>
        <v>20370</v>
      </c>
      <c r="N24" s="124">
        <f>SUM(B24:M24)</f>
        <v>264812</v>
      </c>
    </row>
    <row r="25" spans="1:14">
      <c r="A25" s="254" t="s">
        <v>149</v>
      </c>
      <c r="B25" s="32">
        <f>'charges (1 &amp; 2)'!C33</f>
        <v>1.274E-2</v>
      </c>
      <c r="C25" s="32">
        <f>B25</f>
        <v>1.274E-2</v>
      </c>
      <c r="D25" s="32">
        <f t="shared" ref="D25:M25" si="5">C25</f>
        <v>1.274E-2</v>
      </c>
      <c r="E25" s="32">
        <f t="shared" si="5"/>
        <v>1.274E-2</v>
      </c>
      <c r="F25" s="32">
        <f t="shared" si="5"/>
        <v>1.274E-2</v>
      </c>
      <c r="G25" s="32">
        <f t="shared" si="5"/>
        <v>1.274E-2</v>
      </c>
      <c r="H25" s="32">
        <f t="shared" si="5"/>
        <v>1.274E-2</v>
      </c>
      <c r="I25" s="32">
        <f t="shared" si="5"/>
        <v>1.274E-2</v>
      </c>
      <c r="J25" s="32">
        <f t="shared" si="5"/>
        <v>1.274E-2</v>
      </c>
      <c r="K25" s="32">
        <f t="shared" si="5"/>
        <v>1.274E-2</v>
      </c>
      <c r="L25" s="32">
        <f t="shared" si="5"/>
        <v>1.274E-2</v>
      </c>
      <c r="M25" s="32">
        <f t="shared" si="5"/>
        <v>1.274E-2</v>
      </c>
      <c r="N25" s="20"/>
    </row>
    <row r="26" spans="1:14">
      <c r="A26" s="254" t="s">
        <v>17</v>
      </c>
      <c r="B26" s="21">
        <f t="shared" ref="B26:M26" si="6">B24*B25</f>
        <v>0</v>
      </c>
      <c r="C26" s="21">
        <f t="shared" si="6"/>
        <v>0</v>
      </c>
      <c r="D26" s="21">
        <f t="shared" si="6"/>
        <v>389.27069999999998</v>
      </c>
      <c r="E26" s="21">
        <f t="shared" si="6"/>
        <v>259.5138</v>
      </c>
      <c r="F26" s="21">
        <f t="shared" si="6"/>
        <v>129.7569</v>
      </c>
      <c r="G26" s="21">
        <f t="shared" si="6"/>
        <v>389.27069999999998</v>
      </c>
      <c r="H26" s="21">
        <f t="shared" si="6"/>
        <v>454.15551999999997</v>
      </c>
      <c r="I26" s="21">
        <f t="shared" si="6"/>
        <v>454.15551999999997</v>
      </c>
      <c r="J26" s="21">
        <f t="shared" si="6"/>
        <v>454.15551999999997</v>
      </c>
      <c r="K26" s="21">
        <f t="shared" si="6"/>
        <v>324.39861999999999</v>
      </c>
      <c r="L26" s="21">
        <f t="shared" si="6"/>
        <v>259.5138</v>
      </c>
      <c r="M26" s="21">
        <f t="shared" si="6"/>
        <v>259.5138</v>
      </c>
      <c r="N26" s="21">
        <f>SUM(B26:M26)</f>
        <v>3373.7048799999998</v>
      </c>
    </row>
    <row r="27" spans="1:14">
      <c r="A27" s="257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257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B29" s="24" t="s">
        <v>0</v>
      </c>
      <c r="C29" s="24" t="s">
        <v>1</v>
      </c>
      <c r="D29" s="24" t="s">
        <v>2</v>
      </c>
      <c r="E29" s="24" t="s">
        <v>3</v>
      </c>
      <c r="F29" s="24" t="s">
        <v>4</v>
      </c>
      <c r="G29" s="24" t="s">
        <v>5</v>
      </c>
      <c r="H29" s="24" t="s">
        <v>6</v>
      </c>
      <c r="I29" s="24" t="s">
        <v>7</v>
      </c>
      <c r="J29" s="24" t="s">
        <v>8</v>
      </c>
      <c r="K29" s="24" t="s">
        <v>9</v>
      </c>
      <c r="L29" s="24" t="s">
        <v>10</v>
      </c>
      <c r="M29" s="24" t="s">
        <v>11</v>
      </c>
      <c r="N29" s="24" t="s">
        <v>12</v>
      </c>
    </row>
    <row r="30" spans="1:14">
      <c r="A30" s="255">
        <f>+A13+1</f>
        <v>2015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>
      <c r="A31" s="254" t="s">
        <v>37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56" t="s">
        <v>47</v>
      </c>
      <c r="B32" s="239">
        <f>[10]Summary_CP!$H$86*1000</f>
        <v>20000</v>
      </c>
      <c r="C32" s="239">
        <f>[10]Summary_CP!$H$87*1000</f>
        <v>35000</v>
      </c>
      <c r="D32" s="239">
        <f>[10]Summary_CP!$H$88*1000</f>
        <v>40000</v>
      </c>
      <c r="E32" s="239">
        <f>[10]Summary_CP!$H$89*1000</f>
        <v>20000</v>
      </c>
      <c r="F32" s="239">
        <f>[10]Summary_CP!$H$90*1000</f>
        <v>20000</v>
      </c>
      <c r="G32" s="239">
        <f>[10]Summary_CP!$H$91*1000</f>
        <v>25000</v>
      </c>
      <c r="H32" s="239">
        <f>[10]Summary_CP!$H$92*1000</f>
        <v>40000</v>
      </c>
      <c r="I32" s="239">
        <f>[10]Summary_CP!$H$93*1000</f>
        <v>45000</v>
      </c>
      <c r="J32" s="239">
        <f>[10]Summary_CP!$H$94*1000</f>
        <v>45000</v>
      </c>
      <c r="K32" s="239">
        <f>[10]Summary_CP!$H$95*1000</f>
        <v>30000</v>
      </c>
      <c r="L32" s="239">
        <f>[10]Summary_CP!$H$96*1000</f>
        <v>20000</v>
      </c>
      <c r="M32" s="239">
        <f>[10]Summary_CP!$H$97*1000</f>
        <v>15000</v>
      </c>
      <c r="N32" s="21">
        <f>SUM(B32:M32)</f>
        <v>355000</v>
      </c>
    </row>
    <row r="33" spans="1:14">
      <c r="A33" s="256" t="s">
        <v>45</v>
      </c>
      <c r="B33" s="28">
        <f>B32-B34</f>
        <v>363.27933235149612</v>
      </c>
      <c r="C33" s="28">
        <f t="shared" ref="C33:M33" si="7">C32-C34</f>
        <v>635.73883161511912</v>
      </c>
      <c r="D33" s="28">
        <f t="shared" si="7"/>
        <v>726.55866470299225</v>
      </c>
      <c r="E33" s="28">
        <f t="shared" si="7"/>
        <v>363.27933235149612</v>
      </c>
      <c r="F33" s="28">
        <f t="shared" si="7"/>
        <v>363.27933235149612</v>
      </c>
      <c r="G33" s="28">
        <f t="shared" si="7"/>
        <v>454.09916543936924</v>
      </c>
      <c r="H33" s="28">
        <f t="shared" si="7"/>
        <v>726.55866470299225</v>
      </c>
      <c r="I33" s="28">
        <f t="shared" si="7"/>
        <v>817.37849779086537</v>
      </c>
      <c r="J33" s="28">
        <f t="shared" si="7"/>
        <v>817.37849779086537</v>
      </c>
      <c r="K33" s="28">
        <f t="shared" si="7"/>
        <v>544.918998527246</v>
      </c>
      <c r="L33" s="28">
        <f t="shared" si="7"/>
        <v>363.27933235149612</v>
      </c>
      <c r="M33" s="28">
        <f t="shared" si="7"/>
        <v>272.459499263623</v>
      </c>
      <c r="N33" s="21">
        <f>SUM(B33:M33)</f>
        <v>6448.2081492390571</v>
      </c>
    </row>
    <row r="34" spans="1:14">
      <c r="A34" s="256" t="str">
        <f>$A$17</f>
        <v xml:space="preserve">       New Smyrna Load</v>
      </c>
      <c r="B34" s="28">
        <f>B32/(1+'Transmission Formula Rate (7)'!$B$27)</f>
        <v>19636.720667648504</v>
      </c>
      <c r="C34" s="28">
        <f>C32/(1+'Transmission Formula Rate (7)'!$B$27)</f>
        <v>34364.261168384881</v>
      </c>
      <c r="D34" s="28">
        <f>D32/(1+'Transmission Formula Rate (7)'!$B$27)</f>
        <v>39273.441335297008</v>
      </c>
      <c r="E34" s="28">
        <f>E32/(1+'Transmission Formula Rate (7)'!$B$27)</f>
        <v>19636.720667648504</v>
      </c>
      <c r="F34" s="28">
        <f>F32/(1+'Transmission Formula Rate (7)'!$B$27)</f>
        <v>19636.720667648504</v>
      </c>
      <c r="G34" s="28">
        <f>G32/(1+'Transmission Formula Rate (7)'!$B$27)</f>
        <v>24545.900834560631</v>
      </c>
      <c r="H34" s="28">
        <f>H32/(1+'Transmission Formula Rate (7)'!$B$27)</f>
        <v>39273.441335297008</v>
      </c>
      <c r="I34" s="28">
        <f>I32/(1+'Transmission Formula Rate (7)'!$B$27)</f>
        <v>44182.621502209135</v>
      </c>
      <c r="J34" s="28">
        <f>J32/(1+'Transmission Formula Rate (7)'!$B$27)</f>
        <v>44182.621502209135</v>
      </c>
      <c r="K34" s="28">
        <f>K32/(1+'Transmission Formula Rate (7)'!$B$27)</f>
        <v>29455.081001472754</v>
      </c>
      <c r="L34" s="28">
        <f>L32/(1+'Transmission Formula Rate (7)'!$B$27)</f>
        <v>19636.720667648504</v>
      </c>
      <c r="M34" s="28">
        <f>M32/(1+'Transmission Formula Rate (7)'!$B$27)</f>
        <v>14727.540500736377</v>
      </c>
      <c r="N34" s="124">
        <f>SUM(B34:M34)</f>
        <v>348551.79185076099</v>
      </c>
    </row>
    <row r="35" spans="1:14">
      <c r="A35" s="254" t="s">
        <v>20</v>
      </c>
      <c r="B35" s="30">
        <f>'Transmission Formula Rate (7)'!B10</f>
        <v>1.59</v>
      </c>
      <c r="C35" s="30">
        <f>'Transmission Formula Rate (7)'!C10</f>
        <v>1.59</v>
      </c>
      <c r="D35" s="30">
        <f>'Transmission Formula Rate (7)'!D10</f>
        <v>1.59</v>
      </c>
      <c r="E35" s="30">
        <f>'Transmission Formula Rate (7)'!E10</f>
        <v>1.59</v>
      </c>
      <c r="F35" s="30">
        <f>'Transmission Formula Rate (7)'!F10</f>
        <v>1.59</v>
      </c>
      <c r="G35" s="30">
        <f>'Transmission Formula Rate (7)'!G10</f>
        <v>1.59</v>
      </c>
      <c r="H35" s="30">
        <f>'Transmission Formula Rate (7)'!H10</f>
        <v>1.59</v>
      </c>
      <c r="I35" s="30">
        <f>'Transmission Formula Rate (7)'!I10</f>
        <v>1.59</v>
      </c>
      <c r="J35" s="30">
        <f>'Transmission Formula Rate (7)'!J10</f>
        <v>1.59</v>
      </c>
      <c r="K35" s="30">
        <f>'Transmission Formula Rate (7)'!K10</f>
        <v>1.59</v>
      </c>
      <c r="L35" s="30">
        <f>'Transmission Formula Rate (7)'!L10</f>
        <v>1.59</v>
      </c>
      <c r="M35" s="30">
        <f>'Transmission Formula Rate (7)'!M10</f>
        <v>1.59</v>
      </c>
      <c r="N35" s="20"/>
    </row>
    <row r="36" spans="1:14">
      <c r="A36" s="254" t="s">
        <v>17</v>
      </c>
      <c r="B36" s="21">
        <f>B32*B35</f>
        <v>31800</v>
      </c>
      <c r="C36" s="21">
        <f t="shared" ref="C36:M36" si="8">C32*C35</f>
        <v>55650</v>
      </c>
      <c r="D36" s="21">
        <f t="shared" si="8"/>
        <v>63600</v>
      </c>
      <c r="E36" s="21">
        <f t="shared" si="8"/>
        <v>31800</v>
      </c>
      <c r="F36" s="21">
        <f t="shared" si="8"/>
        <v>31800</v>
      </c>
      <c r="G36" s="21">
        <f t="shared" si="8"/>
        <v>39750</v>
      </c>
      <c r="H36" s="21">
        <f t="shared" si="8"/>
        <v>63600</v>
      </c>
      <c r="I36" s="21">
        <f t="shared" si="8"/>
        <v>71550</v>
      </c>
      <c r="J36" s="21">
        <f t="shared" si="8"/>
        <v>71550</v>
      </c>
      <c r="K36" s="21">
        <f t="shared" si="8"/>
        <v>47700</v>
      </c>
      <c r="L36" s="21">
        <f t="shared" si="8"/>
        <v>31800</v>
      </c>
      <c r="M36" s="21">
        <f t="shared" si="8"/>
        <v>23850</v>
      </c>
      <c r="N36" s="21">
        <f>SUM(B36:M36)</f>
        <v>564450</v>
      </c>
    </row>
    <row r="37" spans="1:14">
      <c r="A37" s="257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54" t="s">
        <v>141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256" t="s">
        <v>47</v>
      </c>
      <c r="B39" s="239">
        <f>B32</f>
        <v>20000</v>
      </c>
      <c r="C39" s="239">
        <f t="shared" ref="C39:M39" si="9">C32</f>
        <v>35000</v>
      </c>
      <c r="D39" s="239">
        <f t="shared" si="9"/>
        <v>40000</v>
      </c>
      <c r="E39" s="239">
        <f t="shared" si="9"/>
        <v>20000</v>
      </c>
      <c r="F39" s="239">
        <f t="shared" si="9"/>
        <v>20000</v>
      </c>
      <c r="G39" s="239">
        <f t="shared" si="9"/>
        <v>25000</v>
      </c>
      <c r="H39" s="239">
        <f t="shared" si="9"/>
        <v>40000</v>
      </c>
      <c r="I39" s="239">
        <f t="shared" si="9"/>
        <v>45000</v>
      </c>
      <c r="J39" s="239">
        <f t="shared" si="9"/>
        <v>45000</v>
      </c>
      <c r="K39" s="239">
        <f t="shared" si="9"/>
        <v>30000</v>
      </c>
      <c r="L39" s="239">
        <f t="shared" si="9"/>
        <v>20000</v>
      </c>
      <c r="M39" s="239">
        <f t="shared" si="9"/>
        <v>15000</v>
      </c>
      <c r="N39" s="21">
        <f>SUM(B39:M39)</f>
        <v>355000</v>
      </c>
    </row>
    <row r="40" spans="1:14">
      <c r="A40" s="256" t="s">
        <v>45</v>
      </c>
      <c r="B40" s="28">
        <f>B39-B41</f>
        <v>363.27933235149612</v>
      </c>
      <c r="C40" s="28">
        <f t="shared" ref="C40:M40" si="10">C39-C41</f>
        <v>635.73883161511912</v>
      </c>
      <c r="D40" s="28">
        <f t="shared" si="10"/>
        <v>726.55866470299225</v>
      </c>
      <c r="E40" s="28">
        <f t="shared" si="10"/>
        <v>363.27933235149612</v>
      </c>
      <c r="F40" s="28">
        <f t="shared" si="10"/>
        <v>363.27933235149612</v>
      </c>
      <c r="G40" s="28">
        <f t="shared" si="10"/>
        <v>454.09916543936924</v>
      </c>
      <c r="H40" s="28">
        <f t="shared" si="10"/>
        <v>726.55866470299225</v>
      </c>
      <c r="I40" s="28">
        <f t="shared" si="10"/>
        <v>817.37849779086537</v>
      </c>
      <c r="J40" s="28">
        <f t="shared" si="10"/>
        <v>817.37849779086537</v>
      </c>
      <c r="K40" s="28">
        <f t="shared" si="10"/>
        <v>544.918998527246</v>
      </c>
      <c r="L40" s="28">
        <f t="shared" si="10"/>
        <v>363.27933235149612</v>
      </c>
      <c r="M40" s="28">
        <f t="shared" si="10"/>
        <v>272.459499263623</v>
      </c>
      <c r="N40" s="21">
        <f>SUM(B40:M40)</f>
        <v>6448.2081492390571</v>
      </c>
    </row>
    <row r="41" spans="1:14">
      <c r="A41" s="256" t="str">
        <f>$A$17</f>
        <v xml:space="preserve">       New Smyrna Load</v>
      </c>
      <c r="B41" s="28">
        <f>B39/(1+'Transmission Formula Rate (7)'!$B$27)</f>
        <v>19636.720667648504</v>
      </c>
      <c r="C41" s="28">
        <f>C39/(1+'Transmission Formula Rate (7)'!$B$27)</f>
        <v>34364.261168384881</v>
      </c>
      <c r="D41" s="28">
        <f>D39/(1+'Transmission Formula Rate (7)'!$B$27)</f>
        <v>39273.441335297008</v>
      </c>
      <c r="E41" s="28">
        <f>E39/(1+'Transmission Formula Rate (7)'!$B$27)</f>
        <v>19636.720667648504</v>
      </c>
      <c r="F41" s="28">
        <f>F39/(1+'Transmission Formula Rate (7)'!$B$27)</f>
        <v>19636.720667648504</v>
      </c>
      <c r="G41" s="28">
        <f>G39/(1+'Transmission Formula Rate (7)'!$B$27)</f>
        <v>24545.900834560631</v>
      </c>
      <c r="H41" s="28">
        <f>H39/(1+'Transmission Formula Rate (7)'!$B$27)</f>
        <v>39273.441335297008</v>
      </c>
      <c r="I41" s="28">
        <f>I39/(1+'Transmission Formula Rate (7)'!$B$27)</f>
        <v>44182.621502209135</v>
      </c>
      <c r="J41" s="28">
        <f>J39/(1+'Transmission Formula Rate (7)'!$B$27)</f>
        <v>44182.621502209135</v>
      </c>
      <c r="K41" s="28">
        <f>K39/(1+'Transmission Formula Rate (7)'!$B$27)</f>
        <v>29455.081001472754</v>
      </c>
      <c r="L41" s="28">
        <f>L39/(1+'Transmission Formula Rate (7)'!$B$27)</f>
        <v>19636.720667648504</v>
      </c>
      <c r="M41" s="28">
        <f>M39/(1+'Transmission Formula Rate (7)'!$B$27)</f>
        <v>14727.540500736377</v>
      </c>
      <c r="N41" s="124">
        <f>SUM(B41:M41)</f>
        <v>348551.79185076099</v>
      </c>
    </row>
    <row r="42" spans="1:14">
      <c r="A42" s="254" t="s">
        <v>149</v>
      </c>
      <c r="B42" s="32">
        <f>'charges (1 &amp; 2)'!D12</f>
        <v>1.274E-2</v>
      </c>
      <c r="C42" s="32">
        <f>B42</f>
        <v>1.274E-2</v>
      </c>
      <c r="D42" s="32">
        <f t="shared" ref="D42:M42" si="11">C42</f>
        <v>1.274E-2</v>
      </c>
      <c r="E42" s="32">
        <f t="shared" si="11"/>
        <v>1.274E-2</v>
      </c>
      <c r="F42" s="32">
        <f t="shared" si="11"/>
        <v>1.274E-2</v>
      </c>
      <c r="G42" s="32">
        <f t="shared" si="11"/>
        <v>1.274E-2</v>
      </c>
      <c r="H42" s="32">
        <f t="shared" si="11"/>
        <v>1.274E-2</v>
      </c>
      <c r="I42" s="32">
        <f t="shared" si="11"/>
        <v>1.274E-2</v>
      </c>
      <c r="J42" s="32">
        <f t="shared" si="11"/>
        <v>1.274E-2</v>
      </c>
      <c r="K42" s="32">
        <f t="shared" si="11"/>
        <v>1.274E-2</v>
      </c>
      <c r="L42" s="32">
        <f t="shared" si="11"/>
        <v>1.274E-2</v>
      </c>
      <c r="M42" s="32">
        <f t="shared" si="11"/>
        <v>1.274E-2</v>
      </c>
      <c r="N42" s="20"/>
    </row>
    <row r="43" spans="1:14">
      <c r="A43" s="254" t="s">
        <v>17</v>
      </c>
      <c r="B43" s="21">
        <f>B39*B42</f>
        <v>254.79999999999998</v>
      </c>
      <c r="C43" s="21">
        <f t="shared" ref="C43:M43" si="12">C39*C42</f>
        <v>445.9</v>
      </c>
      <c r="D43" s="21">
        <f t="shared" si="12"/>
        <v>509.59999999999997</v>
      </c>
      <c r="E43" s="21">
        <f t="shared" si="12"/>
        <v>254.79999999999998</v>
      </c>
      <c r="F43" s="21">
        <f t="shared" si="12"/>
        <v>254.79999999999998</v>
      </c>
      <c r="G43" s="21">
        <f t="shared" si="12"/>
        <v>318.5</v>
      </c>
      <c r="H43" s="21">
        <f t="shared" si="12"/>
        <v>509.59999999999997</v>
      </c>
      <c r="I43" s="21">
        <f t="shared" si="12"/>
        <v>573.29999999999995</v>
      </c>
      <c r="J43" s="21">
        <f t="shared" si="12"/>
        <v>573.29999999999995</v>
      </c>
      <c r="K43" s="21">
        <f t="shared" si="12"/>
        <v>382.2</v>
      </c>
      <c r="L43" s="21">
        <f t="shared" si="12"/>
        <v>254.79999999999998</v>
      </c>
      <c r="M43" s="21">
        <f t="shared" si="12"/>
        <v>191.1</v>
      </c>
      <c r="N43" s="21">
        <f>SUM(B43:M43)</f>
        <v>4522.7000000000007</v>
      </c>
    </row>
    <row r="44" spans="1:14">
      <c r="A44" s="25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A45" s="254" t="s">
        <v>38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>
      <c r="A46" s="256" t="s">
        <v>47</v>
      </c>
      <c r="B46" s="239">
        <f>B32</f>
        <v>20000</v>
      </c>
      <c r="C46" s="239">
        <f t="shared" ref="C46:M46" si="13">C32</f>
        <v>35000</v>
      </c>
      <c r="D46" s="239">
        <f t="shared" si="13"/>
        <v>40000</v>
      </c>
      <c r="E46" s="239">
        <f t="shared" si="13"/>
        <v>20000</v>
      </c>
      <c r="F46" s="239">
        <f t="shared" si="13"/>
        <v>20000</v>
      </c>
      <c r="G46" s="239">
        <f t="shared" si="13"/>
        <v>25000</v>
      </c>
      <c r="H46" s="239">
        <f t="shared" si="13"/>
        <v>40000</v>
      </c>
      <c r="I46" s="239">
        <f t="shared" si="13"/>
        <v>45000</v>
      </c>
      <c r="J46" s="239">
        <f t="shared" si="13"/>
        <v>45000</v>
      </c>
      <c r="K46" s="239">
        <f t="shared" si="13"/>
        <v>30000</v>
      </c>
      <c r="L46" s="239">
        <f t="shared" si="13"/>
        <v>20000</v>
      </c>
      <c r="M46" s="239">
        <f t="shared" si="13"/>
        <v>15000</v>
      </c>
      <c r="N46" s="21">
        <f>SUM(B46:M46)</f>
        <v>355000</v>
      </c>
    </row>
    <row r="47" spans="1:14">
      <c r="A47" s="256" t="s">
        <v>45</v>
      </c>
      <c r="B47" s="28">
        <f>B46-B48</f>
        <v>363.27933235149612</v>
      </c>
      <c r="C47" s="28">
        <f t="shared" ref="C47" si="14">C46-C48</f>
        <v>635.73883161511912</v>
      </c>
      <c r="D47" s="28">
        <f t="shared" ref="D47" si="15">D46-D48</f>
        <v>726.55866470299225</v>
      </c>
      <c r="E47" s="28">
        <f t="shared" ref="E47" si="16">E46-E48</f>
        <v>363.27933235149612</v>
      </c>
      <c r="F47" s="28">
        <f t="shared" ref="F47" si="17">F46-F48</f>
        <v>363.27933235149612</v>
      </c>
      <c r="G47" s="28">
        <f t="shared" ref="G47" si="18">G46-G48</f>
        <v>454.09916543936924</v>
      </c>
      <c r="H47" s="28">
        <f t="shared" ref="H47" si="19">H46-H48</f>
        <v>726.55866470299225</v>
      </c>
      <c r="I47" s="28">
        <f t="shared" ref="I47" si="20">I46-I48</f>
        <v>817.37849779086537</v>
      </c>
      <c r="J47" s="28">
        <f t="shared" ref="J47" si="21">J46-J48</f>
        <v>817.37849779086537</v>
      </c>
      <c r="K47" s="28">
        <f t="shared" ref="K47" si="22">K46-K48</f>
        <v>544.918998527246</v>
      </c>
      <c r="L47" s="28">
        <f t="shared" ref="L47" si="23">L46-L48</f>
        <v>363.27933235149612</v>
      </c>
      <c r="M47" s="28">
        <f t="shared" ref="M47" si="24">M46-M48</f>
        <v>272.459499263623</v>
      </c>
      <c r="N47" s="21">
        <f>SUM(B47:M47)</f>
        <v>6448.2081492390571</v>
      </c>
    </row>
    <row r="48" spans="1:14">
      <c r="A48" s="256" t="str">
        <f>$A$17</f>
        <v xml:space="preserve">       New Smyrna Load</v>
      </c>
      <c r="B48" s="28">
        <f>B46/(1+'Transmission Formula Rate (7)'!$B$27)</f>
        <v>19636.720667648504</v>
      </c>
      <c r="C48" s="28">
        <f>C46/(1+'Transmission Formula Rate (7)'!$B$27)</f>
        <v>34364.261168384881</v>
      </c>
      <c r="D48" s="28">
        <f>D46/(1+'Transmission Formula Rate (7)'!$B$27)</f>
        <v>39273.441335297008</v>
      </c>
      <c r="E48" s="28">
        <f>E46/(1+'Transmission Formula Rate (7)'!$B$27)</f>
        <v>19636.720667648504</v>
      </c>
      <c r="F48" s="28">
        <f>F46/(1+'Transmission Formula Rate (7)'!$B$27)</f>
        <v>19636.720667648504</v>
      </c>
      <c r="G48" s="28">
        <f>G46/(1+'Transmission Formula Rate (7)'!$B$27)</f>
        <v>24545.900834560631</v>
      </c>
      <c r="H48" s="28">
        <f>H46/(1+'Transmission Formula Rate (7)'!$B$27)</f>
        <v>39273.441335297008</v>
      </c>
      <c r="I48" s="28">
        <f>I46/(1+'Transmission Formula Rate (7)'!$B$27)</f>
        <v>44182.621502209135</v>
      </c>
      <c r="J48" s="28">
        <f>J46/(1+'Transmission Formula Rate (7)'!$B$27)</f>
        <v>44182.621502209135</v>
      </c>
      <c r="K48" s="28">
        <f>K46/(1+'Transmission Formula Rate (7)'!$B$27)</f>
        <v>29455.081001472754</v>
      </c>
      <c r="L48" s="28">
        <f>L46/(1+'Transmission Formula Rate (7)'!$B$27)</f>
        <v>19636.720667648504</v>
      </c>
      <c r="M48" s="28">
        <f>M46/(1+'Transmission Formula Rate (7)'!$B$27)</f>
        <v>14727.540500736377</v>
      </c>
      <c r="N48" s="124">
        <f>SUM(B48:M48)</f>
        <v>348551.79185076099</v>
      </c>
    </row>
    <row r="49" spans="1:14">
      <c r="A49" s="254" t="s">
        <v>150</v>
      </c>
      <c r="B49" s="32">
        <f>'charges (1 &amp; 2)'!C11</f>
        <v>0.1008</v>
      </c>
      <c r="C49" s="32">
        <f>B49</f>
        <v>0.1008</v>
      </c>
      <c r="D49" s="32">
        <f t="shared" ref="D49:M49" si="25">C49</f>
        <v>0.1008</v>
      </c>
      <c r="E49" s="32">
        <f t="shared" si="25"/>
        <v>0.1008</v>
      </c>
      <c r="F49" s="32">
        <f t="shared" si="25"/>
        <v>0.1008</v>
      </c>
      <c r="G49" s="32">
        <f t="shared" si="25"/>
        <v>0.1008</v>
      </c>
      <c r="H49" s="32">
        <f t="shared" si="25"/>
        <v>0.1008</v>
      </c>
      <c r="I49" s="32">
        <f t="shared" si="25"/>
        <v>0.1008</v>
      </c>
      <c r="J49" s="32">
        <f t="shared" si="25"/>
        <v>0.1008</v>
      </c>
      <c r="K49" s="32">
        <f t="shared" si="25"/>
        <v>0.1008</v>
      </c>
      <c r="L49" s="32">
        <f t="shared" si="25"/>
        <v>0.1008</v>
      </c>
      <c r="M49" s="32">
        <f t="shared" si="25"/>
        <v>0.1008</v>
      </c>
      <c r="N49" s="20"/>
    </row>
    <row r="50" spans="1:14">
      <c r="A50" s="254" t="s">
        <v>17</v>
      </c>
      <c r="B50" s="21">
        <f>B46*B49</f>
        <v>2016</v>
      </c>
      <c r="C50" s="21">
        <f t="shared" ref="C50" si="26">C46*C49</f>
        <v>3528</v>
      </c>
      <c r="D50" s="21">
        <f t="shared" ref="D50" si="27">D46*D49</f>
        <v>4032</v>
      </c>
      <c r="E50" s="21">
        <f t="shared" ref="E50" si="28">E46*E49</f>
        <v>2016</v>
      </c>
      <c r="F50" s="21">
        <f t="shared" ref="F50" si="29">F46*F49</f>
        <v>2016</v>
      </c>
      <c r="G50" s="21">
        <f t="shared" ref="G50" si="30">G46*G49</f>
        <v>2520</v>
      </c>
      <c r="H50" s="21">
        <f t="shared" ref="H50" si="31">H46*H49</f>
        <v>4032</v>
      </c>
      <c r="I50" s="21">
        <f t="shared" ref="I50" si="32">I46*I49</f>
        <v>4536</v>
      </c>
      <c r="J50" s="21">
        <f t="shared" ref="J50" si="33">J46*J49</f>
        <v>4536</v>
      </c>
      <c r="K50" s="21">
        <f t="shared" ref="K50" si="34">K46*K49</f>
        <v>3024</v>
      </c>
      <c r="L50" s="21">
        <f t="shared" ref="L50" si="35">L46*L49</f>
        <v>2016</v>
      </c>
      <c r="M50" s="21">
        <f t="shared" ref="M50" si="36">M46*M49</f>
        <v>1512</v>
      </c>
      <c r="N50" s="21">
        <f>SUM(B50:M50)</f>
        <v>35784</v>
      </c>
    </row>
    <row r="51" spans="1:14">
      <c r="A51" s="254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>
      <c r="B52" s="24" t="s">
        <v>0</v>
      </c>
      <c r="C52" s="24" t="s">
        <v>1</v>
      </c>
      <c r="D52" s="24" t="s">
        <v>2</v>
      </c>
      <c r="E52" s="24" t="s">
        <v>3</v>
      </c>
      <c r="F52" s="24" t="s">
        <v>4</v>
      </c>
      <c r="G52" s="24" t="s">
        <v>5</v>
      </c>
      <c r="H52" s="24" t="s">
        <v>6</v>
      </c>
      <c r="I52" s="24" t="s">
        <v>7</v>
      </c>
      <c r="J52" s="24" t="s">
        <v>8</v>
      </c>
      <c r="K52" s="24" t="s">
        <v>9</v>
      </c>
      <c r="L52" s="24" t="s">
        <v>10</v>
      </c>
      <c r="M52" s="24" t="s">
        <v>11</v>
      </c>
      <c r="N52" s="24" t="s">
        <v>12</v>
      </c>
    </row>
    <row r="53" spans="1:14">
      <c r="A53" s="255">
        <f>+A30+1</f>
        <v>2016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>
      <c r="A54" s="254" t="s">
        <v>37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56" t="s">
        <v>47</v>
      </c>
      <c r="B55" s="239">
        <f>[10]Summary_CP!$H$98*1000</f>
        <v>20000</v>
      </c>
      <c r="C55" s="239">
        <f>[10]Summary_CP!$H$99*1000</f>
        <v>40000</v>
      </c>
      <c r="D55" s="239">
        <f>[10]Summary_CP!$H$100*1000</f>
        <v>40000</v>
      </c>
      <c r="E55" s="239">
        <f>[10]Summary_CP!$H$101*1000</f>
        <v>25000</v>
      </c>
      <c r="F55" s="239">
        <f>[10]Summary_CP!$H$102*1000</f>
        <v>20000</v>
      </c>
      <c r="G55" s="239">
        <f>[10]Summary_CP!$H$103*1000</f>
        <v>30000</v>
      </c>
      <c r="H55" s="239">
        <f>[10]Summary_CP!$H$104*1000</f>
        <v>40000</v>
      </c>
      <c r="I55" s="239">
        <f>[10]Summary_CP!$H$105*1000</f>
        <v>45000</v>
      </c>
      <c r="J55" s="239">
        <f>[10]Summary_CP!$H$106*1000</f>
        <v>45000</v>
      </c>
      <c r="K55" s="239">
        <f>[10]Summary_CP!$H$107*1000</f>
        <v>35000</v>
      </c>
      <c r="L55" s="239">
        <f>[10]Summary_CP!$H$108*1000</f>
        <v>25000</v>
      </c>
      <c r="M55" s="239">
        <f>[10]Summary_CP!$H$109*1000</f>
        <v>20000</v>
      </c>
      <c r="N55" s="21">
        <f>SUM(B55:M55)</f>
        <v>385000</v>
      </c>
    </row>
    <row r="56" spans="1:14">
      <c r="A56" s="256" t="s">
        <v>45</v>
      </c>
      <c r="B56" s="28">
        <f>B55-B57</f>
        <v>363.27933235149612</v>
      </c>
      <c r="C56" s="28">
        <f t="shared" ref="C56" si="37">C55-C57</f>
        <v>726.55866470299225</v>
      </c>
      <c r="D56" s="28">
        <f t="shared" ref="D56" si="38">D55-D57</f>
        <v>726.55866470299225</v>
      </c>
      <c r="E56" s="28">
        <f t="shared" ref="E56" si="39">E55-E57</f>
        <v>454.09916543936924</v>
      </c>
      <c r="F56" s="28">
        <f t="shared" ref="F56" si="40">F55-F57</f>
        <v>363.27933235149612</v>
      </c>
      <c r="G56" s="28">
        <f t="shared" ref="G56" si="41">G55-G57</f>
        <v>544.918998527246</v>
      </c>
      <c r="H56" s="28">
        <f t="shared" ref="H56" si="42">H55-H57</f>
        <v>726.55866470299225</v>
      </c>
      <c r="I56" s="28">
        <f t="shared" ref="I56" si="43">I55-I57</f>
        <v>817.37849779086537</v>
      </c>
      <c r="J56" s="28">
        <f t="shared" ref="J56" si="44">J55-J57</f>
        <v>817.37849779086537</v>
      </c>
      <c r="K56" s="28">
        <f t="shared" ref="K56" si="45">K55-K57</f>
        <v>635.73883161511912</v>
      </c>
      <c r="L56" s="28">
        <f t="shared" ref="L56" si="46">L55-L57</f>
        <v>454.09916543936924</v>
      </c>
      <c r="M56" s="28">
        <f t="shared" ref="M56" si="47">M55-M57</f>
        <v>363.27933235149612</v>
      </c>
      <c r="N56" s="21">
        <f>SUM(B56:M56)</f>
        <v>6993.1271477662995</v>
      </c>
    </row>
    <row r="57" spans="1:14">
      <c r="A57" s="256" t="str">
        <f>$A$17</f>
        <v xml:space="preserve">       New Smyrna Load</v>
      </c>
      <c r="B57" s="28">
        <f>B55/(1+'Transmission Formula Rate (7)'!$B$27)</f>
        <v>19636.720667648504</v>
      </c>
      <c r="C57" s="28">
        <f>C55/(1+'Transmission Formula Rate (7)'!$B$27)</f>
        <v>39273.441335297008</v>
      </c>
      <c r="D57" s="28">
        <f>D55/(1+'Transmission Formula Rate (7)'!$B$27)</f>
        <v>39273.441335297008</v>
      </c>
      <c r="E57" s="28">
        <f>E55/(1+'Transmission Formula Rate (7)'!$B$27)</f>
        <v>24545.900834560631</v>
      </c>
      <c r="F57" s="28">
        <f>F55/(1+'Transmission Formula Rate (7)'!$B$27)</f>
        <v>19636.720667648504</v>
      </c>
      <c r="G57" s="28">
        <f>G55/(1+'Transmission Formula Rate (7)'!$B$27)</f>
        <v>29455.081001472754</v>
      </c>
      <c r="H57" s="28">
        <f>H55/(1+'Transmission Formula Rate (7)'!$B$27)</f>
        <v>39273.441335297008</v>
      </c>
      <c r="I57" s="28">
        <f>I55/(1+'Transmission Formula Rate (7)'!$B$27)</f>
        <v>44182.621502209135</v>
      </c>
      <c r="J57" s="28">
        <f>J55/(1+'Transmission Formula Rate (7)'!$B$27)</f>
        <v>44182.621502209135</v>
      </c>
      <c r="K57" s="28">
        <f>K55/(1+'Transmission Formula Rate (7)'!$B$27)</f>
        <v>34364.261168384881</v>
      </c>
      <c r="L57" s="28">
        <f>L55/(1+'Transmission Formula Rate (7)'!$B$27)</f>
        <v>24545.900834560631</v>
      </c>
      <c r="M57" s="28">
        <f>M55/(1+'Transmission Formula Rate (7)'!$B$27)</f>
        <v>19636.720667648504</v>
      </c>
      <c r="N57" s="124">
        <f>SUM(B57:M57)</f>
        <v>378006.87285223365</v>
      </c>
    </row>
    <row r="58" spans="1:14">
      <c r="A58" s="254" t="s">
        <v>20</v>
      </c>
      <c r="B58" s="30">
        <f>'Transmission Formula Rate (7)'!B12</f>
        <v>1.59</v>
      </c>
      <c r="C58" s="30">
        <f>'Transmission Formula Rate (7)'!C12</f>
        <v>1.59</v>
      </c>
      <c r="D58" s="30">
        <f>'Transmission Formula Rate (7)'!D12</f>
        <v>1.59</v>
      </c>
      <c r="E58" s="30">
        <f>'Transmission Formula Rate (7)'!E12</f>
        <v>1.59</v>
      </c>
      <c r="F58" s="30">
        <f>'Transmission Formula Rate (7)'!F12</f>
        <v>1.59</v>
      </c>
      <c r="G58" s="30">
        <f>'Transmission Formula Rate (7)'!G12</f>
        <v>1.59</v>
      </c>
      <c r="H58" s="30">
        <f>'Transmission Formula Rate (7)'!H12</f>
        <v>1.59</v>
      </c>
      <c r="I58" s="30">
        <f>'Transmission Formula Rate (7)'!I12</f>
        <v>1.59</v>
      </c>
      <c r="J58" s="30">
        <f>'Transmission Formula Rate (7)'!J12</f>
        <v>1.59</v>
      </c>
      <c r="K58" s="30">
        <f>'Transmission Formula Rate (7)'!K12</f>
        <v>1.59</v>
      </c>
      <c r="L58" s="30">
        <f>'Transmission Formula Rate (7)'!L12</f>
        <v>1.59</v>
      </c>
      <c r="M58" s="30">
        <f>'Transmission Formula Rate (7)'!M12</f>
        <v>1.59</v>
      </c>
      <c r="N58" s="20"/>
    </row>
    <row r="59" spans="1:14">
      <c r="A59" s="254" t="s">
        <v>17</v>
      </c>
      <c r="B59" s="21">
        <f>B55*B58</f>
        <v>31800</v>
      </c>
      <c r="C59" s="21">
        <f t="shared" ref="C59" si="48">C55*C58</f>
        <v>63600</v>
      </c>
      <c r="D59" s="21">
        <f t="shared" ref="D59" si="49">D55*D58</f>
        <v>63600</v>
      </c>
      <c r="E59" s="21">
        <f t="shared" ref="E59" si="50">E55*E58</f>
        <v>39750</v>
      </c>
      <c r="F59" s="21">
        <f t="shared" ref="F59" si="51">F55*F58</f>
        <v>31800</v>
      </c>
      <c r="G59" s="21">
        <f t="shared" ref="G59" si="52">G55*G58</f>
        <v>47700</v>
      </c>
      <c r="H59" s="21">
        <f t="shared" ref="H59" si="53">H55*H58</f>
        <v>63600</v>
      </c>
      <c r="I59" s="21">
        <f t="shared" ref="I59" si="54">I55*I58</f>
        <v>71550</v>
      </c>
      <c r="J59" s="21">
        <f t="shared" ref="J59" si="55">J55*J58</f>
        <v>71550</v>
      </c>
      <c r="K59" s="21">
        <f t="shared" ref="K59" si="56">K55*K58</f>
        <v>55650</v>
      </c>
      <c r="L59" s="21">
        <f t="shared" ref="L59" si="57">L55*L58</f>
        <v>39750</v>
      </c>
      <c r="M59" s="21">
        <f t="shared" ref="M59" si="58">M55*M58</f>
        <v>31800</v>
      </c>
      <c r="N59" s="21">
        <f>SUM(B59:M59)</f>
        <v>612150</v>
      </c>
    </row>
    <row r="61" spans="1:14">
      <c r="A61" s="254" t="s">
        <v>141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A62" s="256" t="s">
        <v>47</v>
      </c>
      <c r="B62" s="239">
        <f>B55</f>
        <v>20000</v>
      </c>
      <c r="C62" s="239">
        <f t="shared" ref="C62:M62" si="59">C55</f>
        <v>40000</v>
      </c>
      <c r="D62" s="239">
        <f t="shared" si="59"/>
        <v>40000</v>
      </c>
      <c r="E62" s="239">
        <f t="shared" si="59"/>
        <v>25000</v>
      </c>
      <c r="F62" s="239">
        <f t="shared" si="59"/>
        <v>20000</v>
      </c>
      <c r="G62" s="239">
        <f t="shared" si="59"/>
        <v>30000</v>
      </c>
      <c r="H62" s="239">
        <f t="shared" si="59"/>
        <v>40000</v>
      </c>
      <c r="I62" s="239">
        <f t="shared" si="59"/>
        <v>45000</v>
      </c>
      <c r="J62" s="239">
        <f t="shared" si="59"/>
        <v>45000</v>
      </c>
      <c r="K62" s="239">
        <f t="shared" si="59"/>
        <v>35000</v>
      </c>
      <c r="L62" s="239">
        <f t="shared" si="59"/>
        <v>25000</v>
      </c>
      <c r="M62" s="239">
        <f t="shared" si="59"/>
        <v>20000</v>
      </c>
      <c r="N62" s="21">
        <f>SUM(B62:M62)</f>
        <v>385000</v>
      </c>
    </row>
    <row r="63" spans="1:14">
      <c r="A63" s="256" t="s">
        <v>45</v>
      </c>
      <c r="B63" s="28">
        <f>B62-B64</f>
        <v>363.27933235149612</v>
      </c>
      <c r="C63" s="28">
        <f t="shared" ref="C63" si="60">C62-C64</f>
        <v>726.55866470299225</v>
      </c>
      <c r="D63" s="28">
        <f t="shared" ref="D63" si="61">D62-D64</f>
        <v>726.55866470299225</v>
      </c>
      <c r="E63" s="28">
        <f t="shared" ref="E63" si="62">E62-E64</f>
        <v>454.09916543936924</v>
      </c>
      <c r="F63" s="28">
        <f t="shared" ref="F63" si="63">F62-F64</f>
        <v>363.27933235149612</v>
      </c>
      <c r="G63" s="28">
        <f t="shared" ref="G63" si="64">G62-G64</f>
        <v>544.918998527246</v>
      </c>
      <c r="H63" s="28">
        <f t="shared" ref="H63" si="65">H62-H64</f>
        <v>726.55866470299225</v>
      </c>
      <c r="I63" s="28">
        <f t="shared" ref="I63" si="66">I62-I64</f>
        <v>817.37849779086537</v>
      </c>
      <c r="J63" s="28">
        <f t="shared" ref="J63" si="67">J62-J64</f>
        <v>817.37849779086537</v>
      </c>
      <c r="K63" s="28">
        <f t="shared" ref="K63" si="68">K62-K64</f>
        <v>635.73883161511912</v>
      </c>
      <c r="L63" s="28">
        <f t="shared" ref="L63" si="69">L62-L64</f>
        <v>454.09916543936924</v>
      </c>
      <c r="M63" s="28">
        <f t="shared" ref="M63" si="70">M62-M64</f>
        <v>363.27933235149612</v>
      </c>
      <c r="N63" s="21">
        <f>SUM(B63:M63)</f>
        <v>6993.1271477662995</v>
      </c>
    </row>
    <row r="64" spans="1:14">
      <c r="A64" s="256" t="str">
        <f>$A$17</f>
        <v xml:space="preserve">       New Smyrna Load</v>
      </c>
      <c r="B64" s="28">
        <f>B62/(1+'Transmission Formula Rate (7)'!$B$27)</f>
        <v>19636.720667648504</v>
      </c>
      <c r="C64" s="28">
        <f>C62/(1+'Transmission Formula Rate (7)'!$B$27)</f>
        <v>39273.441335297008</v>
      </c>
      <c r="D64" s="28">
        <f>D62/(1+'Transmission Formula Rate (7)'!$B$27)</f>
        <v>39273.441335297008</v>
      </c>
      <c r="E64" s="28">
        <f>E62/(1+'Transmission Formula Rate (7)'!$B$27)</f>
        <v>24545.900834560631</v>
      </c>
      <c r="F64" s="28">
        <f>F62/(1+'Transmission Formula Rate (7)'!$B$27)</f>
        <v>19636.720667648504</v>
      </c>
      <c r="G64" s="28">
        <f>G62/(1+'Transmission Formula Rate (7)'!$B$27)</f>
        <v>29455.081001472754</v>
      </c>
      <c r="H64" s="28">
        <f>H62/(1+'Transmission Formula Rate (7)'!$B$27)</f>
        <v>39273.441335297008</v>
      </c>
      <c r="I64" s="28">
        <f>I62/(1+'Transmission Formula Rate (7)'!$B$27)</f>
        <v>44182.621502209135</v>
      </c>
      <c r="J64" s="28">
        <f>J62/(1+'Transmission Formula Rate (7)'!$B$27)</f>
        <v>44182.621502209135</v>
      </c>
      <c r="K64" s="28">
        <f>K62/(1+'Transmission Formula Rate (7)'!$B$27)</f>
        <v>34364.261168384881</v>
      </c>
      <c r="L64" s="28">
        <f>L62/(1+'Transmission Formula Rate (7)'!$B$27)</f>
        <v>24545.900834560631</v>
      </c>
      <c r="M64" s="28">
        <f>M62/(1+'Transmission Formula Rate (7)'!$B$27)</f>
        <v>19636.720667648504</v>
      </c>
      <c r="N64" s="124">
        <f>SUM(B64:M64)</f>
        <v>378006.87285223365</v>
      </c>
    </row>
    <row r="65" spans="1:16">
      <c r="A65" s="254" t="s">
        <v>149</v>
      </c>
      <c r="B65" s="32">
        <f>'charges (1 &amp; 2)'!E12</f>
        <v>1.274E-2</v>
      </c>
      <c r="C65" s="32">
        <f>B65</f>
        <v>1.274E-2</v>
      </c>
      <c r="D65" s="32">
        <f t="shared" ref="D65:M65" si="71">C65</f>
        <v>1.274E-2</v>
      </c>
      <c r="E65" s="32">
        <f t="shared" si="71"/>
        <v>1.274E-2</v>
      </c>
      <c r="F65" s="32">
        <f t="shared" si="71"/>
        <v>1.274E-2</v>
      </c>
      <c r="G65" s="32">
        <f t="shared" si="71"/>
        <v>1.274E-2</v>
      </c>
      <c r="H65" s="32">
        <f t="shared" si="71"/>
        <v>1.274E-2</v>
      </c>
      <c r="I65" s="32">
        <f t="shared" si="71"/>
        <v>1.274E-2</v>
      </c>
      <c r="J65" s="32">
        <f t="shared" si="71"/>
        <v>1.274E-2</v>
      </c>
      <c r="K65" s="32">
        <f t="shared" si="71"/>
        <v>1.274E-2</v>
      </c>
      <c r="L65" s="32">
        <f t="shared" si="71"/>
        <v>1.274E-2</v>
      </c>
      <c r="M65" s="32">
        <f t="shared" si="71"/>
        <v>1.274E-2</v>
      </c>
      <c r="N65" s="20"/>
    </row>
    <row r="66" spans="1:16">
      <c r="A66" s="254" t="s">
        <v>17</v>
      </c>
      <c r="B66" s="21">
        <f>B62*B65</f>
        <v>254.79999999999998</v>
      </c>
      <c r="C66" s="21">
        <f t="shared" ref="C66" si="72">C62*C65</f>
        <v>509.59999999999997</v>
      </c>
      <c r="D66" s="21">
        <f t="shared" ref="D66" si="73">D62*D65</f>
        <v>509.59999999999997</v>
      </c>
      <c r="E66" s="21">
        <f t="shared" ref="E66" si="74">E62*E65</f>
        <v>318.5</v>
      </c>
      <c r="F66" s="21">
        <f t="shared" ref="F66" si="75">F62*F65</f>
        <v>254.79999999999998</v>
      </c>
      <c r="G66" s="21">
        <f t="shared" ref="G66" si="76">G62*G65</f>
        <v>382.2</v>
      </c>
      <c r="H66" s="21">
        <f t="shared" ref="H66" si="77">H62*H65</f>
        <v>509.59999999999997</v>
      </c>
      <c r="I66" s="21">
        <f t="shared" ref="I66" si="78">I62*I65</f>
        <v>573.29999999999995</v>
      </c>
      <c r="J66" s="21">
        <f t="shared" ref="J66" si="79">J62*J65</f>
        <v>573.29999999999995</v>
      </c>
      <c r="K66" s="21">
        <f t="shared" ref="K66" si="80">K62*K65</f>
        <v>445.9</v>
      </c>
      <c r="L66" s="21">
        <f t="shared" ref="L66" si="81">L62*L65</f>
        <v>318.5</v>
      </c>
      <c r="M66" s="21">
        <f t="shared" ref="M66" si="82">M62*M65</f>
        <v>254.79999999999998</v>
      </c>
      <c r="N66" s="21">
        <f>SUM(B66:M66)</f>
        <v>4904.8999999999996</v>
      </c>
    </row>
    <row r="68" spans="1:16">
      <c r="A68" s="254" t="s">
        <v>38</v>
      </c>
    </row>
    <row r="69" spans="1:16">
      <c r="A69" s="256" t="s">
        <v>47</v>
      </c>
      <c r="B69" s="239">
        <f>B55</f>
        <v>20000</v>
      </c>
      <c r="C69" s="239">
        <f t="shared" ref="C69:M69" si="83">C55</f>
        <v>40000</v>
      </c>
      <c r="D69" s="239">
        <f t="shared" si="83"/>
        <v>40000</v>
      </c>
      <c r="E69" s="239">
        <f t="shared" si="83"/>
        <v>25000</v>
      </c>
      <c r="F69" s="239">
        <f t="shared" si="83"/>
        <v>20000</v>
      </c>
      <c r="G69" s="239">
        <f t="shared" si="83"/>
        <v>30000</v>
      </c>
      <c r="H69" s="239">
        <f t="shared" si="83"/>
        <v>40000</v>
      </c>
      <c r="I69" s="239">
        <f t="shared" si="83"/>
        <v>45000</v>
      </c>
      <c r="J69" s="239">
        <f t="shared" si="83"/>
        <v>45000</v>
      </c>
      <c r="K69" s="239">
        <f t="shared" si="83"/>
        <v>35000</v>
      </c>
      <c r="L69" s="239">
        <f t="shared" si="83"/>
        <v>25000</v>
      </c>
      <c r="M69" s="239">
        <f t="shared" si="83"/>
        <v>20000</v>
      </c>
      <c r="N69" s="21">
        <f>SUM(B69:M69)</f>
        <v>385000</v>
      </c>
    </row>
    <row r="70" spans="1:16">
      <c r="A70" s="256" t="s">
        <v>45</v>
      </c>
      <c r="B70" s="28">
        <f>B69-B71</f>
        <v>363.27933235149612</v>
      </c>
      <c r="C70" s="28">
        <f t="shared" ref="C70" si="84">C69-C71</f>
        <v>726.55866470299225</v>
      </c>
      <c r="D70" s="28">
        <f t="shared" ref="D70" si="85">D69-D71</f>
        <v>726.55866470299225</v>
      </c>
      <c r="E70" s="28">
        <f t="shared" ref="E70" si="86">E69-E71</f>
        <v>454.09916543936924</v>
      </c>
      <c r="F70" s="28">
        <f t="shared" ref="F70" si="87">F69-F71</f>
        <v>363.27933235149612</v>
      </c>
      <c r="G70" s="28">
        <f t="shared" ref="G70" si="88">G69-G71</f>
        <v>544.918998527246</v>
      </c>
      <c r="H70" s="28">
        <f t="shared" ref="H70" si="89">H69-H71</f>
        <v>726.55866470299225</v>
      </c>
      <c r="I70" s="28">
        <f t="shared" ref="I70" si="90">I69-I71</f>
        <v>817.37849779086537</v>
      </c>
      <c r="J70" s="28">
        <f t="shared" ref="J70" si="91">J69-J71</f>
        <v>817.37849779086537</v>
      </c>
      <c r="K70" s="28">
        <f t="shared" ref="K70" si="92">K69-K71</f>
        <v>635.73883161511912</v>
      </c>
      <c r="L70" s="28">
        <f t="shared" ref="L70" si="93">L69-L71</f>
        <v>454.09916543936924</v>
      </c>
      <c r="M70" s="28">
        <f t="shared" ref="M70" si="94">M69-M71</f>
        <v>363.27933235149612</v>
      </c>
    </row>
    <row r="71" spans="1:16">
      <c r="A71" s="256" t="str">
        <f>$A$17</f>
        <v xml:space="preserve">       New Smyrna Load</v>
      </c>
      <c r="B71" s="28">
        <f>B69/(1+'Transmission Formula Rate (7)'!$B$27)</f>
        <v>19636.720667648504</v>
      </c>
      <c r="C71" s="28">
        <f>C69/(1+'Transmission Formula Rate (7)'!$B$27)</f>
        <v>39273.441335297008</v>
      </c>
      <c r="D71" s="28">
        <f>D69/(1+'Transmission Formula Rate (7)'!$B$27)</f>
        <v>39273.441335297008</v>
      </c>
      <c r="E71" s="28">
        <f>E69/(1+'Transmission Formula Rate (7)'!$B$27)</f>
        <v>24545.900834560631</v>
      </c>
      <c r="F71" s="28">
        <f>F69/(1+'Transmission Formula Rate (7)'!$B$27)</f>
        <v>19636.720667648504</v>
      </c>
      <c r="G71" s="28">
        <f>G69/(1+'Transmission Formula Rate (7)'!$B$27)</f>
        <v>29455.081001472754</v>
      </c>
      <c r="H71" s="28">
        <f>H69/(1+'Transmission Formula Rate (7)'!$B$27)</f>
        <v>39273.441335297008</v>
      </c>
      <c r="I71" s="28">
        <f>I69/(1+'Transmission Formula Rate (7)'!$B$27)</f>
        <v>44182.621502209135</v>
      </c>
      <c r="J71" s="28">
        <f>J69/(1+'Transmission Formula Rate (7)'!$B$27)</f>
        <v>44182.621502209135</v>
      </c>
      <c r="K71" s="28">
        <f>K69/(1+'Transmission Formula Rate (7)'!$B$27)</f>
        <v>34364.261168384881</v>
      </c>
      <c r="L71" s="28">
        <f>L69/(1+'Transmission Formula Rate (7)'!$B$27)</f>
        <v>24545.900834560631</v>
      </c>
      <c r="M71" s="28">
        <f>M69/(1+'Transmission Formula Rate (7)'!$B$27)</f>
        <v>19636.720667648504</v>
      </c>
    </row>
    <row r="72" spans="1:16">
      <c r="A72" s="254" t="s">
        <v>150</v>
      </c>
      <c r="B72" s="32">
        <f>'charges (1 &amp; 2)'!D11</f>
        <v>0.1008</v>
      </c>
      <c r="C72" s="32">
        <f>B72</f>
        <v>0.1008</v>
      </c>
      <c r="D72" s="32">
        <f t="shared" ref="D72:M72" si="95">C72</f>
        <v>0.1008</v>
      </c>
      <c r="E72" s="32">
        <f t="shared" si="95"/>
        <v>0.1008</v>
      </c>
      <c r="F72" s="32">
        <f t="shared" si="95"/>
        <v>0.1008</v>
      </c>
      <c r="G72" s="32">
        <f t="shared" si="95"/>
        <v>0.1008</v>
      </c>
      <c r="H72" s="32">
        <f t="shared" si="95"/>
        <v>0.1008</v>
      </c>
      <c r="I72" s="32">
        <f t="shared" si="95"/>
        <v>0.1008</v>
      </c>
      <c r="J72" s="32">
        <f t="shared" si="95"/>
        <v>0.1008</v>
      </c>
      <c r="K72" s="32">
        <f t="shared" si="95"/>
        <v>0.1008</v>
      </c>
      <c r="L72" s="32">
        <f t="shared" si="95"/>
        <v>0.1008</v>
      </c>
      <c r="M72" s="32">
        <f t="shared" si="95"/>
        <v>0.1008</v>
      </c>
    </row>
    <row r="73" spans="1:16">
      <c r="A73" s="254" t="s">
        <v>17</v>
      </c>
      <c r="B73" s="21">
        <f>B69*B72</f>
        <v>2016</v>
      </c>
      <c r="C73" s="21">
        <f t="shared" ref="C73" si="96">C69*C72</f>
        <v>4032</v>
      </c>
      <c r="D73" s="21">
        <f t="shared" ref="D73" si="97">D69*D72</f>
        <v>4032</v>
      </c>
      <c r="E73" s="21">
        <f t="shared" ref="E73" si="98">E69*E72</f>
        <v>2520</v>
      </c>
      <c r="F73" s="21">
        <f t="shared" ref="F73" si="99">F69*F72</f>
        <v>2016</v>
      </c>
      <c r="G73" s="21">
        <f t="shared" ref="G73" si="100">G69*G72</f>
        <v>3024</v>
      </c>
      <c r="H73" s="21">
        <f t="shared" ref="H73" si="101">H69*H72</f>
        <v>4032</v>
      </c>
      <c r="I73" s="21">
        <f t="shared" ref="I73" si="102">I69*I72</f>
        <v>4536</v>
      </c>
      <c r="J73" s="21">
        <f t="shared" ref="J73" si="103">J69*J72</f>
        <v>4536</v>
      </c>
      <c r="K73" s="21">
        <f t="shared" ref="K73" si="104">K69*K72</f>
        <v>3528</v>
      </c>
      <c r="L73" s="21">
        <f t="shared" ref="L73" si="105">L69*L72</f>
        <v>2520</v>
      </c>
      <c r="M73" s="21">
        <f t="shared" ref="M73" si="106">M69*M72</f>
        <v>2016</v>
      </c>
    </row>
    <row r="75" spans="1:16">
      <c r="B75" s="24" t="s">
        <v>0</v>
      </c>
      <c r="C75" s="24" t="s">
        <v>1</v>
      </c>
      <c r="D75" s="24" t="s">
        <v>2</v>
      </c>
      <c r="E75" s="24" t="s">
        <v>3</v>
      </c>
      <c r="F75" s="24" t="s">
        <v>4</v>
      </c>
      <c r="G75" s="24" t="s">
        <v>5</v>
      </c>
      <c r="H75" s="24" t="s">
        <v>6</v>
      </c>
      <c r="I75" s="24" t="s">
        <v>7</v>
      </c>
      <c r="J75" s="24" t="s">
        <v>8</v>
      </c>
      <c r="K75" s="24" t="s">
        <v>9</v>
      </c>
      <c r="L75" s="24" t="s">
        <v>10</v>
      </c>
      <c r="M75" s="24" t="s">
        <v>11</v>
      </c>
      <c r="N75" s="24" t="s">
        <v>12</v>
      </c>
    </row>
    <row r="76" spans="1:16">
      <c r="A76" s="255">
        <f>+A53+1</f>
        <v>2017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1:16">
      <c r="A77" s="254" t="s">
        <v>37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6" ht="13.2">
      <c r="A78" s="256" t="s">
        <v>47</v>
      </c>
      <c r="B78" s="239">
        <f>[10]Summary_CP!$H$110*1000</f>
        <v>25000</v>
      </c>
      <c r="C78" s="239">
        <f>[10]Summary_CP!$H$111*1000</f>
        <v>45000</v>
      </c>
      <c r="D78" s="239">
        <f>'[11]Summary_NCP '!$D$112*1000</f>
        <v>45000</v>
      </c>
      <c r="E78" s="239">
        <f>'[11]Summary_NCP '!$D$113*1000</f>
        <v>30000</v>
      </c>
      <c r="F78" s="239">
        <f>'[11]Summary_NCP '!$D$114*1000</f>
        <v>20000</v>
      </c>
      <c r="G78" s="239">
        <f>'[11]Summary_NCP '!$D$115*1000</f>
        <v>30000</v>
      </c>
      <c r="H78" s="239">
        <f>'[11]Summary_NCP '!$D$116*1000</f>
        <v>45000</v>
      </c>
      <c r="I78" s="239">
        <f>'[11]Summary_NCP '!$D$117*1000</f>
        <v>45000</v>
      </c>
      <c r="J78" s="239">
        <f>[10]Summary_CP!$H$118*1000</f>
        <v>45000</v>
      </c>
      <c r="K78" s="239">
        <f>'[11]Summary_NCP '!$D$120*1000</f>
        <v>30000</v>
      </c>
      <c r="L78" s="239">
        <f>'[11]Summary_NCP '!$D$119*1000</f>
        <v>35000</v>
      </c>
      <c r="M78" s="239">
        <f>[10]Summary_CP!$H$121*1000</f>
        <v>0</v>
      </c>
      <c r="N78" s="21">
        <f>SUM(B78:M78)</f>
        <v>395000</v>
      </c>
      <c r="P78" s="286" t="s">
        <v>451</v>
      </c>
    </row>
    <row r="79" spans="1:16" ht="13.2">
      <c r="A79" s="256" t="s">
        <v>45</v>
      </c>
      <c r="B79" s="28">
        <f>B78-B80</f>
        <v>454.09916543936924</v>
      </c>
      <c r="C79" s="28">
        <f t="shared" ref="C79" si="107">C78-C80</f>
        <v>817.37849779086537</v>
      </c>
      <c r="D79" s="28">
        <f t="shared" ref="D79" si="108">D78-D80</f>
        <v>817.37849779086537</v>
      </c>
      <c r="E79" s="28">
        <f t="shared" ref="E79" si="109">E78-E80</f>
        <v>544.918998527246</v>
      </c>
      <c r="F79" s="28">
        <f t="shared" ref="F79" si="110">F78-F80</f>
        <v>363.27933235149612</v>
      </c>
      <c r="G79" s="28">
        <f t="shared" ref="G79" si="111">G78-G80</f>
        <v>544.918998527246</v>
      </c>
      <c r="H79" s="28">
        <f t="shared" ref="H79" si="112">H78-H80</f>
        <v>817.37849779086537</v>
      </c>
      <c r="I79" s="28">
        <f t="shared" ref="I79" si="113">I78-I80</f>
        <v>817.37849779086537</v>
      </c>
      <c r="J79" s="28">
        <f t="shared" ref="J79" si="114">J78-J80</f>
        <v>817.37849779086537</v>
      </c>
      <c r="K79" s="28">
        <f t="shared" ref="K79" si="115">K78-K80</f>
        <v>544.918998527246</v>
      </c>
      <c r="L79" s="28">
        <f t="shared" ref="L79" si="116">L78-L80</f>
        <v>635.73883161511912</v>
      </c>
      <c r="M79" s="28">
        <f t="shared" ref="M79" si="117">M78-M80</f>
        <v>0</v>
      </c>
      <c r="N79" s="21">
        <f>SUM(B79:M79)</f>
        <v>7174.7668139420493</v>
      </c>
      <c r="P79" s="286" t="s">
        <v>440</v>
      </c>
    </row>
    <row r="80" spans="1:16">
      <c r="A80" s="256" t="str">
        <f>$A$17</f>
        <v xml:space="preserve">       New Smyrna Load</v>
      </c>
      <c r="B80" s="28">
        <f>B78/(1+'Transmission Formula Rate (7)'!$B$27)</f>
        <v>24545.900834560631</v>
      </c>
      <c r="C80" s="28">
        <f>C78/(1+'Transmission Formula Rate (7)'!$B$27)</f>
        <v>44182.621502209135</v>
      </c>
      <c r="D80" s="28">
        <f>D78/(1+'Transmission Formula Rate (7)'!$B$27)</f>
        <v>44182.621502209135</v>
      </c>
      <c r="E80" s="28">
        <f>E78/(1+'Transmission Formula Rate (7)'!$B$27)</f>
        <v>29455.081001472754</v>
      </c>
      <c r="F80" s="28">
        <f>F78/(1+'Transmission Formula Rate (7)'!$B$27)</f>
        <v>19636.720667648504</v>
      </c>
      <c r="G80" s="28">
        <f>G78/(1+'Transmission Formula Rate (7)'!$B$27)</f>
        <v>29455.081001472754</v>
      </c>
      <c r="H80" s="28">
        <f>H78/(1+'Transmission Formula Rate (7)'!$B$27)</f>
        <v>44182.621502209135</v>
      </c>
      <c r="I80" s="28">
        <f>I78/(1+'Transmission Formula Rate (7)'!$B$27)</f>
        <v>44182.621502209135</v>
      </c>
      <c r="J80" s="28">
        <f>J78/(1+'Transmission Formula Rate (7)'!$B$27)</f>
        <v>44182.621502209135</v>
      </c>
      <c r="K80" s="28">
        <f>K78/(1+'Transmission Formula Rate (7)'!$B$27)</f>
        <v>29455.081001472754</v>
      </c>
      <c r="L80" s="28">
        <f>L78/(1+'Transmission Formula Rate (7)'!$B$27)</f>
        <v>34364.261168384881</v>
      </c>
      <c r="M80" s="28">
        <f>M78/(1+'Transmission Formula Rate (7)'!$B$27)</f>
        <v>0</v>
      </c>
      <c r="N80" s="124">
        <f>SUM(B80:M80)</f>
        <v>387825.23318605794</v>
      </c>
    </row>
    <row r="81" spans="1:15">
      <c r="A81" s="254" t="s">
        <v>20</v>
      </c>
      <c r="B81" s="30">
        <f>'Transmission Formula Rate (7)'!B14</f>
        <v>1.59</v>
      </c>
      <c r="C81" s="30">
        <f>'Transmission Formula Rate (7)'!C14</f>
        <v>1.59</v>
      </c>
      <c r="D81" s="30">
        <f>'Transmission Formula Rate (7)'!D14</f>
        <v>1.59</v>
      </c>
      <c r="E81" s="30">
        <f>'Transmission Formula Rate (7)'!E14</f>
        <v>1.59</v>
      </c>
      <c r="F81" s="30">
        <f>'Transmission Formula Rate (7)'!F14</f>
        <v>1.59</v>
      </c>
      <c r="G81" s="30">
        <f>'Transmission Formula Rate (7)'!G14</f>
        <v>1.59</v>
      </c>
      <c r="H81" s="30">
        <f>'Transmission Formula Rate (7)'!H14</f>
        <v>1.59</v>
      </c>
      <c r="I81" s="30">
        <f>'Transmission Formula Rate (7)'!I14</f>
        <v>1.59</v>
      </c>
      <c r="J81" s="30">
        <f>'Transmission Formula Rate (7)'!J14</f>
        <v>1.59</v>
      </c>
      <c r="K81" s="30">
        <f>'Transmission Formula Rate (7)'!K14</f>
        <v>1.59</v>
      </c>
      <c r="L81" s="30">
        <f>'Transmission Formula Rate (7)'!L14</f>
        <v>1.59</v>
      </c>
      <c r="M81" s="30">
        <f>'Transmission Formula Rate (7)'!M14</f>
        <v>1.59</v>
      </c>
      <c r="N81" s="20"/>
      <c r="O81" s="277"/>
    </row>
    <row r="82" spans="1:15">
      <c r="A82" s="254" t="s">
        <v>17</v>
      </c>
      <c r="B82" s="21">
        <f>B78*B81</f>
        <v>39750</v>
      </c>
      <c r="C82" s="21">
        <f t="shared" ref="C82" si="118">C78*C81</f>
        <v>71550</v>
      </c>
      <c r="D82" s="21">
        <f t="shared" ref="D82" si="119">D78*D81</f>
        <v>71550</v>
      </c>
      <c r="E82" s="21">
        <f t="shared" ref="E82" si="120">E78*E81</f>
        <v>47700</v>
      </c>
      <c r="F82" s="21">
        <f t="shared" ref="F82" si="121">F78*F81</f>
        <v>31800</v>
      </c>
      <c r="G82" s="21">
        <f t="shared" ref="G82" si="122">G78*G81</f>
        <v>47700</v>
      </c>
      <c r="H82" s="21">
        <f t="shared" ref="H82" si="123">H78*H81</f>
        <v>71550</v>
      </c>
      <c r="I82" s="21">
        <f t="shared" ref="I82" si="124">I78*I81</f>
        <v>71550</v>
      </c>
      <c r="J82" s="21">
        <f t="shared" ref="J82" si="125">J78*J81</f>
        <v>71550</v>
      </c>
      <c r="K82" s="21">
        <f t="shared" ref="K82" si="126">K78*K81</f>
        <v>47700</v>
      </c>
      <c r="L82" s="21">
        <f t="shared" ref="L82" si="127">L78*L81</f>
        <v>55650</v>
      </c>
      <c r="M82" s="21">
        <f t="shared" ref="M82" si="128">M78*M81</f>
        <v>0</v>
      </c>
      <c r="N82" s="21">
        <f>SUM(B82:M82)</f>
        <v>628050</v>
      </c>
    </row>
    <row r="84" spans="1:15">
      <c r="A84" s="254" t="s">
        <v>141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5">
      <c r="A85" s="256" t="s">
        <v>47</v>
      </c>
      <c r="B85" s="239">
        <f>B78</f>
        <v>25000</v>
      </c>
      <c r="C85" s="239">
        <f t="shared" ref="C85:M85" si="129">C78</f>
        <v>45000</v>
      </c>
      <c r="D85" s="239">
        <f t="shared" si="129"/>
        <v>45000</v>
      </c>
      <c r="E85" s="239">
        <f t="shared" si="129"/>
        <v>30000</v>
      </c>
      <c r="F85" s="239">
        <f t="shared" si="129"/>
        <v>20000</v>
      </c>
      <c r="G85" s="239">
        <f t="shared" si="129"/>
        <v>30000</v>
      </c>
      <c r="H85" s="239">
        <f t="shared" si="129"/>
        <v>45000</v>
      </c>
      <c r="I85" s="239">
        <f t="shared" si="129"/>
        <v>45000</v>
      </c>
      <c r="J85" s="239">
        <f t="shared" si="129"/>
        <v>45000</v>
      </c>
      <c r="K85" s="239">
        <f t="shared" si="129"/>
        <v>30000</v>
      </c>
      <c r="L85" s="239">
        <f t="shared" si="129"/>
        <v>35000</v>
      </c>
      <c r="M85" s="239">
        <f t="shared" si="129"/>
        <v>0</v>
      </c>
      <c r="N85" s="21">
        <f>SUM(B85:M85)</f>
        <v>395000</v>
      </c>
    </row>
    <row r="86" spans="1:15">
      <c r="A86" s="256" t="s">
        <v>45</v>
      </c>
      <c r="B86" s="28">
        <f>B85-B87</f>
        <v>454.09916543936924</v>
      </c>
      <c r="C86" s="28">
        <f t="shared" ref="C86" si="130">C85-C87</f>
        <v>817.37849779086537</v>
      </c>
      <c r="D86" s="28">
        <f t="shared" ref="D86" si="131">D85-D87</f>
        <v>817.37849779086537</v>
      </c>
      <c r="E86" s="28">
        <f t="shared" ref="E86" si="132">E85-E87</f>
        <v>544.918998527246</v>
      </c>
      <c r="F86" s="28">
        <f t="shared" ref="F86" si="133">F85-F87</f>
        <v>363.27933235149612</v>
      </c>
      <c r="G86" s="28">
        <f t="shared" ref="G86" si="134">G85-G87</f>
        <v>544.918998527246</v>
      </c>
      <c r="H86" s="28">
        <f t="shared" ref="H86" si="135">H85-H87</f>
        <v>817.37849779086537</v>
      </c>
      <c r="I86" s="28">
        <f t="shared" ref="I86" si="136">I85-I87</f>
        <v>817.37849779086537</v>
      </c>
      <c r="J86" s="28">
        <f t="shared" ref="J86" si="137">J85-J87</f>
        <v>817.37849779086537</v>
      </c>
      <c r="K86" s="28">
        <f t="shared" ref="K86" si="138">K85-K87</f>
        <v>544.918998527246</v>
      </c>
      <c r="L86" s="28">
        <f t="shared" ref="L86" si="139">L85-L87</f>
        <v>635.73883161511912</v>
      </c>
      <c r="M86" s="28">
        <f t="shared" ref="M86" si="140">M85-M87</f>
        <v>0</v>
      </c>
      <c r="N86" s="21">
        <f>SUM(B86:M86)</f>
        <v>7174.7668139420493</v>
      </c>
    </row>
    <row r="87" spans="1:15">
      <c r="A87" s="256" t="str">
        <f>$A$17</f>
        <v xml:space="preserve">       New Smyrna Load</v>
      </c>
      <c r="B87" s="28">
        <f>B85/(1+'Transmission Formula Rate (7)'!$B$27)</f>
        <v>24545.900834560631</v>
      </c>
      <c r="C87" s="28">
        <f>C85/(1+'Transmission Formula Rate (7)'!$B$27)</f>
        <v>44182.621502209135</v>
      </c>
      <c r="D87" s="28">
        <f>D85/(1+'Transmission Formula Rate (7)'!$B$27)</f>
        <v>44182.621502209135</v>
      </c>
      <c r="E87" s="28">
        <f>E85/(1+'Transmission Formula Rate (7)'!$B$27)</f>
        <v>29455.081001472754</v>
      </c>
      <c r="F87" s="28">
        <f>F85/(1+'Transmission Formula Rate (7)'!$B$27)</f>
        <v>19636.720667648504</v>
      </c>
      <c r="G87" s="28">
        <f>G85/(1+'Transmission Formula Rate (7)'!$B$27)</f>
        <v>29455.081001472754</v>
      </c>
      <c r="H87" s="28">
        <f>H85/(1+'Transmission Formula Rate (7)'!$B$27)</f>
        <v>44182.621502209135</v>
      </c>
      <c r="I87" s="28">
        <f>I85/(1+'Transmission Formula Rate (7)'!$B$27)</f>
        <v>44182.621502209135</v>
      </c>
      <c r="J87" s="28">
        <f>J85/(1+'Transmission Formula Rate (7)'!$B$27)</f>
        <v>44182.621502209135</v>
      </c>
      <c r="K87" s="28">
        <f>K85/(1+'Transmission Formula Rate (7)'!$B$27)</f>
        <v>29455.081001472754</v>
      </c>
      <c r="L87" s="28">
        <f>L85/(1+'Transmission Formula Rate (7)'!$B$27)</f>
        <v>34364.261168384881</v>
      </c>
      <c r="M87" s="28">
        <f>M85/(1+'Transmission Formula Rate (7)'!$B$27)</f>
        <v>0</v>
      </c>
      <c r="N87" s="124">
        <f>SUM(B87:M87)</f>
        <v>387825.23318605794</v>
      </c>
    </row>
    <row r="88" spans="1:15">
      <c r="A88" s="254" t="s">
        <v>149</v>
      </c>
      <c r="B88" s="32">
        <f>'charges (1 &amp; 2)'!F12</f>
        <v>1.274E-2</v>
      </c>
      <c r="C88" s="32">
        <f>B88</f>
        <v>1.274E-2</v>
      </c>
      <c r="D88" s="32">
        <f t="shared" ref="D88:M88" si="141">C88</f>
        <v>1.274E-2</v>
      </c>
      <c r="E88" s="32">
        <f t="shared" si="141"/>
        <v>1.274E-2</v>
      </c>
      <c r="F88" s="32">
        <f t="shared" si="141"/>
        <v>1.274E-2</v>
      </c>
      <c r="G88" s="32">
        <f t="shared" si="141"/>
        <v>1.274E-2</v>
      </c>
      <c r="H88" s="32">
        <f t="shared" si="141"/>
        <v>1.274E-2</v>
      </c>
      <c r="I88" s="32">
        <f t="shared" si="141"/>
        <v>1.274E-2</v>
      </c>
      <c r="J88" s="32">
        <f t="shared" si="141"/>
        <v>1.274E-2</v>
      </c>
      <c r="K88" s="32">
        <f t="shared" si="141"/>
        <v>1.274E-2</v>
      </c>
      <c r="L88" s="32">
        <f t="shared" si="141"/>
        <v>1.274E-2</v>
      </c>
      <c r="M88" s="32">
        <f t="shared" si="141"/>
        <v>1.274E-2</v>
      </c>
      <c r="N88" s="20"/>
    </row>
    <row r="89" spans="1:15">
      <c r="A89" s="254" t="s">
        <v>17</v>
      </c>
      <c r="B89" s="21">
        <f>B85*B88</f>
        <v>318.5</v>
      </c>
      <c r="C89" s="21">
        <f t="shared" ref="C89" si="142">C85*C88</f>
        <v>573.29999999999995</v>
      </c>
      <c r="D89" s="21">
        <f t="shared" ref="D89" si="143">D85*D88</f>
        <v>573.29999999999995</v>
      </c>
      <c r="E89" s="21">
        <f t="shared" ref="E89" si="144">E85*E88</f>
        <v>382.2</v>
      </c>
      <c r="F89" s="21">
        <f t="shared" ref="F89" si="145">F85*F88</f>
        <v>254.79999999999998</v>
      </c>
      <c r="G89" s="21">
        <f t="shared" ref="G89" si="146">G85*G88</f>
        <v>382.2</v>
      </c>
      <c r="H89" s="21">
        <f t="shared" ref="H89" si="147">H85*H88</f>
        <v>573.29999999999995</v>
      </c>
      <c r="I89" s="21">
        <f t="shared" ref="I89" si="148">I85*I88</f>
        <v>573.29999999999995</v>
      </c>
      <c r="J89" s="21">
        <f t="shared" ref="J89" si="149">J85*J88</f>
        <v>573.29999999999995</v>
      </c>
      <c r="K89" s="21">
        <f t="shared" ref="K89" si="150">K85*K88</f>
        <v>382.2</v>
      </c>
      <c r="L89" s="21">
        <f t="shared" ref="L89" si="151">L85*L88</f>
        <v>445.9</v>
      </c>
      <c r="M89" s="21">
        <f t="shared" ref="M89" si="152">M85*M88</f>
        <v>0</v>
      </c>
      <c r="N89" s="21">
        <f>SUM(B89:M89)</f>
        <v>5032.2999999999993</v>
      </c>
    </row>
    <row r="91" spans="1:15">
      <c r="A91" s="254" t="s">
        <v>38</v>
      </c>
    </row>
    <row r="92" spans="1:15">
      <c r="A92" s="256" t="s">
        <v>47</v>
      </c>
      <c r="B92" s="239">
        <f>B78</f>
        <v>25000</v>
      </c>
      <c r="C92" s="239">
        <f t="shared" ref="C92:M92" si="153">C78</f>
        <v>45000</v>
      </c>
      <c r="D92" s="239">
        <f t="shared" si="153"/>
        <v>45000</v>
      </c>
      <c r="E92" s="239">
        <f t="shared" si="153"/>
        <v>30000</v>
      </c>
      <c r="F92" s="239">
        <f t="shared" si="153"/>
        <v>20000</v>
      </c>
      <c r="G92" s="239">
        <f t="shared" si="153"/>
        <v>30000</v>
      </c>
      <c r="H92" s="239">
        <f t="shared" si="153"/>
        <v>45000</v>
      </c>
      <c r="I92" s="239">
        <f t="shared" si="153"/>
        <v>45000</v>
      </c>
      <c r="J92" s="239">
        <f t="shared" si="153"/>
        <v>45000</v>
      </c>
      <c r="K92" s="239">
        <f t="shared" si="153"/>
        <v>30000</v>
      </c>
      <c r="L92" s="239">
        <f t="shared" si="153"/>
        <v>35000</v>
      </c>
      <c r="M92" s="239">
        <f t="shared" si="153"/>
        <v>0</v>
      </c>
      <c r="N92" s="21">
        <f>SUM(B92:M92)</f>
        <v>395000</v>
      </c>
    </row>
    <row r="93" spans="1:15">
      <c r="A93" s="256" t="s">
        <v>45</v>
      </c>
      <c r="B93" s="28">
        <f>B92-B94</f>
        <v>454.09916543936924</v>
      </c>
      <c r="C93" s="28">
        <f t="shared" ref="C93" si="154">C92-C94</f>
        <v>817.37849779086537</v>
      </c>
      <c r="D93" s="28">
        <f t="shared" ref="D93" si="155">D92-D94</f>
        <v>817.37849779086537</v>
      </c>
      <c r="E93" s="28">
        <f t="shared" ref="E93" si="156">E92-E94</f>
        <v>544.918998527246</v>
      </c>
      <c r="F93" s="28">
        <f t="shared" ref="F93" si="157">F92-F94</f>
        <v>363.27933235149612</v>
      </c>
      <c r="G93" s="28">
        <f t="shared" ref="G93" si="158">G92-G94</f>
        <v>544.918998527246</v>
      </c>
      <c r="H93" s="28">
        <f t="shared" ref="H93" si="159">H92-H94</f>
        <v>817.37849779086537</v>
      </c>
      <c r="I93" s="28">
        <f t="shared" ref="I93" si="160">I92-I94</f>
        <v>817.37849779086537</v>
      </c>
      <c r="J93" s="28">
        <f t="shared" ref="J93" si="161">J92-J94</f>
        <v>817.37849779086537</v>
      </c>
      <c r="K93" s="28">
        <f t="shared" ref="K93" si="162">K92-K94</f>
        <v>544.918998527246</v>
      </c>
      <c r="L93" s="28">
        <f t="shared" ref="L93" si="163">L92-L94</f>
        <v>635.73883161511912</v>
      </c>
      <c r="M93" s="28">
        <f t="shared" ref="M93" si="164">M92-M94</f>
        <v>0</v>
      </c>
      <c r="N93" s="21">
        <f>SUM(B93:M93)</f>
        <v>7174.7668139420493</v>
      </c>
    </row>
    <row r="94" spans="1:15">
      <c r="A94" s="256" t="str">
        <f>$A$17</f>
        <v xml:space="preserve">       New Smyrna Load</v>
      </c>
      <c r="B94" s="28">
        <f>B92/(1+'Transmission Formula Rate (7)'!$B$27)</f>
        <v>24545.900834560631</v>
      </c>
      <c r="C94" s="28">
        <f>C92/(1+'Transmission Formula Rate (7)'!$B$27)</f>
        <v>44182.621502209135</v>
      </c>
      <c r="D94" s="28">
        <f>D92/(1+'Transmission Formula Rate (7)'!$B$27)</f>
        <v>44182.621502209135</v>
      </c>
      <c r="E94" s="28">
        <f>E92/(1+'Transmission Formula Rate (7)'!$B$27)</f>
        <v>29455.081001472754</v>
      </c>
      <c r="F94" s="28">
        <f>F92/(1+'Transmission Formula Rate (7)'!$B$27)</f>
        <v>19636.720667648504</v>
      </c>
      <c r="G94" s="28">
        <f>G92/(1+'Transmission Formula Rate (7)'!$B$27)</f>
        <v>29455.081001472754</v>
      </c>
      <c r="H94" s="28">
        <f>H92/(1+'Transmission Formula Rate (7)'!$B$27)</f>
        <v>44182.621502209135</v>
      </c>
      <c r="I94" s="28">
        <f>I92/(1+'Transmission Formula Rate (7)'!$B$27)</f>
        <v>44182.621502209135</v>
      </c>
      <c r="J94" s="28">
        <f>J92/(1+'Transmission Formula Rate (7)'!$B$27)</f>
        <v>44182.621502209135</v>
      </c>
      <c r="K94" s="28">
        <f>K92/(1+'Transmission Formula Rate (7)'!$B$27)</f>
        <v>29455.081001472754</v>
      </c>
      <c r="L94" s="28">
        <f>L92/(1+'Transmission Formula Rate (7)'!$B$27)</f>
        <v>34364.261168384881</v>
      </c>
      <c r="M94" s="28">
        <f>M92/(1+'Transmission Formula Rate (7)'!$B$27)</f>
        <v>0</v>
      </c>
      <c r="N94" s="124">
        <f>SUM(B94:M94)</f>
        <v>387825.23318605794</v>
      </c>
    </row>
    <row r="95" spans="1:15">
      <c r="A95" s="254" t="s">
        <v>150</v>
      </c>
      <c r="B95" s="32">
        <f>'charges (1 &amp; 2)'!F11</f>
        <v>0.1008</v>
      </c>
      <c r="C95" s="32">
        <f>B95</f>
        <v>0.1008</v>
      </c>
      <c r="D95" s="32">
        <f t="shared" ref="D95:M95" si="165">C95</f>
        <v>0.1008</v>
      </c>
      <c r="E95" s="32">
        <f t="shared" si="165"/>
        <v>0.1008</v>
      </c>
      <c r="F95" s="32">
        <f t="shared" si="165"/>
        <v>0.1008</v>
      </c>
      <c r="G95" s="32">
        <f t="shared" si="165"/>
        <v>0.1008</v>
      </c>
      <c r="H95" s="32">
        <f t="shared" si="165"/>
        <v>0.1008</v>
      </c>
      <c r="I95" s="32">
        <f t="shared" si="165"/>
        <v>0.1008</v>
      </c>
      <c r="J95" s="32">
        <f t="shared" si="165"/>
        <v>0.1008</v>
      </c>
      <c r="K95" s="32">
        <f t="shared" si="165"/>
        <v>0.1008</v>
      </c>
      <c r="L95" s="32">
        <f t="shared" si="165"/>
        <v>0.1008</v>
      </c>
      <c r="M95" s="32">
        <f t="shared" si="165"/>
        <v>0.1008</v>
      </c>
      <c r="N95" s="20"/>
    </row>
    <row r="96" spans="1:15">
      <c r="A96" s="254" t="s">
        <v>17</v>
      </c>
      <c r="B96" s="21">
        <f>B92*B95</f>
        <v>2520</v>
      </c>
      <c r="C96" s="21">
        <f t="shared" ref="C96" si="166">C92*C95</f>
        <v>4536</v>
      </c>
      <c r="D96" s="21">
        <f t="shared" ref="D96" si="167">D92*D95</f>
        <v>4536</v>
      </c>
      <c r="E96" s="21">
        <f t="shared" ref="E96" si="168">E92*E95</f>
        <v>3024</v>
      </c>
      <c r="F96" s="21">
        <f t="shared" ref="F96" si="169">F92*F95</f>
        <v>2016</v>
      </c>
      <c r="G96" s="21">
        <f t="shared" ref="G96" si="170">G92*G95</f>
        <v>3024</v>
      </c>
      <c r="H96" s="21">
        <f t="shared" ref="H96" si="171">H92*H95</f>
        <v>4536</v>
      </c>
      <c r="I96" s="21">
        <f t="shared" ref="I96" si="172">I92*I95</f>
        <v>4536</v>
      </c>
      <c r="J96" s="21">
        <f t="shared" ref="J96" si="173">J92*J95</f>
        <v>4536</v>
      </c>
      <c r="K96" s="21">
        <f t="shared" ref="K96" si="174">K92*K95</f>
        <v>3024</v>
      </c>
      <c r="L96" s="21">
        <f t="shared" ref="L96" si="175">L92*L95</f>
        <v>3528</v>
      </c>
      <c r="M96" s="21">
        <f t="shared" ref="M96" si="176">M92*M95</f>
        <v>0</v>
      </c>
      <c r="N96" s="21">
        <f>SUM(B96:M96)</f>
        <v>39816</v>
      </c>
    </row>
    <row r="98" spans="1:15">
      <c r="B98" s="24" t="s">
        <v>0</v>
      </c>
      <c r="C98" s="24" t="s">
        <v>1</v>
      </c>
      <c r="D98" s="24" t="s">
        <v>2</v>
      </c>
      <c r="E98" s="24" t="s">
        <v>3</v>
      </c>
      <c r="F98" s="24" t="s">
        <v>4</v>
      </c>
      <c r="G98" s="24" t="s">
        <v>5</v>
      </c>
      <c r="H98" s="24" t="s">
        <v>6</v>
      </c>
      <c r="I98" s="24" t="s">
        <v>7</v>
      </c>
      <c r="J98" s="24" t="s">
        <v>8</v>
      </c>
      <c r="K98" s="24" t="s">
        <v>9</v>
      </c>
      <c r="L98" s="24" t="s">
        <v>10</v>
      </c>
      <c r="M98" s="24" t="s">
        <v>11</v>
      </c>
      <c r="N98" s="24" t="s">
        <v>12</v>
      </c>
    </row>
    <row r="99" spans="1:15">
      <c r="A99" s="255">
        <f>A76+1</f>
        <v>2018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1:15">
      <c r="A100" s="254" t="s">
        <v>37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5">
      <c r="A101" s="256" t="s">
        <v>47</v>
      </c>
      <c r="B101" s="239">
        <f>'[11]Summary_NCP '!$D$123*1000</f>
        <v>45000</v>
      </c>
      <c r="C101" s="239">
        <f>'[11]Summary_NCP '!$D$124*1000</f>
        <v>45000</v>
      </c>
      <c r="D101" s="239">
        <f>'[11]Summary_NCP '!$D$125*1000</f>
        <v>30000</v>
      </c>
      <c r="E101" s="239">
        <f>'[11]Summary_NCP '!$D$126*1000</f>
        <v>20000</v>
      </c>
      <c r="F101" s="239">
        <f>'[11]Summary_NCP '!$D$127*1000</f>
        <v>30000</v>
      </c>
      <c r="G101" s="239">
        <f>'[11]Summary_NCP '!$D$128*1000</f>
        <v>45000</v>
      </c>
      <c r="H101" s="239">
        <f>'[11]Summary_NCP '!$D$129*1000</f>
        <v>45000</v>
      </c>
      <c r="I101" s="239">
        <f>'[11]Summary_NCP '!$D$130*1000</f>
        <v>45000</v>
      </c>
      <c r="J101" s="239">
        <f>'[11]Summary_NCP '!$D$131*1000</f>
        <v>35000</v>
      </c>
      <c r="K101" s="239">
        <f>'[11]Summary_NCP '!$D$132*1000</f>
        <v>30000</v>
      </c>
      <c r="L101" s="239">
        <f>'[11]Summary_NCP '!$D$133*1000</f>
        <v>20000</v>
      </c>
      <c r="M101" s="239">
        <f>'[11]Summary_NCP '!$D$134*1000</f>
        <v>30000</v>
      </c>
      <c r="N101" s="21">
        <f>SUM(B101:M101)</f>
        <v>420000</v>
      </c>
    </row>
    <row r="102" spans="1:15">
      <c r="A102" s="256" t="s">
        <v>45</v>
      </c>
      <c r="B102" s="28">
        <f>B101-B103</f>
        <v>817.37849779086537</v>
      </c>
      <c r="C102" s="28">
        <f t="shared" ref="C102" si="177">C101-C103</f>
        <v>817.37849779086537</v>
      </c>
      <c r="D102" s="28">
        <f t="shared" ref="D102" si="178">D101-D103</f>
        <v>544.918998527246</v>
      </c>
      <c r="E102" s="28">
        <f t="shared" ref="E102" si="179">E101-E103</f>
        <v>363.27933235149612</v>
      </c>
      <c r="F102" s="28">
        <f t="shared" ref="F102" si="180">F101-F103</f>
        <v>544.918998527246</v>
      </c>
      <c r="G102" s="28">
        <f t="shared" ref="G102" si="181">G101-G103</f>
        <v>817.37849779086537</v>
      </c>
      <c r="H102" s="28">
        <f t="shared" ref="H102" si="182">H101-H103</f>
        <v>817.37849779086537</v>
      </c>
      <c r="I102" s="28">
        <f t="shared" ref="I102" si="183">I101-I103</f>
        <v>817.37849779086537</v>
      </c>
      <c r="J102" s="28">
        <f t="shared" ref="J102" si="184">J101-J103</f>
        <v>635.73883161511912</v>
      </c>
      <c r="K102" s="28">
        <f t="shared" ref="K102" si="185">K101-K103</f>
        <v>544.918998527246</v>
      </c>
      <c r="L102" s="28">
        <f t="shared" ref="L102" si="186">L101-L103</f>
        <v>363.27933235149612</v>
      </c>
      <c r="M102" s="28">
        <f t="shared" ref="M102" si="187">M101-M103</f>
        <v>544.918998527246</v>
      </c>
      <c r="N102" s="21">
        <f>SUM(B102:M102)</f>
        <v>7628.8659793814222</v>
      </c>
    </row>
    <row r="103" spans="1:15">
      <c r="A103" s="256" t="str">
        <f>$A$17</f>
        <v xml:space="preserve">       New Smyrna Load</v>
      </c>
      <c r="B103" s="28">
        <f>B101/(1+'Transmission Formula Rate (7)'!$B$27)</f>
        <v>44182.621502209135</v>
      </c>
      <c r="C103" s="28">
        <f>C101/(1+'Transmission Formula Rate (7)'!$B$27)</f>
        <v>44182.621502209135</v>
      </c>
      <c r="D103" s="28">
        <f>D101/(1+'Transmission Formula Rate (7)'!$B$27)</f>
        <v>29455.081001472754</v>
      </c>
      <c r="E103" s="28">
        <f>E101/(1+'Transmission Formula Rate (7)'!$B$27)</f>
        <v>19636.720667648504</v>
      </c>
      <c r="F103" s="28">
        <f>F101/(1+'Transmission Formula Rate (7)'!$B$27)</f>
        <v>29455.081001472754</v>
      </c>
      <c r="G103" s="28">
        <f>G101/(1+'Transmission Formula Rate (7)'!$B$27)</f>
        <v>44182.621502209135</v>
      </c>
      <c r="H103" s="28">
        <f>H101/(1+'Transmission Formula Rate (7)'!$B$27)</f>
        <v>44182.621502209135</v>
      </c>
      <c r="I103" s="28">
        <f>I101/(1+'Transmission Formula Rate (7)'!$B$27)</f>
        <v>44182.621502209135</v>
      </c>
      <c r="J103" s="28">
        <f>J101/(1+'Transmission Formula Rate (7)'!$B$27)</f>
        <v>34364.261168384881</v>
      </c>
      <c r="K103" s="28">
        <f>K101/(1+'Transmission Formula Rate (7)'!$B$27)</f>
        <v>29455.081001472754</v>
      </c>
      <c r="L103" s="28">
        <f>L101/(1+'Transmission Formula Rate (7)'!$B$27)</f>
        <v>19636.720667648504</v>
      </c>
      <c r="M103" s="28">
        <f>M101/(1+'Transmission Formula Rate (7)'!$B$27)</f>
        <v>29455.081001472754</v>
      </c>
      <c r="N103" s="124">
        <f>SUM(B103:M103)</f>
        <v>412371.13402061857</v>
      </c>
    </row>
    <row r="104" spans="1:15">
      <c r="A104" s="254" t="s">
        <v>20</v>
      </c>
      <c r="B104" s="30">
        <f>'Transmission Formula Rate (7)'!B16</f>
        <v>1.59</v>
      </c>
      <c r="C104" s="30">
        <f>'Transmission Formula Rate (7)'!C16</f>
        <v>1.59</v>
      </c>
      <c r="D104" s="30">
        <f>'Transmission Formula Rate (7)'!D16</f>
        <v>1.59</v>
      </c>
      <c r="E104" s="30">
        <f>'Transmission Formula Rate (7)'!E16</f>
        <v>1.59</v>
      </c>
      <c r="F104" s="30">
        <f>'Transmission Formula Rate (7)'!$F$16</f>
        <v>1.59</v>
      </c>
      <c r="G104" s="30">
        <f>'Transmission Formula Rate (7)'!$F$16</f>
        <v>1.59</v>
      </c>
      <c r="H104" s="30">
        <f>'Transmission Formula Rate (7)'!$F$16</f>
        <v>1.59</v>
      </c>
      <c r="I104" s="30">
        <f>'Transmission Formula Rate (7)'!$F$16</f>
        <v>1.59</v>
      </c>
      <c r="J104" s="30">
        <f>'Transmission Formula Rate (7)'!$F$16</f>
        <v>1.59</v>
      </c>
      <c r="K104" s="30">
        <f>'Transmission Formula Rate (7)'!$F$16</f>
        <v>1.59</v>
      </c>
      <c r="L104" s="30">
        <f>'Transmission Formula Rate (7)'!$F$16</f>
        <v>1.59</v>
      </c>
      <c r="M104" s="30">
        <f>'Transmission Formula Rate (7)'!$F$16</f>
        <v>1.59</v>
      </c>
      <c r="N104" s="20"/>
      <c r="O104" s="277"/>
    </row>
    <row r="105" spans="1:15">
      <c r="A105" s="254" t="s">
        <v>17</v>
      </c>
      <c r="B105" s="21">
        <f>B101*B104</f>
        <v>71550</v>
      </c>
      <c r="C105" s="21">
        <f t="shared" ref="C105" si="188">C101*C104</f>
        <v>71550</v>
      </c>
      <c r="D105" s="21">
        <f t="shared" ref="D105" si="189">D101*D104</f>
        <v>47700</v>
      </c>
      <c r="E105" s="21">
        <f t="shared" ref="E105" si="190">E101*E104</f>
        <v>31800</v>
      </c>
      <c r="F105" s="21">
        <f t="shared" ref="F105" si="191">F101*F104</f>
        <v>47700</v>
      </c>
      <c r="G105" s="21">
        <f t="shared" ref="G105" si="192">G101*G104</f>
        <v>71550</v>
      </c>
      <c r="H105" s="21">
        <f t="shared" ref="H105" si="193">H101*H104</f>
        <v>71550</v>
      </c>
      <c r="I105" s="21">
        <f t="shared" ref="I105" si="194">I101*I104</f>
        <v>71550</v>
      </c>
      <c r="J105" s="21">
        <f t="shared" ref="J105" si="195">J101*J104</f>
        <v>55650</v>
      </c>
      <c r="K105" s="21">
        <f t="shared" ref="K105" si="196">K101*K104</f>
        <v>47700</v>
      </c>
      <c r="L105" s="21">
        <f t="shared" ref="L105" si="197">L101*L104</f>
        <v>31800</v>
      </c>
      <c r="M105" s="21">
        <f t="shared" ref="M105" si="198">M101*M104</f>
        <v>47700</v>
      </c>
      <c r="N105" s="21">
        <f>SUM(B105:M105)</f>
        <v>667800</v>
      </c>
    </row>
    <row r="107" spans="1:15">
      <c r="A107" s="254" t="s">
        <v>141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5">
      <c r="A108" s="256" t="s">
        <v>47</v>
      </c>
      <c r="B108" s="239">
        <f>B101</f>
        <v>45000</v>
      </c>
      <c r="C108" s="239">
        <f t="shared" ref="C108:M108" si="199">C101</f>
        <v>45000</v>
      </c>
      <c r="D108" s="239">
        <f t="shared" si="199"/>
        <v>30000</v>
      </c>
      <c r="E108" s="239">
        <f t="shared" si="199"/>
        <v>20000</v>
      </c>
      <c r="F108" s="239">
        <f t="shared" si="199"/>
        <v>30000</v>
      </c>
      <c r="G108" s="239">
        <f t="shared" si="199"/>
        <v>45000</v>
      </c>
      <c r="H108" s="239">
        <f t="shared" si="199"/>
        <v>45000</v>
      </c>
      <c r="I108" s="239">
        <f t="shared" si="199"/>
        <v>45000</v>
      </c>
      <c r="J108" s="239">
        <f t="shared" si="199"/>
        <v>35000</v>
      </c>
      <c r="K108" s="239">
        <f t="shared" si="199"/>
        <v>30000</v>
      </c>
      <c r="L108" s="239">
        <f t="shared" si="199"/>
        <v>20000</v>
      </c>
      <c r="M108" s="239">
        <f t="shared" si="199"/>
        <v>30000</v>
      </c>
      <c r="N108" s="21">
        <f>SUM(B108:M108)</f>
        <v>420000</v>
      </c>
    </row>
    <row r="109" spans="1:15">
      <c r="A109" s="256" t="s">
        <v>45</v>
      </c>
      <c r="B109" s="28">
        <f>B108-B110</f>
        <v>817.37849779086537</v>
      </c>
      <c r="C109" s="28">
        <f t="shared" ref="C109" si="200">C108-C110</f>
        <v>817.37849779086537</v>
      </c>
      <c r="D109" s="28">
        <f t="shared" ref="D109" si="201">D108-D110</f>
        <v>544.918998527246</v>
      </c>
      <c r="E109" s="28">
        <f t="shared" ref="E109" si="202">E108-E110</f>
        <v>363.27933235149612</v>
      </c>
      <c r="F109" s="28">
        <f t="shared" ref="F109" si="203">F108-F110</f>
        <v>544.918998527246</v>
      </c>
      <c r="G109" s="28">
        <f t="shared" ref="G109" si="204">G108-G110</f>
        <v>817.37849779086537</v>
      </c>
      <c r="H109" s="28">
        <f t="shared" ref="H109" si="205">H108-H110</f>
        <v>817.37849779086537</v>
      </c>
      <c r="I109" s="28">
        <f t="shared" ref="I109" si="206">I108-I110</f>
        <v>817.37849779086537</v>
      </c>
      <c r="J109" s="28">
        <f t="shared" ref="J109" si="207">J108-J110</f>
        <v>635.73883161511912</v>
      </c>
      <c r="K109" s="28">
        <f t="shared" ref="K109" si="208">K108-K110</f>
        <v>544.918998527246</v>
      </c>
      <c r="L109" s="28">
        <f t="shared" ref="L109" si="209">L108-L110</f>
        <v>363.27933235149612</v>
      </c>
      <c r="M109" s="28">
        <f t="shared" ref="M109" si="210">M108-M110</f>
        <v>544.918998527246</v>
      </c>
      <c r="N109" s="21">
        <f>SUM(B109:M109)</f>
        <v>7628.8659793814222</v>
      </c>
    </row>
    <row r="110" spans="1:15">
      <c r="A110" s="256" t="str">
        <f>$A$17</f>
        <v xml:space="preserve">       New Smyrna Load</v>
      </c>
      <c r="B110" s="28">
        <f>B108/(1+'Transmission Formula Rate (7)'!$B$27)</f>
        <v>44182.621502209135</v>
      </c>
      <c r="C110" s="28">
        <f>C108/(1+'Transmission Formula Rate (7)'!$B$27)</f>
        <v>44182.621502209135</v>
      </c>
      <c r="D110" s="28">
        <f>D108/(1+'Transmission Formula Rate (7)'!$B$27)</f>
        <v>29455.081001472754</v>
      </c>
      <c r="E110" s="28">
        <f>E108/(1+'Transmission Formula Rate (7)'!$B$27)</f>
        <v>19636.720667648504</v>
      </c>
      <c r="F110" s="28">
        <f>F108/(1+'Transmission Formula Rate (7)'!$B$27)</f>
        <v>29455.081001472754</v>
      </c>
      <c r="G110" s="28">
        <f>G108/(1+'Transmission Formula Rate (7)'!$B$27)</f>
        <v>44182.621502209135</v>
      </c>
      <c r="H110" s="28">
        <f>H108/(1+'Transmission Formula Rate (7)'!$B$27)</f>
        <v>44182.621502209135</v>
      </c>
      <c r="I110" s="28">
        <f>I108/(1+'Transmission Formula Rate (7)'!$B$27)</f>
        <v>44182.621502209135</v>
      </c>
      <c r="J110" s="28">
        <f>J108/(1+'Transmission Formula Rate (7)'!$B$27)</f>
        <v>34364.261168384881</v>
      </c>
      <c r="K110" s="28">
        <f>K108/(1+'Transmission Formula Rate (7)'!$B$27)</f>
        <v>29455.081001472754</v>
      </c>
      <c r="L110" s="28">
        <f>L108/(1+'Transmission Formula Rate (7)'!$B$27)</f>
        <v>19636.720667648504</v>
      </c>
      <c r="M110" s="28">
        <f>M108/(1+'Transmission Formula Rate (7)'!$B$27)</f>
        <v>29455.081001472754</v>
      </c>
      <c r="N110" s="124">
        <f>SUM(B110:M110)</f>
        <v>412371.13402061857</v>
      </c>
    </row>
    <row r="111" spans="1:15">
      <c r="A111" s="254" t="s">
        <v>149</v>
      </c>
      <c r="B111" s="32">
        <f>'charges (1 &amp; 2)'!G12</f>
        <v>1.274E-2</v>
      </c>
      <c r="C111" s="32">
        <f>B111</f>
        <v>1.274E-2</v>
      </c>
      <c r="D111" s="32">
        <f t="shared" ref="D111:E111" si="211">C111</f>
        <v>1.274E-2</v>
      </c>
      <c r="E111" s="32">
        <f t="shared" si="211"/>
        <v>1.274E-2</v>
      </c>
      <c r="F111" s="32">
        <f>$E$111</f>
        <v>1.274E-2</v>
      </c>
      <c r="G111" s="32">
        <f t="shared" ref="G111:M111" si="212">$E$111</f>
        <v>1.274E-2</v>
      </c>
      <c r="H111" s="32">
        <f t="shared" si="212"/>
        <v>1.274E-2</v>
      </c>
      <c r="I111" s="32">
        <f t="shared" si="212"/>
        <v>1.274E-2</v>
      </c>
      <c r="J111" s="32">
        <f t="shared" si="212"/>
        <v>1.274E-2</v>
      </c>
      <c r="K111" s="32">
        <f t="shared" si="212"/>
        <v>1.274E-2</v>
      </c>
      <c r="L111" s="32">
        <f t="shared" si="212"/>
        <v>1.274E-2</v>
      </c>
      <c r="M111" s="32">
        <f t="shared" si="212"/>
        <v>1.274E-2</v>
      </c>
      <c r="N111" s="20"/>
    </row>
    <row r="112" spans="1:15">
      <c r="A112" s="254" t="s">
        <v>17</v>
      </c>
      <c r="B112" s="21">
        <f>B108*B111</f>
        <v>573.29999999999995</v>
      </c>
      <c r="C112" s="21">
        <f t="shared" ref="C112" si="213">C108*C111</f>
        <v>573.29999999999995</v>
      </c>
      <c r="D112" s="21">
        <f t="shared" ref="D112" si="214">D108*D111</f>
        <v>382.2</v>
      </c>
      <c r="E112" s="21">
        <f t="shared" ref="E112" si="215">E108*E111</f>
        <v>254.79999999999998</v>
      </c>
      <c r="F112" s="21">
        <f t="shared" ref="F112" si="216">F108*F111</f>
        <v>382.2</v>
      </c>
      <c r="G112" s="21">
        <f t="shared" ref="G112" si="217">G108*G111</f>
        <v>573.29999999999995</v>
      </c>
      <c r="H112" s="21">
        <f t="shared" ref="H112" si="218">H108*H111</f>
        <v>573.29999999999995</v>
      </c>
      <c r="I112" s="21">
        <f t="shared" ref="I112" si="219">I108*I111</f>
        <v>573.29999999999995</v>
      </c>
      <c r="J112" s="21">
        <f t="shared" ref="J112" si="220">J108*J111</f>
        <v>445.9</v>
      </c>
      <c r="K112" s="21">
        <f t="shared" ref="K112" si="221">K108*K111</f>
        <v>382.2</v>
      </c>
      <c r="L112" s="21">
        <f t="shared" ref="L112" si="222">L108*L111</f>
        <v>254.79999999999998</v>
      </c>
      <c r="M112" s="21">
        <f t="shared" ref="M112" si="223">M108*M111</f>
        <v>382.2</v>
      </c>
      <c r="N112" s="21">
        <f>SUM(B112:M112)</f>
        <v>5350.7999999999993</v>
      </c>
    </row>
    <row r="114" spans="1:15">
      <c r="A114" s="254" t="s">
        <v>38</v>
      </c>
    </row>
    <row r="115" spans="1:15">
      <c r="A115" s="256" t="s">
        <v>47</v>
      </c>
      <c r="B115" s="239">
        <f>B101</f>
        <v>45000</v>
      </c>
      <c r="C115" s="239">
        <f t="shared" ref="C115:M115" si="224">C101</f>
        <v>45000</v>
      </c>
      <c r="D115" s="239">
        <f t="shared" si="224"/>
        <v>30000</v>
      </c>
      <c r="E115" s="239">
        <f t="shared" si="224"/>
        <v>20000</v>
      </c>
      <c r="F115" s="239">
        <f t="shared" si="224"/>
        <v>30000</v>
      </c>
      <c r="G115" s="239">
        <f t="shared" si="224"/>
        <v>45000</v>
      </c>
      <c r="H115" s="239">
        <f t="shared" si="224"/>
        <v>45000</v>
      </c>
      <c r="I115" s="239">
        <f t="shared" si="224"/>
        <v>45000</v>
      </c>
      <c r="J115" s="239">
        <f t="shared" si="224"/>
        <v>35000</v>
      </c>
      <c r="K115" s="239">
        <f t="shared" si="224"/>
        <v>30000</v>
      </c>
      <c r="L115" s="239">
        <f t="shared" si="224"/>
        <v>20000</v>
      </c>
      <c r="M115" s="239">
        <f t="shared" si="224"/>
        <v>30000</v>
      </c>
      <c r="N115" s="21">
        <f>SUM(B115:M115)</f>
        <v>420000</v>
      </c>
    </row>
    <row r="116" spans="1:15">
      <c r="A116" s="256" t="s">
        <v>45</v>
      </c>
      <c r="B116" s="28">
        <f>B115-B117</f>
        <v>817.37849779086537</v>
      </c>
      <c r="C116" s="28">
        <f t="shared" ref="C116" si="225">C115-C117</f>
        <v>817.37849779086537</v>
      </c>
      <c r="D116" s="28">
        <f t="shared" ref="D116" si="226">D115-D117</f>
        <v>544.918998527246</v>
      </c>
      <c r="E116" s="28">
        <f t="shared" ref="E116" si="227">E115-E117</f>
        <v>363.27933235149612</v>
      </c>
      <c r="F116" s="28">
        <f t="shared" ref="F116" si="228">F115-F117</f>
        <v>544.918998527246</v>
      </c>
      <c r="G116" s="28">
        <f t="shared" ref="G116" si="229">G115-G117</f>
        <v>817.37849779086537</v>
      </c>
      <c r="H116" s="28">
        <f t="shared" ref="H116" si="230">H115-H117</f>
        <v>817.37849779086537</v>
      </c>
      <c r="I116" s="28">
        <f t="shared" ref="I116" si="231">I115-I117</f>
        <v>817.37849779086537</v>
      </c>
      <c r="J116" s="28">
        <f t="shared" ref="J116" si="232">J115-J117</f>
        <v>635.73883161511912</v>
      </c>
      <c r="K116" s="28">
        <f t="shared" ref="K116" si="233">K115-K117</f>
        <v>544.918998527246</v>
      </c>
      <c r="L116" s="28">
        <f t="shared" ref="L116" si="234">L115-L117</f>
        <v>363.27933235149612</v>
      </c>
      <c r="M116" s="28">
        <f t="shared" ref="M116" si="235">M115-M117</f>
        <v>544.918998527246</v>
      </c>
      <c r="N116" s="24"/>
    </row>
    <row r="117" spans="1:15">
      <c r="A117" s="256" t="str">
        <f>$A$17</f>
        <v xml:space="preserve">       New Smyrna Load</v>
      </c>
      <c r="B117" s="28">
        <f>B115/(1+'Transmission Formula Rate (7)'!$B$27)</f>
        <v>44182.621502209135</v>
      </c>
      <c r="C117" s="28">
        <f>C115/(1+'Transmission Formula Rate (7)'!$B$27)</f>
        <v>44182.621502209135</v>
      </c>
      <c r="D117" s="28">
        <f>D115/(1+'Transmission Formula Rate (7)'!$B$27)</f>
        <v>29455.081001472754</v>
      </c>
      <c r="E117" s="28">
        <f>E115/(1+'Transmission Formula Rate (7)'!$B$27)</f>
        <v>19636.720667648504</v>
      </c>
      <c r="F117" s="28">
        <f>F115/(1+'Transmission Formula Rate (7)'!$B$27)</f>
        <v>29455.081001472754</v>
      </c>
      <c r="G117" s="28">
        <f>G115/(1+'Transmission Formula Rate (7)'!$B$27)</f>
        <v>44182.621502209135</v>
      </c>
      <c r="H117" s="28">
        <f>H115/(1+'Transmission Formula Rate (7)'!$B$27)</f>
        <v>44182.621502209135</v>
      </c>
      <c r="I117" s="28">
        <f>I115/(1+'Transmission Formula Rate (7)'!$B$27)</f>
        <v>44182.621502209135</v>
      </c>
      <c r="J117" s="28">
        <f>J115/(1+'Transmission Formula Rate (7)'!$B$27)</f>
        <v>34364.261168384881</v>
      </c>
      <c r="K117" s="28">
        <f>K115/(1+'Transmission Formula Rate (7)'!$B$27)</f>
        <v>29455.081001472754</v>
      </c>
      <c r="L117" s="28">
        <f>L115/(1+'Transmission Formula Rate (7)'!$B$27)</f>
        <v>19636.720667648504</v>
      </c>
      <c r="M117" s="28">
        <f>M115/(1+'Transmission Formula Rate (7)'!$B$27)</f>
        <v>29455.081001472754</v>
      </c>
      <c r="N117" s="24"/>
    </row>
    <row r="118" spans="1:15">
      <c r="A118" s="254" t="s">
        <v>150</v>
      </c>
      <c r="B118" s="32">
        <f>'charges (1 &amp; 2)'!G11</f>
        <v>0.1008</v>
      </c>
      <c r="C118" s="32">
        <f>B118</f>
        <v>0.1008</v>
      </c>
      <c r="D118" s="32">
        <f t="shared" ref="D118:M118" si="236">C118</f>
        <v>0.1008</v>
      </c>
      <c r="E118" s="32">
        <f t="shared" si="236"/>
        <v>0.1008</v>
      </c>
      <c r="F118" s="32">
        <f t="shared" si="236"/>
        <v>0.1008</v>
      </c>
      <c r="G118" s="32">
        <f t="shared" si="236"/>
        <v>0.1008</v>
      </c>
      <c r="H118" s="32">
        <f t="shared" si="236"/>
        <v>0.1008</v>
      </c>
      <c r="I118" s="32">
        <f t="shared" si="236"/>
        <v>0.1008</v>
      </c>
      <c r="J118" s="32">
        <f t="shared" si="236"/>
        <v>0.1008</v>
      </c>
      <c r="K118" s="32">
        <f t="shared" si="236"/>
        <v>0.1008</v>
      </c>
      <c r="L118" s="32">
        <f t="shared" si="236"/>
        <v>0.1008</v>
      </c>
      <c r="M118" s="32">
        <f t="shared" si="236"/>
        <v>0.1008</v>
      </c>
      <c r="N118" s="24"/>
    </row>
    <row r="119" spans="1:15">
      <c r="A119" s="254" t="s">
        <v>17</v>
      </c>
      <c r="B119" s="21">
        <f>B115*B118</f>
        <v>4536</v>
      </c>
      <c r="C119" s="21">
        <f t="shared" ref="C119" si="237">C115*C118</f>
        <v>4536</v>
      </c>
      <c r="D119" s="21">
        <f t="shared" ref="D119" si="238">D115*D118</f>
        <v>3024</v>
      </c>
      <c r="E119" s="21">
        <f t="shared" ref="E119" si="239">E115*E118</f>
        <v>2016</v>
      </c>
      <c r="F119" s="21">
        <f t="shared" ref="F119" si="240">F115*F118</f>
        <v>3024</v>
      </c>
      <c r="G119" s="21">
        <f t="shared" ref="G119" si="241">G115*G118</f>
        <v>4536</v>
      </c>
      <c r="H119" s="21">
        <f t="shared" ref="H119" si="242">H115*H118</f>
        <v>4536</v>
      </c>
      <c r="I119" s="21">
        <f t="shared" ref="I119" si="243">I115*I118</f>
        <v>4536</v>
      </c>
      <c r="J119" s="21">
        <f t="shared" ref="J119" si="244">J115*J118</f>
        <v>3528</v>
      </c>
      <c r="K119" s="21">
        <f t="shared" ref="K119" si="245">K115*K118</f>
        <v>3024</v>
      </c>
      <c r="L119" s="21">
        <f t="shared" ref="L119" si="246">L115*L118</f>
        <v>2016</v>
      </c>
      <c r="M119" s="21">
        <f t="shared" ref="M119" si="247">M115*M118</f>
        <v>3024</v>
      </c>
      <c r="N119" s="24"/>
    </row>
    <row r="120" spans="1:1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1:1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</row>
    <row r="123" spans="1:15">
      <c r="A123" s="255">
        <f>A99+1</f>
        <v>2019</v>
      </c>
      <c r="B123" s="24" t="s">
        <v>0</v>
      </c>
      <c r="C123" s="24" t="s">
        <v>1</v>
      </c>
      <c r="D123" s="24" t="s">
        <v>2</v>
      </c>
      <c r="E123" s="24" t="s">
        <v>3</v>
      </c>
      <c r="F123" s="24" t="s">
        <v>4</v>
      </c>
      <c r="G123" s="24" t="s">
        <v>5</v>
      </c>
      <c r="H123" s="24" t="s">
        <v>6</v>
      </c>
      <c r="I123" s="24" t="s">
        <v>7</v>
      </c>
      <c r="J123" s="24" t="s">
        <v>8</v>
      </c>
      <c r="K123" s="24" t="s">
        <v>9</v>
      </c>
      <c r="L123" s="24" t="s">
        <v>10</v>
      </c>
      <c r="M123" s="24" t="s">
        <v>11</v>
      </c>
      <c r="N123" s="24" t="s">
        <v>12</v>
      </c>
    </row>
    <row r="124" spans="1:15">
      <c r="A124" s="254" t="s">
        <v>37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5">
      <c r="A125" s="256" t="s">
        <v>47</v>
      </c>
      <c r="B125" s="239">
        <f>[10]Summary_CP!$H$134*1000</f>
        <v>0</v>
      </c>
      <c r="C125" s="239">
        <f>[10]Summary_CP!$H$135*1000</f>
        <v>0</v>
      </c>
      <c r="D125" s="239">
        <f>[10]Summary_CP!$H$136*1000</f>
        <v>0</v>
      </c>
      <c r="E125" s="239">
        <f>[10]Summary_CP!$H$137*1000</f>
        <v>0</v>
      </c>
      <c r="F125" s="239">
        <f>[10]Summary_CP!$H$138*1000</f>
        <v>0</v>
      </c>
      <c r="G125" s="239">
        <f>[10]Summary_CP!$H$139*1000</f>
        <v>0</v>
      </c>
      <c r="H125" s="239">
        <f>[10]Summary_CP!$H$140*1000</f>
        <v>0</v>
      </c>
      <c r="I125" s="239">
        <f>[10]Summary_CP!$H$141*1000</f>
        <v>0</v>
      </c>
      <c r="J125" s="239">
        <f>[10]Summary_CP!$H$142*1000</f>
        <v>0</v>
      </c>
      <c r="K125" s="239">
        <f>[10]Summary_CP!$H$143*1000</f>
        <v>0</v>
      </c>
      <c r="L125" s="239">
        <f>[10]Summary_CP!$H$144*1000</f>
        <v>0</v>
      </c>
      <c r="M125" s="239">
        <f>[10]Summary_CP!$H$145*1000</f>
        <v>0</v>
      </c>
      <c r="N125" s="21">
        <f>SUM(B125:M125)</f>
        <v>0</v>
      </c>
    </row>
    <row r="126" spans="1:15">
      <c r="A126" s="256" t="s">
        <v>45</v>
      </c>
      <c r="B126" s="28">
        <f>B125-B127</f>
        <v>0</v>
      </c>
      <c r="C126" s="28">
        <f t="shared" ref="C126" si="248">C125-C127</f>
        <v>0</v>
      </c>
      <c r="D126" s="28">
        <f t="shared" ref="D126" si="249">D125-D127</f>
        <v>0</v>
      </c>
      <c r="E126" s="28">
        <f t="shared" ref="E126" si="250">E125-E127</f>
        <v>0</v>
      </c>
      <c r="F126" s="28">
        <f t="shared" ref="F126" si="251">F125-F127</f>
        <v>0</v>
      </c>
      <c r="G126" s="28">
        <f t="shared" ref="G126" si="252">G125-G127</f>
        <v>0</v>
      </c>
      <c r="H126" s="28">
        <f t="shared" ref="H126" si="253">H125-H127</f>
        <v>0</v>
      </c>
      <c r="I126" s="28">
        <f t="shared" ref="I126" si="254">I125-I127</f>
        <v>0</v>
      </c>
      <c r="J126" s="28">
        <f t="shared" ref="J126" si="255">J125-J127</f>
        <v>0</v>
      </c>
      <c r="K126" s="28">
        <f t="shared" ref="K126" si="256">K125-K127</f>
        <v>0</v>
      </c>
      <c r="L126" s="28">
        <f t="shared" ref="L126" si="257">L125-L127</f>
        <v>0</v>
      </c>
      <c r="M126" s="28">
        <f t="shared" ref="M126" si="258">M125-M127</f>
        <v>0</v>
      </c>
      <c r="N126" s="21">
        <f>SUM(B126:M126)</f>
        <v>0</v>
      </c>
    </row>
    <row r="127" spans="1:15">
      <c r="A127" s="256" t="str">
        <f>$A$17</f>
        <v xml:space="preserve">       New Smyrna Load</v>
      </c>
      <c r="B127" s="28">
        <f>B125/(1+'Transmission Formula Rate (7)'!$B$27)</f>
        <v>0</v>
      </c>
      <c r="C127" s="28">
        <f>C125/(1+'Transmission Formula Rate (7)'!$B$27)</f>
        <v>0</v>
      </c>
      <c r="D127" s="28">
        <f>D125/(1+'Transmission Formula Rate (7)'!$B$27)</f>
        <v>0</v>
      </c>
      <c r="E127" s="28">
        <f>E125/(1+'Transmission Formula Rate (7)'!$B$27)</f>
        <v>0</v>
      </c>
      <c r="F127" s="28">
        <f>F125/(1+'Transmission Formula Rate (7)'!$B$27)</f>
        <v>0</v>
      </c>
      <c r="G127" s="28">
        <f>G125/(1+'Transmission Formula Rate (7)'!$B$27)</f>
        <v>0</v>
      </c>
      <c r="H127" s="28">
        <f>H125/(1+'Transmission Formula Rate (7)'!$B$27)</f>
        <v>0</v>
      </c>
      <c r="I127" s="28">
        <f>I125/(1+'Transmission Formula Rate (7)'!$B$27)</f>
        <v>0</v>
      </c>
      <c r="J127" s="28">
        <f>J125/(1+'Transmission Formula Rate (7)'!$B$27)</f>
        <v>0</v>
      </c>
      <c r="K127" s="28">
        <f>K125/(1+'Transmission Formula Rate (7)'!$B$27)</f>
        <v>0</v>
      </c>
      <c r="L127" s="28">
        <f>L125/(1+'Transmission Formula Rate (7)'!$B$27)</f>
        <v>0</v>
      </c>
      <c r="M127" s="28">
        <f>M125/(1+'Transmission Formula Rate (7)'!$B$27)</f>
        <v>0</v>
      </c>
      <c r="N127" s="124">
        <f>SUM(B127:M127)</f>
        <v>0</v>
      </c>
    </row>
    <row r="128" spans="1:15">
      <c r="A128" s="254" t="s">
        <v>20</v>
      </c>
      <c r="B128" s="30">
        <f>B104</f>
        <v>1.59</v>
      </c>
      <c r="C128" s="30">
        <f t="shared" ref="C128:M128" si="259">C104</f>
        <v>1.59</v>
      </c>
      <c r="D128" s="30">
        <f t="shared" si="259"/>
        <v>1.59</v>
      </c>
      <c r="E128" s="30">
        <f t="shared" si="259"/>
        <v>1.59</v>
      </c>
      <c r="F128" s="30">
        <f t="shared" si="259"/>
        <v>1.59</v>
      </c>
      <c r="G128" s="30">
        <f t="shared" si="259"/>
        <v>1.59</v>
      </c>
      <c r="H128" s="30">
        <f t="shared" si="259"/>
        <v>1.59</v>
      </c>
      <c r="I128" s="30">
        <f t="shared" si="259"/>
        <v>1.59</v>
      </c>
      <c r="J128" s="30">
        <f t="shared" si="259"/>
        <v>1.59</v>
      </c>
      <c r="K128" s="30">
        <f t="shared" si="259"/>
        <v>1.59</v>
      </c>
      <c r="L128" s="30">
        <f t="shared" si="259"/>
        <v>1.59</v>
      </c>
      <c r="M128" s="30">
        <f t="shared" si="259"/>
        <v>1.59</v>
      </c>
      <c r="N128" s="20"/>
      <c r="O128" s="277"/>
    </row>
    <row r="129" spans="1:14">
      <c r="A129" s="254" t="s">
        <v>17</v>
      </c>
      <c r="B129" s="21">
        <f>B125*B128</f>
        <v>0</v>
      </c>
      <c r="C129" s="21">
        <f t="shared" ref="C129" si="260">C125*C128</f>
        <v>0</v>
      </c>
      <c r="D129" s="21">
        <f t="shared" ref="D129" si="261">D125*D128</f>
        <v>0</v>
      </c>
      <c r="E129" s="21">
        <f t="shared" ref="E129" si="262">E125*E128</f>
        <v>0</v>
      </c>
      <c r="F129" s="21">
        <f t="shared" ref="F129" si="263">F125*F128</f>
        <v>0</v>
      </c>
      <c r="G129" s="21">
        <f t="shared" ref="G129" si="264">G125*G128</f>
        <v>0</v>
      </c>
      <c r="H129" s="21">
        <f t="shared" ref="H129" si="265">H125*H128</f>
        <v>0</v>
      </c>
      <c r="I129" s="21">
        <f t="shared" ref="I129" si="266">I125*I128</f>
        <v>0</v>
      </c>
      <c r="J129" s="21">
        <f t="shared" ref="J129" si="267">J125*J128</f>
        <v>0</v>
      </c>
      <c r="K129" s="21">
        <f t="shared" ref="K129" si="268">K125*K128</f>
        <v>0</v>
      </c>
      <c r="L129" s="21">
        <f t="shared" ref="L129" si="269">L125*L128</f>
        <v>0</v>
      </c>
      <c r="M129" s="21">
        <f t="shared" ref="M129" si="270">M125*M128</f>
        <v>0</v>
      </c>
      <c r="N129" s="21">
        <f>SUM(B129:M129)</f>
        <v>0</v>
      </c>
    </row>
    <row r="131" spans="1:14">
      <c r="A131" s="254" t="s">
        <v>141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>
      <c r="A132" s="256" t="s">
        <v>47</v>
      </c>
      <c r="B132" s="239">
        <f>B125</f>
        <v>0</v>
      </c>
      <c r="C132" s="239">
        <f t="shared" ref="C132:M132" si="271">C125</f>
        <v>0</v>
      </c>
      <c r="D132" s="239">
        <f t="shared" si="271"/>
        <v>0</v>
      </c>
      <c r="E132" s="239">
        <f t="shared" si="271"/>
        <v>0</v>
      </c>
      <c r="F132" s="239">
        <f t="shared" si="271"/>
        <v>0</v>
      </c>
      <c r="G132" s="239">
        <f t="shared" si="271"/>
        <v>0</v>
      </c>
      <c r="H132" s="239">
        <f t="shared" si="271"/>
        <v>0</v>
      </c>
      <c r="I132" s="239">
        <f t="shared" si="271"/>
        <v>0</v>
      </c>
      <c r="J132" s="239">
        <f t="shared" si="271"/>
        <v>0</v>
      </c>
      <c r="K132" s="239">
        <f t="shared" si="271"/>
        <v>0</v>
      </c>
      <c r="L132" s="239">
        <f t="shared" si="271"/>
        <v>0</v>
      </c>
      <c r="M132" s="239">
        <f t="shared" si="271"/>
        <v>0</v>
      </c>
      <c r="N132" s="21">
        <f>SUM(B132:M132)</f>
        <v>0</v>
      </c>
    </row>
    <row r="133" spans="1:14">
      <c r="A133" s="256" t="s">
        <v>45</v>
      </c>
      <c r="B133" s="28">
        <f>B132-B134</f>
        <v>0</v>
      </c>
      <c r="C133" s="28">
        <f t="shared" ref="C133" si="272">C132-C134</f>
        <v>0</v>
      </c>
      <c r="D133" s="28">
        <f t="shared" ref="D133" si="273">D132-D134</f>
        <v>0</v>
      </c>
      <c r="E133" s="28">
        <f t="shared" ref="E133" si="274">E132-E134</f>
        <v>0</v>
      </c>
      <c r="F133" s="28">
        <f t="shared" ref="F133" si="275">F132-F134</f>
        <v>0</v>
      </c>
      <c r="G133" s="28">
        <f t="shared" ref="G133" si="276">G132-G134</f>
        <v>0</v>
      </c>
      <c r="H133" s="28">
        <f t="shared" ref="H133" si="277">H132-H134</f>
        <v>0</v>
      </c>
      <c r="I133" s="28">
        <f t="shared" ref="I133" si="278">I132-I134</f>
        <v>0</v>
      </c>
      <c r="J133" s="28">
        <f t="shared" ref="J133" si="279">J132-J134</f>
        <v>0</v>
      </c>
      <c r="K133" s="28">
        <f t="shared" ref="K133" si="280">K132-K134</f>
        <v>0</v>
      </c>
      <c r="L133" s="28">
        <f t="shared" ref="L133" si="281">L132-L134</f>
        <v>0</v>
      </c>
      <c r="M133" s="28">
        <f t="shared" ref="M133" si="282">M132-M134</f>
        <v>0</v>
      </c>
      <c r="N133" s="21">
        <f>SUM(B133:M133)</f>
        <v>0</v>
      </c>
    </row>
    <row r="134" spans="1:14">
      <c r="A134" s="256" t="str">
        <f>$A$17</f>
        <v xml:space="preserve">       New Smyrna Load</v>
      </c>
      <c r="B134" s="28">
        <f>B132/(1+'Transmission Formula Rate (7)'!$B$27)</f>
        <v>0</v>
      </c>
      <c r="C134" s="28">
        <f>C132/(1+'Transmission Formula Rate (7)'!$B$27)</f>
        <v>0</v>
      </c>
      <c r="D134" s="28">
        <f>D132/(1+'Transmission Formula Rate (7)'!$B$27)</f>
        <v>0</v>
      </c>
      <c r="E134" s="28">
        <f>E132/(1+'Transmission Formula Rate (7)'!$B$27)</f>
        <v>0</v>
      </c>
      <c r="F134" s="28">
        <f>F132/(1+'Transmission Formula Rate (7)'!$B$27)</f>
        <v>0</v>
      </c>
      <c r="G134" s="28">
        <f>G132/(1+'Transmission Formula Rate (7)'!$B$27)</f>
        <v>0</v>
      </c>
      <c r="H134" s="28">
        <f>H132/(1+'Transmission Formula Rate (7)'!$B$27)</f>
        <v>0</v>
      </c>
      <c r="I134" s="28">
        <f>I132/(1+'Transmission Formula Rate (7)'!$B$27)</f>
        <v>0</v>
      </c>
      <c r="J134" s="28">
        <f>J132/(1+'Transmission Formula Rate (7)'!$B$27)</f>
        <v>0</v>
      </c>
      <c r="K134" s="28">
        <f>K132/(1+'Transmission Formula Rate (7)'!$B$27)</f>
        <v>0</v>
      </c>
      <c r="L134" s="28">
        <f>L132/(1+'Transmission Formula Rate (7)'!$B$27)</f>
        <v>0</v>
      </c>
      <c r="M134" s="28">
        <f>M132/(1+'Transmission Formula Rate (7)'!$B$27)</f>
        <v>0</v>
      </c>
      <c r="N134" s="124">
        <f>SUM(B134:M134)</f>
        <v>0</v>
      </c>
    </row>
    <row r="135" spans="1:14">
      <c r="A135" s="254" t="s">
        <v>149</v>
      </c>
      <c r="B135" s="32">
        <f>'charges (1 &amp; 2)'!$H$39</f>
        <v>1.274E-2</v>
      </c>
      <c r="C135" s="32">
        <f>B135</f>
        <v>1.274E-2</v>
      </c>
      <c r="D135" s="32">
        <f t="shared" ref="D135" si="283">C135</f>
        <v>1.274E-2</v>
      </c>
      <c r="E135" s="32">
        <f t="shared" ref="E135" si="284">D135</f>
        <v>1.274E-2</v>
      </c>
      <c r="F135" s="32">
        <f t="shared" ref="F135" si="285">E135</f>
        <v>1.274E-2</v>
      </c>
      <c r="G135" s="32">
        <f t="shared" ref="G135" si="286">F135</f>
        <v>1.274E-2</v>
      </c>
      <c r="H135" s="32">
        <f t="shared" ref="H135" si="287">G135</f>
        <v>1.274E-2</v>
      </c>
      <c r="I135" s="32">
        <f t="shared" ref="I135" si="288">H135</f>
        <v>1.274E-2</v>
      </c>
      <c r="J135" s="32">
        <f t="shared" ref="J135" si="289">I135</f>
        <v>1.274E-2</v>
      </c>
      <c r="K135" s="32">
        <f t="shared" ref="K135" si="290">J135</f>
        <v>1.274E-2</v>
      </c>
      <c r="L135" s="32">
        <f t="shared" ref="L135" si="291">K135</f>
        <v>1.274E-2</v>
      </c>
      <c r="M135" s="32">
        <f t="shared" ref="M135" si="292">L135</f>
        <v>1.274E-2</v>
      </c>
      <c r="N135" s="20"/>
    </row>
    <row r="136" spans="1:14">
      <c r="A136" s="254" t="s">
        <v>17</v>
      </c>
      <c r="B136" s="21">
        <f>B132*B135</f>
        <v>0</v>
      </c>
      <c r="C136" s="21">
        <f t="shared" ref="C136" si="293">C132*C135</f>
        <v>0</v>
      </c>
      <c r="D136" s="21">
        <f t="shared" ref="D136" si="294">D132*D135</f>
        <v>0</v>
      </c>
      <c r="E136" s="21">
        <f t="shared" ref="E136" si="295">E132*E135</f>
        <v>0</v>
      </c>
      <c r="F136" s="21">
        <f t="shared" ref="F136" si="296">F132*F135</f>
        <v>0</v>
      </c>
      <c r="G136" s="21">
        <f t="shared" ref="G136" si="297">G132*G135</f>
        <v>0</v>
      </c>
      <c r="H136" s="21">
        <f t="shared" ref="H136" si="298">H132*H135</f>
        <v>0</v>
      </c>
      <c r="I136" s="21">
        <f t="shared" ref="I136" si="299">I132*I135</f>
        <v>0</v>
      </c>
      <c r="J136" s="21">
        <f t="shared" ref="J136" si="300">J132*J135</f>
        <v>0</v>
      </c>
      <c r="K136" s="21">
        <f t="shared" ref="K136" si="301">K132*K135</f>
        <v>0</v>
      </c>
      <c r="L136" s="21">
        <f t="shared" ref="L136" si="302">L132*L135</f>
        <v>0</v>
      </c>
      <c r="M136" s="21">
        <f t="shared" ref="M136" si="303">M132*M135</f>
        <v>0</v>
      </c>
      <c r="N136" s="21">
        <f>SUM(B136:M136)</f>
        <v>0</v>
      </c>
    </row>
    <row r="138" spans="1:14">
      <c r="A138" s="254" t="s">
        <v>38</v>
      </c>
    </row>
    <row r="139" spans="1:14">
      <c r="A139" s="256" t="s">
        <v>47</v>
      </c>
      <c r="B139" s="239">
        <f>B125</f>
        <v>0</v>
      </c>
      <c r="C139" s="239">
        <f t="shared" ref="C139:M139" si="304">C125</f>
        <v>0</v>
      </c>
      <c r="D139" s="239">
        <f t="shared" si="304"/>
        <v>0</v>
      </c>
      <c r="E139" s="239">
        <f t="shared" si="304"/>
        <v>0</v>
      </c>
      <c r="F139" s="239">
        <f t="shared" si="304"/>
        <v>0</v>
      </c>
      <c r="G139" s="239">
        <f t="shared" si="304"/>
        <v>0</v>
      </c>
      <c r="H139" s="239">
        <f t="shared" si="304"/>
        <v>0</v>
      </c>
      <c r="I139" s="239">
        <f t="shared" si="304"/>
        <v>0</v>
      </c>
      <c r="J139" s="239">
        <f t="shared" si="304"/>
        <v>0</v>
      </c>
      <c r="K139" s="239">
        <f t="shared" si="304"/>
        <v>0</v>
      </c>
      <c r="L139" s="239">
        <f t="shared" si="304"/>
        <v>0</v>
      </c>
      <c r="M139" s="239">
        <f t="shared" si="304"/>
        <v>0</v>
      </c>
      <c r="N139" s="21">
        <f>SUM(B139:M139)</f>
        <v>0</v>
      </c>
    </row>
    <row r="140" spans="1:14">
      <c r="A140" s="256" t="s">
        <v>45</v>
      </c>
      <c r="B140" s="28">
        <f>B139-B141</f>
        <v>0</v>
      </c>
      <c r="C140" s="28">
        <f t="shared" ref="C140" si="305">C139-C141</f>
        <v>0</v>
      </c>
      <c r="D140" s="28">
        <f t="shared" ref="D140" si="306">D139-D141</f>
        <v>0</v>
      </c>
      <c r="E140" s="28">
        <f t="shared" ref="E140" si="307">E139-E141</f>
        <v>0</v>
      </c>
      <c r="F140" s="28">
        <f t="shared" ref="F140" si="308">F139-F141</f>
        <v>0</v>
      </c>
      <c r="G140" s="28">
        <f t="shared" ref="G140" si="309">G139-G141</f>
        <v>0</v>
      </c>
      <c r="H140" s="28">
        <f t="shared" ref="H140" si="310">H139-H141</f>
        <v>0</v>
      </c>
      <c r="I140" s="28">
        <f t="shared" ref="I140" si="311">I139-I141</f>
        <v>0</v>
      </c>
      <c r="J140" s="28">
        <f t="shared" ref="J140" si="312">J139-J141</f>
        <v>0</v>
      </c>
      <c r="K140" s="28">
        <f t="shared" ref="K140" si="313">K139-K141</f>
        <v>0</v>
      </c>
      <c r="L140" s="28">
        <f t="shared" ref="L140" si="314">L139-L141</f>
        <v>0</v>
      </c>
      <c r="M140" s="28">
        <f t="shared" ref="M140" si="315">M139-M141</f>
        <v>0</v>
      </c>
      <c r="N140" s="24"/>
    </row>
    <row r="141" spans="1:14">
      <c r="A141" s="256" t="str">
        <f>$A$17</f>
        <v xml:space="preserve">       New Smyrna Load</v>
      </c>
      <c r="B141" s="28">
        <f>B139/(1+'Transmission Formula Rate (7)'!$B$27)</f>
        <v>0</v>
      </c>
      <c r="C141" s="28">
        <f>C139/(1+'Transmission Formula Rate (7)'!$B$27)</f>
        <v>0</v>
      </c>
      <c r="D141" s="28">
        <f>D139/(1+'Transmission Formula Rate (7)'!$B$27)</f>
        <v>0</v>
      </c>
      <c r="E141" s="28">
        <f>E139/(1+'Transmission Formula Rate (7)'!$B$27)</f>
        <v>0</v>
      </c>
      <c r="F141" s="28">
        <f>F139/(1+'Transmission Formula Rate (7)'!$B$27)</f>
        <v>0</v>
      </c>
      <c r="G141" s="28">
        <f>G139/(1+'Transmission Formula Rate (7)'!$B$27)</f>
        <v>0</v>
      </c>
      <c r="H141" s="28">
        <f>H139/(1+'Transmission Formula Rate (7)'!$B$27)</f>
        <v>0</v>
      </c>
      <c r="I141" s="28">
        <f>I139/(1+'Transmission Formula Rate (7)'!$B$27)</f>
        <v>0</v>
      </c>
      <c r="J141" s="28">
        <f>J139/(1+'Transmission Formula Rate (7)'!$B$27)</f>
        <v>0</v>
      </c>
      <c r="K141" s="28">
        <f>K139/(1+'Transmission Formula Rate (7)'!$B$27)</f>
        <v>0</v>
      </c>
      <c r="L141" s="28">
        <f>L139/(1+'Transmission Formula Rate (7)'!$B$27)</f>
        <v>0</v>
      </c>
      <c r="M141" s="28">
        <f>M139/(1+'Transmission Formula Rate (7)'!$B$27)</f>
        <v>0</v>
      </c>
      <c r="N141" s="24"/>
    </row>
    <row r="142" spans="1:14">
      <c r="A142" s="254" t="s">
        <v>150</v>
      </c>
      <c r="B142" s="32">
        <f>'charges (1 &amp; 2)'!H11</f>
        <v>0.1008</v>
      </c>
      <c r="C142" s="32">
        <f>B142</f>
        <v>0.1008</v>
      </c>
      <c r="D142" s="32">
        <f t="shared" ref="D142:M142" si="316">C142</f>
        <v>0.1008</v>
      </c>
      <c r="E142" s="32">
        <f t="shared" si="316"/>
        <v>0.1008</v>
      </c>
      <c r="F142" s="32">
        <f t="shared" si="316"/>
        <v>0.1008</v>
      </c>
      <c r="G142" s="32">
        <f t="shared" si="316"/>
        <v>0.1008</v>
      </c>
      <c r="H142" s="32">
        <f t="shared" si="316"/>
        <v>0.1008</v>
      </c>
      <c r="I142" s="32">
        <f t="shared" si="316"/>
        <v>0.1008</v>
      </c>
      <c r="J142" s="32">
        <f t="shared" si="316"/>
        <v>0.1008</v>
      </c>
      <c r="K142" s="32">
        <f t="shared" si="316"/>
        <v>0.1008</v>
      </c>
      <c r="L142" s="32">
        <f t="shared" si="316"/>
        <v>0.1008</v>
      </c>
      <c r="M142" s="32">
        <f t="shared" si="316"/>
        <v>0.1008</v>
      </c>
      <c r="N142" s="24"/>
    </row>
    <row r="143" spans="1:14">
      <c r="A143" s="254" t="s">
        <v>17</v>
      </c>
      <c r="B143" s="21">
        <f>B139*B142</f>
        <v>0</v>
      </c>
      <c r="C143" s="21">
        <f t="shared" ref="C143" si="317">C139*C142</f>
        <v>0</v>
      </c>
      <c r="D143" s="21">
        <f t="shared" ref="D143" si="318">D139*D142</f>
        <v>0</v>
      </c>
      <c r="E143" s="21">
        <f t="shared" ref="E143" si="319">E139*E142</f>
        <v>0</v>
      </c>
      <c r="F143" s="21">
        <f t="shared" ref="F143" si="320">F139*F142</f>
        <v>0</v>
      </c>
      <c r="G143" s="21">
        <f t="shared" ref="G143" si="321">G139*G142</f>
        <v>0</v>
      </c>
      <c r="H143" s="21">
        <f t="shared" ref="H143" si="322">H139*H142</f>
        <v>0</v>
      </c>
      <c r="I143" s="21">
        <f t="shared" ref="I143" si="323">I139*I142</f>
        <v>0</v>
      </c>
      <c r="J143" s="21">
        <f t="shared" ref="J143" si="324">J139*J142</f>
        <v>0</v>
      </c>
      <c r="K143" s="21">
        <f t="shared" ref="K143" si="325">K139*K142</f>
        <v>0</v>
      </c>
      <c r="L143" s="21">
        <f t="shared" ref="L143" si="326">L139*L142</f>
        <v>0</v>
      </c>
      <c r="M143" s="21">
        <f t="shared" ref="M143" si="327">M139*M142</f>
        <v>0</v>
      </c>
      <c r="N143" s="24"/>
    </row>
    <row r="144" spans="1:14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</row>
    <row r="145" spans="1:14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</row>
    <row r="146" spans="1:14">
      <c r="B146" s="24" t="s">
        <v>0</v>
      </c>
      <c r="C146" s="24" t="s">
        <v>1</v>
      </c>
      <c r="D146" s="24" t="s">
        <v>2</v>
      </c>
      <c r="E146" s="24" t="s">
        <v>3</v>
      </c>
      <c r="F146" s="24" t="s">
        <v>4</v>
      </c>
      <c r="G146" s="24" t="s">
        <v>5</v>
      </c>
      <c r="H146" s="24" t="s">
        <v>6</v>
      </c>
      <c r="I146" s="24" t="s">
        <v>7</v>
      </c>
      <c r="J146" s="24" t="s">
        <v>8</v>
      </c>
      <c r="K146" s="24" t="s">
        <v>9</v>
      </c>
      <c r="L146" s="24" t="s">
        <v>10</v>
      </c>
      <c r="M146" s="24" t="s">
        <v>11</v>
      </c>
      <c r="N146" s="24" t="s">
        <v>12</v>
      </c>
    </row>
    <row r="147" spans="1:14">
      <c r="A147" s="255">
        <f>A123+1</f>
        <v>2020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>
      <c r="A148" s="254" t="s">
        <v>37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>
      <c r="A149" s="256" t="s">
        <v>47</v>
      </c>
      <c r="B149" s="239">
        <f>[10]Summary_CP!$H$146*1000</f>
        <v>0</v>
      </c>
      <c r="C149" s="239">
        <f>[10]Summary_CP!$H$147*1000</f>
        <v>0</v>
      </c>
      <c r="D149" s="239">
        <f>[10]Summary_CP!$H$148*1000</f>
        <v>0</v>
      </c>
      <c r="E149" s="239"/>
      <c r="F149" s="239"/>
      <c r="G149" s="239"/>
      <c r="H149" s="239"/>
      <c r="I149" s="239"/>
      <c r="J149" s="239"/>
      <c r="K149" s="239"/>
      <c r="L149" s="239"/>
      <c r="M149" s="239"/>
      <c r="N149" s="21">
        <f>SUM(B149:M149)</f>
        <v>0</v>
      </c>
    </row>
    <row r="150" spans="1:14">
      <c r="A150" s="256" t="s">
        <v>45</v>
      </c>
      <c r="B150" s="28">
        <f>B149-B151</f>
        <v>0</v>
      </c>
      <c r="C150" s="28">
        <f t="shared" ref="C150" si="328">C149-C151</f>
        <v>0</v>
      </c>
      <c r="D150" s="28">
        <f t="shared" ref="D150" si="329">D149-D151</f>
        <v>0</v>
      </c>
      <c r="E150" s="28">
        <f t="shared" ref="E150" si="330">E149-E151</f>
        <v>0</v>
      </c>
      <c r="F150" s="28">
        <f t="shared" ref="F150" si="331">F149-F151</f>
        <v>0</v>
      </c>
      <c r="G150" s="28">
        <f t="shared" ref="G150" si="332">G149-G151</f>
        <v>0</v>
      </c>
      <c r="H150" s="28">
        <f t="shared" ref="H150" si="333">H149-H151</f>
        <v>0</v>
      </c>
      <c r="I150" s="28">
        <f t="shared" ref="I150" si="334">I149-I151</f>
        <v>0</v>
      </c>
      <c r="J150" s="28">
        <f t="shared" ref="J150" si="335">J149-J151</f>
        <v>0</v>
      </c>
      <c r="K150" s="28">
        <f t="shared" ref="K150" si="336">K149-K151</f>
        <v>0</v>
      </c>
      <c r="L150" s="28">
        <f t="shared" ref="L150" si="337">L149-L151</f>
        <v>0</v>
      </c>
      <c r="M150" s="28">
        <f t="shared" ref="M150" si="338">M149-M151</f>
        <v>0</v>
      </c>
      <c r="N150" s="21">
        <f>SUM(B150:M150)</f>
        <v>0</v>
      </c>
    </row>
    <row r="151" spans="1:14">
      <c r="A151" s="256" t="str">
        <f>$A$17</f>
        <v xml:space="preserve">       New Smyrna Load</v>
      </c>
      <c r="B151" s="28">
        <f>B149/(1+'Transmission Formula Rate (7)'!$B$27)</f>
        <v>0</v>
      </c>
      <c r="C151" s="28">
        <f>C149/(1+'Transmission Formula Rate (7)'!$B$27)</f>
        <v>0</v>
      </c>
      <c r="D151" s="28">
        <f>D149/(1+'Transmission Formula Rate (7)'!$B$27)</f>
        <v>0</v>
      </c>
      <c r="E151" s="28">
        <f>E149/(1+'Transmission Formula Rate (7)'!$B$27)</f>
        <v>0</v>
      </c>
      <c r="F151" s="28">
        <f>F149/(1+'Transmission Formula Rate (7)'!$B$27)</f>
        <v>0</v>
      </c>
      <c r="G151" s="28">
        <f>G149/(1+'Transmission Formula Rate (7)'!$B$27)</f>
        <v>0</v>
      </c>
      <c r="H151" s="28">
        <f>H149/(1+'Transmission Formula Rate (7)'!$B$27)</f>
        <v>0</v>
      </c>
      <c r="I151" s="28">
        <f>I149/(1+'Transmission Formula Rate (7)'!$B$27)</f>
        <v>0</v>
      </c>
      <c r="J151" s="28">
        <f>J149/(1+'Transmission Formula Rate (7)'!$B$27)</f>
        <v>0</v>
      </c>
      <c r="K151" s="28">
        <f>K149/(1+'Transmission Formula Rate (7)'!$B$27)</f>
        <v>0</v>
      </c>
      <c r="L151" s="28">
        <f>L149/(1+'Transmission Formula Rate (7)'!$B$27)</f>
        <v>0</v>
      </c>
      <c r="M151" s="28">
        <f>M149/(1+'Transmission Formula Rate (7)'!$B$27)</f>
        <v>0</v>
      </c>
      <c r="N151" s="124">
        <f>SUM(B151:M151)</f>
        <v>0</v>
      </c>
    </row>
    <row r="152" spans="1:14">
      <c r="A152" s="254" t="s">
        <v>20</v>
      </c>
      <c r="B152" s="30">
        <f>B128</f>
        <v>1.59</v>
      </c>
      <c r="C152" s="30">
        <f t="shared" ref="C152:M152" si="339">C128</f>
        <v>1.59</v>
      </c>
      <c r="D152" s="30">
        <f t="shared" si="339"/>
        <v>1.59</v>
      </c>
      <c r="E152" s="30">
        <f t="shared" si="339"/>
        <v>1.59</v>
      </c>
      <c r="F152" s="30">
        <f t="shared" si="339"/>
        <v>1.59</v>
      </c>
      <c r="G152" s="30">
        <f t="shared" si="339"/>
        <v>1.59</v>
      </c>
      <c r="H152" s="30">
        <f t="shared" si="339"/>
        <v>1.59</v>
      </c>
      <c r="I152" s="30">
        <f t="shared" si="339"/>
        <v>1.59</v>
      </c>
      <c r="J152" s="30">
        <f t="shared" si="339"/>
        <v>1.59</v>
      </c>
      <c r="K152" s="30">
        <f t="shared" si="339"/>
        <v>1.59</v>
      </c>
      <c r="L152" s="30">
        <f t="shared" si="339"/>
        <v>1.59</v>
      </c>
      <c r="M152" s="30">
        <f t="shared" si="339"/>
        <v>1.59</v>
      </c>
      <c r="N152" s="20"/>
    </row>
    <row r="153" spans="1:14">
      <c r="A153" s="254" t="s">
        <v>17</v>
      </c>
      <c r="B153" s="21">
        <f>B149*B152</f>
        <v>0</v>
      </c>
      <c r="C153" s="21">
        <f t="shared" ref="C153" si="340">C149*C152</f>
        <v>0</v>
      </c>
      <c r="D153" s="21">
        <f t="shared" ref="D153" si="341">D149*D152</f>
        <v>0</v>
      </c>
      <c r="E153" s="21">
        <f t="shared" ref="E153" si="342">E149*E152</f>
        <v>0</v>
      </c>
      <c r="F153" s="21">
        <f t="shared" ref="F153" si="343">F149*F152</f>
        <v>0</v>
      </c>
      <c r="G153" s="21">
        <f t="shared" ref="G153" si="344">G149*G152</f>
        <v>0</v>
      </c>
      <c r="H153" s="21">
        <f t="shared" ref="H153" si="345">H149*H152</f>
        <v>0</v>
      </c>
      <c r="I153" s="21">
        <f t="shared" ref="I153" si="346">I149*I152</f>
        <v>0</v>
      </c>
      <c r="J153" s="21">
        <f t="shared" ref="J153" si="347">J149*J152</f>
        <v>0</v>
      </c>
      <c r="K153" s="21">
        <f t="shared" ref="K153" si="348">K149*K152</f>
        <v>0</v>
      </c>
      <c r="L153" s="21">
        <f t="shared" ref="L153" si="349">L149*L152</f>
        <v>0</v>
      </c>
      <c r="M153" s="21">
        <f t="shared" ref="M153" si="350">M149*M152</f>
        <v>0</v>
      </c>
      <c r="N153" s="21">
        <f>SUM(B153:M153)</f>
        <v>0</v>
      </c>
    </row>
    <row r="155" spans="1:14">
      <c r="A155" s="254" t="s">
        <v>141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>
      <c r="A156" s="256" t="s">
        <v>47</v>
      </c>
      <c r="B156" s="239">
        <f>B149</f>
        <v>0</v>
      </c>
      <c r="C156" s="239">
        <f t="shared" ref="C156:M156" si="351">C149</f>
        <v>0</v>
      </c>
      <c r="D156" s="239">
        <f t="shared" si="351"/>
        <v>0</v>
      </c>
      <c r="E156" s="239">
        <f t="shared" si="351"/>
        <v>0</v>
      </c>
      <c r="F156" s="239">
        <f t="shared" si="351"/>
        <v>0</v>
      </c>
      <c r="G156" s="239">
        <f t="shared" si="351"/>
        <v>0</v>
      </c>
      <c r="H156" s="239">
        <f t="shared" si="351"/>
        <v>0</v>
      </c>
      <c r="I156" s="239">
        <f t="shared" si="351"/>
        <v>0</v>
      </c>
      <c r="J156" s="239">
        <f t="shared" si="351"/>
        <v>0</v>
      </c>
      <c r="K156" s="239">
        <f t="shared" si="351"/>
        <v>0</v>
      </c>
      <c r="L156" s="239">
        <f t="shared" si="351"/>
        <v>0</v>
      </c>
      <c r="M156" s="239">
        <f t="shared" si="351"/>
        <v>0</v>
      </c>
      <c r="N156" s="21">
        <f>SUM(B156:M156)</f>
        <v>0</v>
      </c>
    </row>
    <row r="157" spans="1:14">
      <c r="A157" s="256" t="s">
        <v>45</v>
      </c>
      <c r="B157" s="28">
        <f>ROUND(B156*'Transmission Formula Rate (7)'!$B$27,0)</f>
        <v>0</v>
      </c>
      <c r="C157" s="28">
        <f>ROUND(C156*'Transmission Formula Rate (7)'!$B$27,0)</f>
        <v>0</v>
      </c>
      <c r="D157" s="28">
        <f>ROUND(D156*'Transmission Formula Rate (7)'!$B$27,0)</f>
        <v>0</v>
      </c>
      <c r="E157" s="28">
        <f>ROUND(E156*'Transmission Formula Rate (7)'!$B$27,0)</f>
        <v>0</v>
      </c>
      <c r="F157" s="28">
        <f>ROUND(F156*'Transmission Formula Rate (7)'!$B$27,0)</f>
        <v>0</v>
      </c>
      <c r="G157" s="28">
        <f>ROUND(G156*'Transmission Formula Rate (7)'!$B$27,0)</f>
        <v>0</v>
      </c>
      <c r="H157" s="28">
        <f>ROUND(H156*'Transmission Formula Rate (7)'!$B$27,0)</f>
        <v>0</v>
      </c>
      <c r="I157" s="28">
        <f>ROUND(I156*'Transmission Formula Rate (7)'!$B$27,0)</f>
        <v>0</v>
      </c>
      <c r="J157" s="28">
        <f>ROUND(J156*'Transmission Formula Rate (7)'!$B$27,0)</f>
        <v>0</v>
      </c>
      <c r="K157" s="28">
        <f>ROUND(K156*'Transmission Formula Rate (7)'!$B$27,0)</f>
        <v>0</v>
      </c>
      <c r="L157" s="28">
        <f>ROUND(L156*'Transmission Formula Rate (7)'!$B$27,0)</f>
        <v>0</v>
      </c>
      <c r="M157" s="28">
        <f>ROUND(M156*'Transmission Formula Rate (7)'!$B$27,0)</f>
        <v>0</v>
      </c>
      <c r="N157" s="21">
        <f>SUM(B157:M157)</f>
        <v>0</v>
      </c>
    </row>
    <row r="158" spans="1:14">
      <c r="A158" s="256" t="str">
        <f>$A$17</f>
        <v xml:space="preserve">       New Smyrna Load</v>
      </c>
      <c r="B158" s="28">
        <f t="shared" ref="B158:M158" si="352">B156+B157</f>
        <v>0</v>
      </c>
      <c r="C158" s="28">
        <f t="shared" si="352"/>
        <v>0</v>
      </c>
      <c r="D158" s="28">
        <f t="shared" si="352"/>
        <v>0</v>
      </c>
      <c r="E158" s="28">
        <f t="shared" si="352"/>
        <v>0</v>
      </c>
      <c r="F158" s="28">
        <f t="shared" si="352"/>
        <v>0</v>
      </c>
      <c r="G158" s="28">
        <f t="shared" si="352"/>
        <v>0</v>
      </c>
      <c r="H158" s="28">
        <f t="shared" si="352"/>
        <v>0</v>
      </c>
      <c r="I158" s="28">
        <f t="shared" si="352"/>
        <v>0</v>
      </c>
      <c r="J158" s="28">
        <f t="shared" si="352"/>
        <v>0</v>
      </c>
      <c r="K158" s="28">
        <f t="shared" si="352"/>
        <v>0</v>
      </c>
      <c r="L158" s="28">
        <f t="shared" si="352"/>
        <v>0</v>
      </c>
      <c r="M158" s="28">
        <f t="shared" si="352"/>
        <v>0</v>
      </c>
      <c r="N158" s="124">
        <f>SUM(B158:M158)</f>
        <v>0</v>
      </c>
    </row>
    <row r="159" spans="1:14">
      <c r="A159" s="254" t="s">
        <v>149</v>
      </c>
      <c r="B159" s="32">
        <f>'charges (1 &amp; 2)'!$H$39</f>
        <v>1.274E-2</v>
      </c>
      <c r="C159" s="32">
        <f>B159</f>
        <v>1.274E-2</v>
      </c>
      <c r="D159" s="32">
        <f t="shared" ref="D159" si="353">C159</f>
        <v>1.274E-2</v>
      </c>
      <c r="E159" s="32">
        <f t="shared" ref="E159" si="354">D159</f>
        <v>1.274E-2</v>
      </c>
      <c r="F159" s="32">
        <f t="shared" ref="F159" si="355">E159</f>
        <v>1.274E-2</v>
      </c>
      <c r="G159" s="32">
        <f t="shared" ref="G159" si="356">F159</f>
        <v>1.274E-2</v>
      </c>
      <c r="H159" s="32">
        <f t="shared" ref="H159" si="357">G159</f>
        <v>1.274E-2</v>
      </c>
      <c r="I159" s="32">
        <f t="shared" ref="I159" si="358">H159</f>
        <v>1.274E-2</v>
      </c>
      <c r="J159" s="32">
        <f t="shared" ref="J159" si="359">I159</f>
        <v>1.274E-2</v>
      </c>
      <c r="K159" s="32">
        <f t="shared" ref="K159" si="360">J159</f>
        <v>1.274E-2</v>
      </c>
      <c r="L159" s="32">
        <f t="shared" ref="L159" si="361">K159</f>
        <v>1.274E-2</v>
      </c>
      <c r="M159" s="32">
        <f t="shared" ref="M159" si="362">L159</f>
        <v>1.274E-2</v>
      </c>
      <c r="N159" s="20"/>
    </row>
    <row r="160" spans="1:14">
      <c r="A160" s="254" t="s">
        <v>17</v>
      </c>
      <c r="B160" s="21">
        <f>B156*B159</f>
        <v>0</v>
      </c>
      <c r="C160" s="21">
        <f t="shared" ref="C160" si="363">C156*C159</f>
        <v>0</v>
      </c>
      <c r="D160" s="21">
        <f t="shared" ref="D160" si="364">D156*D159</f>
        <v>0</v>
      </c>
      <c r="E160" s="21">
        <f t="shared" ref="E160" si="365">E156*E159</f>
        <v>0</v>
      </c>
      <c r="F160" s="21">
        <f t="shared" ref="F160" si="366">F156*F159</f>
        <v>0</v>
      </c>
      <c r="G160" s="21">
        <f t="shared" ref="G160" si="367">G156*G159</f>
        <v>0</v>
      </c>
      <c r="H160" s="21">
        <f t="shared" ref="H160" si="368">H156*H159</f>
        <v>0</v>
      </c>
      <c r="I160" s="21">
        <f t="shared" ref="I160" si="369">I156*I159</f>
        <v>0</v>
      </c>
      <c r="J160" s="21">
        <f t="shared" ref="J160" si="370">J156*J159</f>
        <v>0</v>
      </c>
      <c r="K160" s="21">
        <f t="shared" ref="K160" si="371">K156*K159</f>
        <v>0</v>
      </c>
      <c r="L160" s="21">
        <f t="shared" ref="L160" si="372">L156*L159</f>
        <v>0</v>
      </c>
      <c r="M160" s="21">
        <f t="shared" ref="M160" si="373">M156*M159</f>
        <v>0</v>
      </c>
      <c r="N160" s="21">
        <f>SUM(B160:M160)</f>
        <v>0</v>
      </c>
    </row>
    <row r="167" spans="1:2">
      <c r="A167" s="250" t="s">
        <v>277</v>
      </c>
      <c r="B167" s="400" t="s">
        <v>350</v>
      </c>
    </row>
    <row r="169" spans="1:2">
      <c r="A169" s="250" t="s">
        <v>351</v>
      </c>
      <c r="B169" s="370" t="s">
        <v>352</v>
      </c>
    </row>
  </sheetData>
  <hyperlinks>
    <hyperlink ref="B167" r:id="rId1"/>
    <hyperlink ref="B169" r:id="rId2"/>
  </hyperlinks>
  <pageMargins left="0.7" right="0.7" top="0.75" bottom="0.75" header="0.3" footer="0.3"/>
  <pageSetup scale="74" orientation="landscape" r:id="rId3"/>
  <rowBreaks count="2" manualBreakCount="2">
    <brk id="50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8"/>
  <sheetViews>
    <sheetView zoomScale="80" zoomScaleNormal="80" workbookViewId="0">
      <selection activeCell="A2" sqref="A1:A2"/>
    </sheetView>
  </sheetViews>
  <sheetFormatPr defaultColWidth="9" defaultRowHeight="13.2"/>
  <cols>
    <col min="1" max="1" width="35.21875" style="469" customWidth="1"/>
    <col min="2" max="2" width="10.77734375" style="469" bestFit="1" customWidth="1"/>
    <col min="3" max="13" width="9.33203125" style="469" bestFit="1" customWidth="1"/>
    <col min="14" max="14" width="10.109375" style="469" bestFit="1" customWidth="1"/>
    <col min="15" max="15" width="9.21875" style="469" bestFit="1" customWidth="1"/>
    <col min="16" max="16384" width="9" style="469"/>
  </cols>
  <sheetData>
    <row r="1" spans="1:15">
      <c r="A1" s="480" t="s">
        <v>474</v>
      </c>
    </row>
    <row r="2" spans="1:15">
      <c r="A2" s="480" t="s">
        <v>473</v>
      </c>
    </row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417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42370</v>
      </c>
      <c r="C9" s="473">
        <v>42401</v>
      </c>
      <c r="D9" s="473">
        <v>42430</v>
      </c>
      <c r="E9" s="473">
        <v>42461</v>
      </c>
      <c r="F9" s="473">
        <v>42491</v>
      </c>
      <c r="G9" s="473">
        <v>42522</v>
      </c>
      <c r="H9" s="473">
        <v>42552</v>
      </c>
      <c r="I9" s="473">
        <v>42583</v>
      </c>
      <c r="J9" s="473">
        <v>42614</v>
      </c>
      <c r="K9" s="473">
        <v>42644</v>
      </c>
      <c r="L9" s="473">
        <v>42675</v>
      </c>
      <c r="M9" s="473">
        <v>42705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f>'Blountstown Network'!B48/(1+'Transmission Formula Rate (7)'!$B$27)</f>
        <v>8836.5243004418262</v>
      </c>
      <c r="C11" s="478">
        <f>'Blountstown Network'!C48/(1+'Transmission Formula Rate (7)'!$B$27)</f>
        <v>8836.5243004418262</v>
      </c>
      <c r="D11" s="478">
        <f>'Blountstown Network'!D48/(1+'Transmission Formula Rate (7)'!$B$27)</f>
        <v>8836.5243004418262</v>
      </c>
      <c r="E11" s="478">
        <f>'Blountstown Network'!E48/(1+'Transmission Formula Rate (7)'!$B$27)</f>
        <v>8836.5243004418262</v>
      </c>
      <c r="F11" s="478">
        <f>'Blountstown Network'!F48/(1+'Transmission Formula Rate (7)'!$B$27)</f>
        <v>8836.5243004418262</v>
      </c>
      <c r="G11" s="478">
        <f>'Blountstown Network'!G48/(1+'Transmission Formula Rate (7)'!$B$27)</f>
        <v>8836.5243004418262</v>
      </c>
      <c r="H11" s="478">
        <f>'Blountstown Network'!H48/(1+'Transmission Formula Rate (7)'!$B$27)</f>
        <v>8836.5243004418262</v>
      </c>
      <c r="I11" s="478">
        <f>'Blountstown Network'!I48/(1+'Transmission Formula Rate (7)'!$B$27)</f>
        <v>8836.5243004418262</v>
      </c>
      <c r="J11" s="478">
        <f>'Blountstown Network'!J48/(1+'Transmission Formula Rate (7)'!$B$27)</f>
        <v>8836.5243004418262</v>
      </c>
      <c r="K11" s="478">
        <f>'Blountstown Network'!K48/(1+'Transmission Formula Rate (7)'!$B$27)</f>
        <v>8836.5243004418262</v>
      </c>
      <c r="L11" s="478">
        <f>'Blountstown Network'!L48/(1+'Transmission Formula Rate (7)'!$B$27)</f>
        <v>8836.5243004418262</v>
      </c>
      <c r="M11" s="478">
        <f>'Blountstown Network'!M48/(1+'Transmission Formula Rate (7)'!$B$27)</f>
        <v>8836.5243004418262</v>
      </c>
      <c r="N11" s="478">
        <f t="shared" ref="N11:N22" si="0">SUM(B11:M11)</f>
        <v>106038.29160530194</v>
      </c>
      <c r="O11" s="479">
        <f t="shared" ref="O11:O23" si="1">AVERAGE(B11:M11)</f>
        <v>8836.524300441828</v>
      </c>
    </row>
    <row r="12" spans="1:15">
      <c r="A12" s="469" t="s">
        <v>397</v>
      </c>
      <c r="B12" s="478">
        <f>'Winter Park Network'!B41/(1+'Transmission Formula Rate (7)'!$B$27)</f>
        <v>58910.162002945508</v>
      </c>
      <c r="C12" s="478">
        <f>'Winter Park Network'!C41/(1+'Transmission Formula Rate (7)'!$B$27)</f>
        <v>58910.162002945508</v>
      </c>
      <c r="D12" s="478">
        <f>'Winter Park Network'!D41/(1+'Transmission Formula Rate (7)'!$B$27)</f>
        <v>58910.162002945508</v>
      </c>
      <c r="E12" s="478">
        <f>'Winter Park Network'!E41/(1+'Transmission Formula Rate (7)'!$B$27)</f>
        <v>58910.162002945508</v>
      </c>
      <c r="F12" s="478">
        <f>'Winter Park Network'!F41/(1+'Transmission Formula Rate (7)'!$B$27)</f>
        <v>58910.162002945508</v>
      </c>
      <c r="G12" s="478">
        <f>'Winter Park Network'!G41/(1+'Transmission Formula Rate (7)'!$B$27)</f>
        <v>58910.162002945508</v>
      </c>
      <c r="H12" s="478">
        <f>'Winter Park Network'!H41/(1+'Transmission Formula Rate (7)'!$B$27)</f>
        <v>58910.162002945508</v>
      </c>
      <c r="I12" s="478">
        <f>'Winter Park Network'!I41/(1+'Transmission Formula Rate (7)'!$B$27)</f>
        <v>58910.162002945508</v>
      </c>
      <c r="J12" s="478">
        <f>'Winter Park Network'!J41/(1+'Transmission Formula Rate (7)'!$B$27)</f>
        <v>58910.162002945508</v>
      </c>
      <c r="K12" s="478">
        <f>'Winter Park Network'!K41/(1+'Transmission Formula Rate (7)'!$B$27)</f>
        <v>58910.162002945508</v>
      </c>
      <c r="L12" s="478">
        <f>'Winter Park Network'!L41/(1+'Transmission Formula Rate (7)'!$B$27)</f>
        <v>58910.162002945508</v>
      </c>
      <c r="M12" s="478">
        <f>'Winter Park Network'!M41/(1+'Transmission Formula Rate (7)'!$B$27)</f>
        <v>58910.162002945508</v>
      </c>
      <c r="N12" s="478">
        <f t="shared" si="0"/>
        <v>706921.94403534615</v>
      </c>
      <c r="O12" s="479">
        <f t="shared" si="1"/>
        <v>58910.162002945515</v>
      </c>
    </row>
    <row r="13" spans="1:15">
      <c r="A13" s="469" t="s">
        <v>398</v>
      </c>
      <c r="B13" s="478">
        <f>'LCEC Network'!B48/(1+'Transmission Formula Rate (7)'!$B$27)</f>
        <v>604666.48356481141</v>
      </c>
      <c r="C13" s="478">
        <f>'LCEC Network'!C48/(1+'Transmission Formula Rate (7)'!$B$27)</f>
        <v>730902.10467019409</v>
      </c>
      <c r="D13" s="478">
        <f>'LCEC Network'!D48/(1+'Transmission Formula Rate (7)'!$B$27)</f>
        <v>656140.91124334896</v>
      </c>
      <c r="E13" s="478">
        <f>'LCEC Network'!E48/(1+'Transmission Formula Rate (7)'!$B$27)</f>
        <v>604586.62104356859</v>
      </c>
      <c r="F13" s="478">
        <f>'LCEC Network'!F48/(1+'Transmission Formula Rate (7)'!$B$27)</f>
        <v>589253.34790319449</v>
      </c>
      <c r="G13" s="478">
        <f>'LCEC Network'!G48/(1+'Transmission Formula Rate (7)'!$B$27)</f>
        <v>683666.29049572954</v>
      </c>
      <c r="H13" s="478">
        <f>'LCEC Network'!H48/(1+'Transmission Formula Rate (7)'!$B$27)</f>
        <v>751936.57299891196</v>
      </c>
      <c r="I13" s="478">
        <f>'LCEC Network'!I48/(1+'Transmission Formula Rate (7)'!$B$27)</f>
        <v>731373.61706429848</v>
      </c>
      <c r="J13" s="478">
        <f>'LCEC Network'!J48/(1+'Transmission Formula Rate (7)'!$B$27)</f>
        <v>764891.8540632379</v>
      </c>
      <c r="K13" s="478">
        <f>'LCEC Network'!K48/(1+'Transmission Formula Rate (7)'!$B$27)</f>
        <v>656848.02736058715</v>
      </c>
      <c r="L13" s="478">
        <f>'LCEC Network'!L48/(1+'Transmission Formula Rate (7)'!$B$27)</f>
        <v>693441.76219116722</v>
      </c>
      <c r="M13" s="478">
        <f>'LCEC Network'!M48/(1+'Transmission Formula Rate (7)'!$B$27)</f>
        <v>570382.42749441648</v>
      </c>
      <c r="N13" s="478">
        <f t="shared" si="0"/>
        <v>8038090.0200934652</v>
      </c>
      <c r="O13" s="479">
        <f t="shared" si="1"/>
        <v>669840.83500778873</v>
      </c>
    </row>
    <row r="14" spans="1:15">
      <c r="A14" s="469" t="s">
        <v>399</v>
      </c>
      <c r="B14" s="478">
        <f>'FKEC Network'!B48/(1+'Transmission Formula Rate (7)'!$B$27)</f>
        <v>109141.76754871321</v>
      </c>
      <c r="C14" s="478">
        <f>'FKEC Network'!C48/(1+'Transmission Formula Rate (7)'!$B$27)</f>
        <v>109331.18631981057</v>
      </c>
      <c r="D14" s="478">
        <f>'FKEC Network'!D48/(1+'Transmission Formula Rate (7)'!$B$27)</f>
        <v>116332.30655689255</v>
      </c>
      <c r="E14" s="478">
        <f>'FKEC Network'!E48/(1+'Transmission Formula Rate (7)'!$B$27)</f>
        <v>110395.92581526309</v>
      </c>
      <c r="F14" s="478">
        <f>'FKEC Network'!F48/(1+'Transmission Formula Rate (7)'!$B$27)</f>
        <v>131100.97674055884</v>
      </c>
      <c r="G14" s="478">
        <f>'FKEC Network'!G48/(1+'Transmission Formula Rate (7)'!$B$27)</f>
        <v>139358.99953087882</v>
      </c>
      <c r="H14" s="478">
        <f>'FKEC Network'!H48/(1+'Transmission Formula Rate (7)'!$B$27)</f>
        <v>143422.03948947214</v>
      </c>
      <c r="I14" s="478">
        <f>'FKEC Network'!I48/(1+'Transmission Formula Rate (7)'!$B$27)</f>
        <v>155362.17910494964</v>
      </c>
      <c r="J14" s="478">
        <f>'FKEC Network'!J48/(1+'Transmission Formula Rate (7)'!$B$27)</f>
        <v>151554.51945123429</v>
      </c>
      <c r="K14" s="478">
        <f>'FKEC Network'!K48/(1+'Transmission Formula Rate (7)'!$B$27)</f>
        <v>139815.40354760288</v>
      </c>
      <c r="L14" s="478">
        <f>'FKEC Network'!L48/(1+'Transmission Formula Rate (7)'!$B$27)</f>
        <v>133674.8765799609</v>
      </c>
      <c r="M14" s="478">
        <f>'FKEC Network'!M48/(1+'Transmission Formula Rate (7)'!$B$27)</f>
        <v>118593.13849608427</v>
      </c>
      <c r="N14" s="478">
        <f t="shared" si="0"/>
        <v>1558083.3191814213</v>
      </c>
      <c r="O14" s="479">
        <f t="shared" si="1"/>
        <v>129840.27659845178</v>
      </c>
    </row>
    <row r="15" spans="1:15">
      <c r="A15" s="469" t="s">
        <v>400</v>
      </c>
      <c r="B15" s="478">
        <f>'Wauchula Network'!B48/(1+'Transmission Formula Rate (7)'!$B$27)</f>
        <v>12763.868433971527</v>
      </c>
      <c r="C15" s="478">
        <f>'Wauchula Network'!C48/(1+'Transmission Formula Rate (7)'!$B$27)</f>
        <v>12763.868433971527</v>
      </c>
      <c r="D15" s="478">
        <f>'Wauchula Network'!D48/(1+'Transmission Formula Rate (7)'!$B$27)</f>
        <v>12763.868433971527</v>
      </c>
      <c r="E15" s="478">
        <f>'Wauchula Network'!E48/(1+'Transmission Formula Rate (7)'!$B$27)</f>
        <v>12763.868433971527</v>
      </c>
      <c r="F15" s="478">
        <f>'Wauchula Network'!F48/(1+'Transmission Formula Rate (7)'!$B$27)</f>
        <v>12763.868433971527</v>
      </c>
      <c r="G15" s="478">
        <f>'Wauchula Network'!G48/(1+'Transmission Formula Rate (7)'!$B$27)</f>
        <v>12763.868433971527</v>
      </c>
      <c r="H15" s="478">
        <f>'Wauchula Network'!H48/(1+'Transmission Formula Rate (7)'!$B$27)</f>
        <v>12763.868433971527</v>
      </c>
      <c r="I15" s="478">
        <f>'Wauchula Network'!I48/(1+'Transmission Formula Rate (7)'!$B$27)</f>
        <v>12763.868433971527</v>
      </c>
      <c r="J15" s="478">
        <f>'Wauchula Network'!J48/(1+'Transmission Formula Rate (7)'!$B$27)</f>
        <v>12763.868433971527</v>
      </c>
      <c r="K15" s="478">
        <f>'Wauchula Network'!K48/(1+'Transmission Formula Rate (7)'!$B$27)</f>
        <v>12763.868433971527</v>
      </c>
      <c r="L15" s="478">
        <f>'Wauchula Network'!L48/(1+'Transmission Formula Rate (7)'!$B$27)</f>
        <v>12763.868433971527</v>
      </c>
      <c r="M15" s="478">
        <f>'Wauchula Network'!M48/(1+'Transmission Formula Rate (7)'!$B$27)</f>
        <v>12763.868433971527</v>
      </c>
      <c r="N15" s="478">
        <f t="shared" si="0"/>
        <v>153166.42120765834</v>
      </c>
      <c r="O15" s="479">
        <f t="shared" si="1"/>
        <v>12763.868433971527</v>
      </c>
    </row>
    <row r="16" spans="1:15">
      <c r="A16" s="469" t="s">
        <v>401</v>
      </c>
      <c r="B16" s="478">
        <f>'Vero Beach Network'!B61</f>
        <v>177000</v>
      </c>
      <c r="C16" s="478">
        <f>'Vero Beach Network'!C61</f>
        <v>154000</v>
      </c>
      <c r="D16" s="478">
        <f>'Vero Beach Network'!D61</f>
        <v>123000</v>
      </c>
      <c r="E16" s="478">
        <f>'Vero Beach Network'!E61</f>
        <v>127000</v>
      </c>
      <c r="F16" s="478">
        <f>'Vero Beach Network'!F61</f>
        <v>140000</v>
      </c>
      <c r="G16" s="478">
        <f>'Vero Beach Network'!G61</f>
        <v>154000</v>
      </c>
      <c r="H16" s="478">
        <f>'Vero Beach Network'!H61</f>
        <v>152000</v>
      </c>
      <c r="I16" s="478">
        <f>'Vero Beach Network'!I61</f>
        <v>164000</v>
      </c>
      <c r="J16" s="478">
        <f>'Vero Beach Network'!J61</f>
        <v>154000</v>
      </c>
      <c r="K16" s="478">
        <f>'Vero Beach Network'!K61</f>
        <v>145000</v>
      </c>
      <c r="L16" s="478">
        <f>'Vero Beach Network'!L61</f>
        <v>124000</v>
      </c>
      <c r="M16" s="478">
        <f>'Vero Beach Network'!M61</f>
        <v>139000</v>
      </c>
      <c r="N16" s="478">
        <f t="shared" si="0"/>
        <v>1753000</v>
      </c>
      <c r="O16" s="479">
        <f t="shared" si="1"/>
        <v>146083.33333333334</v>
      </c>
    </row>
    <row r="17" spans="1:15">
      <c r="A17" s="469" t="s">
        <v>292</v>
      </c>
      <c r="B17" s="478">
        <f>'FMPA Network'!B62</f>
        <v>420200</v>
      </c>
      <c r="C17" s="478">
        <f>'FMPA Network'!C62</f>
        <v>391600</v>
      </c>
      <c r="D17" s="478">
        <f>'FMPA Network'!D62</f>
        <v>342500</v>
      </c>
      <c r="E17" s="478">
        <f>'FMPA Network'!E62</f>
        <v>368000</v>
      </c>
      <c r="F17" s="478">
        <f>'FMPA Network'!F62</f>
        <v>415200</v>
      </c>
      <c r="G17" s="478">
        <f>'FMPA Network'!G62</f>
        <v>451600</v>
      </c>
      <c r="H17" s="478">
        <f>'FMPA Network'!H62</f>
        <v>467200</v>
      </c>
      <c r="I17" s="478">
        <f>'FMPA Network'!I62</f>
        <v>475200.00000000006</v>
      </c>
      <c r="J17" s="478">
        <f>'FMPA Network'!J62</f>
        <v>433500</v>
      </c>
      <c r="K17" s="478">
        <f>'FMPA Network'!K62</f>
        <v>400600</v>
      </c>
      <c r="L17" s="478">
        <f>'FMPA Network'!L62</f>
        <v>358600</v>
      </c>
      <c r="M17" s="478">
        <f>'FMPA Network'!M62</f>
        <v>344200</v>
      </c>
      <c r="N17" s="478">
        <f t="shared" si="0"/>
        <v>4868400</v>
      </c>
      <c r="O17" s="479">
        <f t="shared" si="1"/>
        <v>405700</v>
      </c>
    </row>
    <row r="18" spans="1:15">
      <c r="A18" s="469" t="s">
        <v>402</v>
      </c>
      <c r="B18" s="478">
        <f>'SECI Network'!B63</f>
        <v>521466</v>
      </c>
      <c r="C18" s="478">
        <f>'SECI Network'!C63</f>
        <v>427422</v>
      </c>
      <c r="D18" s="478">
        <f>'SECI Network'!D63</f>
        <v>381260</v>
      </c>
      <c r="E18" s="478">
        <f>'SECI Network'!E63</f>
        <v>360521</v>
      </c>
      <c r="F18" s="478">
        <f>'SECI Network'!F63</f>
        <v>409183</v>
      </c>
      <c r="G18" s="478">
        <f>'SECI Network'!G63</f>
        <v>442770</v>
      </c>
      <c r="H18" s="478">
        <f>'SECI Network'!H63</f>
        <v>439071</v>
      </c>
      <c r="I18" s="478">
        <f>'SECI Network'!I63</f>
        <v>438159</v>
      </c>
      <c r="J18" s="478">
        <f>'SECI Network'!J63</f>
        <v>443170</v>
      </c>
      <c r="K18" s="478">
        <f>'SECI Network'!K63</f>
        <v>384147</v>
      </c>
      <c r="L18" s="478">
        <f>'SECI Network'!L63</f>
        <v>371047</v>
      </c>
      <c r="M18" s="478">
        <f>'SECI Network'!M63</f>
        <v>401928</v>
      </c>
      <c r="N18" s="478">
        <f t="shared" si="0"/>
        <v>5020144</v>
      </c>
      <c r="O18" s="479">
        <f t="shared" si="1"/>
        <v>418345.33333333331</v>
      </c>
    </row>
    <row r="19" spans="1:15">
      <c r="A19" s="469" t="s">
        <v>44</v>
      </c>
      <c r="B19" s="478">
        <f>'Georgia Trans Network'!B54</f>
        <v>18000</v>
      </c>
      <c r="C19" s="478">
        <f>'Georgia Trans Network'!C54</f>
        <v>18000</v>
      </c>
      <c r="D19" s="478">
        <f>'Georgia Trans Network'!D54</f>
        <v>18000</v>
      </c>
      <c r="E19" s="478">
        <f>'Georgia Trans Network'!E54</f>
        <v>18000</v>
      </c>
      <c r="F19" s="478">
        <f>'Georgia Trans Network'!F54</f>
        <v>18000</v>
      </c>
      <c r="G19" s="478">
        <f>'Georgia Trans Network'!G54</f>
        <v>15450</v>
      </c>
      <c r="H19" s="478">
        <f>'Georgia Trans Network'!H54</f>
        <v>15450</v>
      </c>
      <c r="I19" s="478">
        <f>'Georgia Trans Network'!I54</f>
        <v>15450</v>
      </c>
      <c r="J19" s="478">
        <f>'Georgia Trans Network'!J54</f>
        <v>15450</v>
      </c>
      <c r="K19" s="478">
        <f>'Georgia Trans Network'!K54</f>
        <v>18450</v>
      </c>
      <c r="L19" s="478">
        <f>'Georgia Trans Network'!L54</f>
        <v>18450</v>
      </c>
      <c r="M19" s="478">
        <f>'Georgia Trans Network'!M54</f>
        <v>18450</v>
      </c>
      <c r="N19" s="478">
        <f t="shared" si="0"/>
        <v>207150</v>
      </c>
      <c r="O19" s="479">
        <f t="shared" si="1"/>
        <v>17262.5</v>
      </c>
    </row>
    <row r="20" spans="1:15">
      <c r="A20" s="469" t="s">
        <v>403</v>
      </c>
      <c r="B20" s="478">
        <f>'Lake Worth Forecast'!E12</f>
        <v>68926.315071512086</v>
      </c>
      <c r="C20" s="478">
        <f>'Lake Worth Forecast'!F12</f>
        <v>67308.563800946999</v>
      </c>
      <c r="D20" s="478">
        <f>'Lake Worth Forecast'!G12</f>
        <v>70321.625542374401</v>
      </c>
      <c r="E20" s="478">
        <f>'Lake Worth Forecast'!H12</f>
        <v>73587.460919827601</v>
      </c>
      <c r="F20" s="478">
        <f>'Lake Worth Forecast'!I12</f>
        <v>82333.428726319893</v>
      </c>
      <c r="G20" s="478">
        <f>'Lake Worth Forecast'!J12</f>
        <v>86478.916357142822</v>
      </c>
      <c r="H20" s="478">
        <f>'Lake Worth Forecast'!K12</f>
        <v>89926.748752534579</v>
      </c>
      <c r="I20" s="478">
        <f>'Lake Worth Forecast'!L12</f>
        <v>90452.517915468212</v>
      </c>
      <c r="J20" s="478">
        <f>'Lake Worth Forecast'!M12</f>
        <v>87318.124828748434</v>
      </c>
      <c r="K20" s="478">
        <f>'Lake Worth Forecast'!N12</f>
        <v>81969.434690442737</v>
      </c>
      <c r="L20" s="478">
        <f>'Lake Worth Forecast'!O12</f>
        <v>73102.135538658069</v>
      </c>
      <c r="M20" s="478">
        <f>'Lake Worth Forecast'!P12</f>
        <v>69401.529507240542</v>
      </c>
      <c r="N20" s="478">
        <f t="shared" si="0"/>
        <v>941126.80165121634</v>
      </c>
      <c r="O20" s="479">
        <f t="shared" si="1"/>
        <v>78427.233470934691</v>
      </c>
    </row>
    <row r="21" spans="1:15">
      <c r="A21" s="469" t="s">
        <v>116</v>
      </c>
      <c r="B21" s="478">
        <f>'Homestead Network Transmission'!B54/(1+'Transmission Formula Rate (7)'!$B$27)</f>
        <v>17673.048600883652</v>
      </c>
      <c r="C21" s="478">
        <f>'Homestead Network Transmission'!C54/(1+'Transmission Formula Rate (7)'!$B$27)</f>
        <v>5891.0162002945508</v>
      </c>
      <c r="D21" s="478">
        <f>'Homestead Network Transmission'!D54/(1+'Transmission Formula Rate (7)'!$B$27)</f>
        <v>0</v>
      </c>
      <c r="E21" s="478">
        <f>'Homestead Network Transmission'!E54/(1+'Transmission Formula Rate (7)'!$B$27)</f>
        <v>2945.5081001472754</v>
      </c>
      <c r="F21" s="478">
        <f>'Homestead Network Transmission'!F54/(1+'Transmission Formula Rate (7)'!$B$27)</f>
        <v>11782.032400589102</v>
      </c>
      <c r="G21" s="478">
        <f>'Homestead Network Transmission'!G54/(1+'Transmission Formula Rate (7)'!$B$27)</f>
        <v>19636.720667648504</v>
      </c>
      <c r="H21" s="478">
        <f>'Homestead Network Transmission'!H54/(1+'Transmission Formula Rate (7)'!$B$27)</f>
        <v>24545.900834560631</v>
      </c>
      <c r="I21" s="478">
        <f>'Homestead Network Transmission'!I54/(1+'Transmission Formula Rate (7)'!$B$27)</f>
        <v>17673.048600883652</v>
      </c>
      <c r="J21" s="478">
        <f>'Homestead Network Transmission'!J54/(1+'Transmission Formula Rate (7)'!$B$27)</f>
        <v>20618.556701030928</v>
      </c>
      <c r="K21" s="478">
        <f>'Homestead Network Transmission'!K54/(1+'Transmission Formula Rate (7)'!$B$27)</f>
        <v>7854.6882670594014</v>
      </c>
      <c r="L21" s="478">
        <f>'Homestead Network Transmission'!L54/(1+'Transmission Formula Rate (7)'!$B$27)</f>
        <v>0</v>
      </c>
      <c r="M21" s="478">
        <f>'Homestead Network Transmission'!M54/(1+'Transmission Formula Rate (7)'!$B$27)</f>
        <v>0</v>
      </c>
      <c r="N21" s="478">
        <f>'Homestead Network Transmission'!N54/(1+'Transmission Formula Rate (7)'!$B$27)</f>
        <v>128620.52037309769</v>
      </c>
      <c r="O21" s="479">
        <f t="shared" si="1"/>
        <v>10718.376697758142</v>
      </c>
    </row>
    <row r="22" spans="1:15">
      <c r="A22" s="469" t="s">
        <v>408</v>
      </c>
      <c r="B22" s="478">
        <f>'New Smyrna Network'!B55/(1+'Transmission Formula Rate (7)'!$B$27)</f>
        <v>19636.720667648504</v>
      </c>
      <c r="C22" s="478">
        <f>'New Smyrna Network'!C55/(1+'Transmission Formula Rate (7)'!$B$27)</f>
        <v>39273.441335297008</v>
      </c>
      <c r="D22" s="478">
        <f>'New Smyrna Network'!D55/(1+'Transmission Formula Rate (7)'!$B$27)</f>
        <v>39273.441335297008</v>
      </c>
      <c r="E22" s="478">
        <f>'New Smyrna Network'!E55/(1+'Transmission Formula Rate (7)'!$B$27)</f>
        <v>24545.900834560631</v>
      </c>
      <c r="F22" s="478">
        <f>'New Smyrna Network'!F55/(1+'Transmission Formula Rate (7)'!$B$27)</f>
        <v>19636.720667648504</v>
      </c>
      <c r="G22" s="478">
        <f>'New Smyrna Network'!G55/(1+'Transmission Formula Rate (7)'!$B$27)</f>
        <v>29455.081001472754</v>
      </c>
      <c r="H22" s="478">
        <f>'New Smyrna Network'!H55/(1+'Transmission Formula Rate (7)'!$B$27)</f>
        <v>39273.441335297008</v>
      </c>
      <c r="I22" s="478">
        <f>'New Smyrna Network'!I55/(1+'Transmission Formula Rate (7)'!$B$27)</f>
        <v>44182.621502209135</v>
      </c>
      <c r="J22" s="478">
        <f>'New Smyrna Network'!J55/(1+'Transmission Formula Rate (7)'!$B$27)</f>
        <v>44182.621502209135</v>
      </c>
      <c r="K22" s="478">
        <f>'New Smyrna Network'!K55/(1+'Transmission Formula Rate (7)'!$B$27)</f>
        <v>34364.261168384881</v>
      </c>
      <c r="L22" s="478">
        <f>'New Smyrna Network'!L55/(1+'Transmission Formula Rate (7)'!$B$27)</f>
        <v>24545.900834560631</v>
      </c>
      <c r="M22" s="478">
        <f>'New Smyrna Network'!M55/(1+'Transmission Formula Rate (7)'!$B$27)</f>
        <v>19636.720667648504</v>
      </c>
      <c r="N22" s="478">
        <f t="shared" si="0"/>
        <v>378006.87285223365</v>
      </c>
      <c r="O22" s="479">
        <f t="shared" si="1"/>
        <v>31500.572737686136</v>
      </c>
    </row>
    <row r="23" spans="1:15">
      <c r="A23" s="469" t="s">
        <v>450</v>
      </c>
      <c r="B23" s="478">
        <f>'Quincy Transmission'!B41/(1+'Transmission Formula Rate (7)'!$B$27)</f>
        <v>18654.88463426608</v>
      </c>
      <c r="C23" s="478">
        <f>'Quincy Transmission'!C41/(1+'Transmission Formula Rate (7)'!$B$27)</f>
        <v>23342.474226804126</v>
      </c>
      <c r="D23" s="478">
        <f>'Quincy Transmission'!D41/(1+'Transmission Formula Rate (7)'!$B$27)</f>
        <v>21369.366715758471</v>
      </c>
      <c r="E23" s="478">
        <f>'Quincy Transmission'!E41/(1+'Transmission Formula Rate (7)'!$B$27)</f>
        <v>19162.444771723123</v>
      </c>
      <c r="F23" s="478">
        <f>'Quincy Transmission'!F41/(1+'Transmission Formula Rate (7)'!$B$27)</f>
        <v>22637.054491899853</v>
      </c>
      <c r="G23" s="478">
        <f>'Quincy Transmission'!G41/(1+'Transmission Formula Rate (7)'!$B$27)</f>
        <v>27179.73490427099</v>
      </c>
      <c r="H23" s="478">
        <f>'Quincy Transmission'!H41/(1+'Transmission Formula Rate (7)'!$B$27)</f>
        <v>26867.982326951402</v>
      </c>
      <c r="I23" s="478">
        <f>'Quincy Transmission'!I41/(1+'Transmission Formula Rate (7)'!$B$27)</f>
        <v>18654.88463426608</v>
      </c>
      <c r="J23" s="478">
        <f>'Quincy Transmission'!J41/(1+'Transmission Formula Rate (7)'!$B$27)</f>
        <v>24822.503681885126</v>
      </c>
      <c r="K23" s="478">
        <f>'Quincy Transmission'!K41/(1+'Transmission Formula Rate (7)'!$B$27)</f>
        <v>21870.397643593522</v>
      </c>
      <c r="L23" s="478">
        <f>'Quincy Transmission'!L41/(1+'Transmission Formula Rate (7)'!$B$27)</f>
        <v>25166.863033873346</v>
      </c>
      <c r="M23" s="478">
        <f>'Quincy Transmission'!M41/(1+'Transmission Formula Rate (7)'!$B$27)</f>
        <v>22615.581737849781</v>
      </c>
      <c r="N23" s="478">
        <f>'Quincy Transmission'!N41/(1+'Transmission Formula Rate (7)'!$B$27)</f>
        <v>272344.17280314193</v>
      </c>
      <c r="O23" s="479">
        <f t="shared" si="1"/>
        <v>22695.347733595161</v>
      </c>
    </row>
    <row r="24" spans="1:15">
      <c r="A24" s="480" t="s">
        <v>404</v>
      </c>
      <c r="B24" s="481">
        <f>SUM(B11:B23)</f>
        <v>2055875.7748251939</v>
      </c>
      <c r="C24" s="481">
        <f t="shared" ref="C24:N24" si="2">SUM(C11:C23)</f>
        <v>2047581.3412907063</v>
      </c>
      <c r="D24" s="481">
        <f t="shared" si="2"/>
        <v>1848708.2061310301</v>
      </c>
      <c r="E24" s="481">
        <f t="shared" si="2"/>
        <v>1789255.4162224494</v>
      </c>
      <c r="F24" s="481">
        <f t="shared" si="2"/>
        <v>1919637.1156675699</v>
      </c>
      <c r="G24" s="481">
        <f t="shared" si="2"/>
        <v>2130106.2976945024</v>
      </c>
      <c r="H24" s="481">
        <f t="shared" si="2"/>
        <v>2230204.240475087</v>
      </c>
      <c r="I24" s="481">
        <f t="shared" si="2"/>
        <v>2231018.4235594338</v>
      </c>
      <c r="J24" s="481">
        <f t="shared" si="2"/>
        <v>2220018.7349657044</v>
      </c>
      <c r="K24" s="481">
        <f t="shared" si="2"/>
        <v>1971429.7674150295</v>
      </c>
      <c r="L24" s="481">
        <f t="shared" si="2"/>
        <v>1902539.092915579</v>
      </c>
      <c r="M24" s="481">
        <f t="shared" si="2"/>
        <v>1784717.9526405986</v>
      </c>
      <c r="N24" s="481">
        <f t="shared" si="2"/>
        <v>24131092.363802884</v>
      </c>
      <c r="O24" s="482">
        <f>SUM(O11:O23)</f>
        <v>2010924.36365024</v>
      </c>
    </row>
    <row r="25" spans="1:15">
      <c r="O25" s="477"/>
    </row>
    <row r="26" spans="1:15">
      <c r="A26" s="476" t="s">
        <v>405</v>
      </c>
      <c r="O26" s="477"/>
    </row>
    <row r="27" spans="1:15">
      <c r="A27" s="469" t="s">
        <v>23</v>
      </c>
      <c r="B27" s="478">
        <f>'TSAS Demand Revenues (7)'!B158</f>
        <v>37056</v>
      </c>
      <c r="C27" s="478">
        <f>'TSAS Demand Revenues (7)'!C158</f>
        <v>37056</v>
      </c>
      <c r="D27" s="478">
        <f>'TSAS Demand Revenues (7)'!D158</f>
        <v>37056</v>
      </c>
      <c r="E27" s="478">
        <f>'TSAS Demand Revenues (7)'!E158</f>
        <v>37056</v>
      </c>
      <c r="F27" s="478">
        <f>'TSAS Demand Revenues (7)'!F158</f>
        <v>37056</v>
      </c>
      <c r="G27" s="478">
        <f>'TSAS Demand Revenues (7)'!G158</f>
        <v>37056</v>
      </c>
      <c r="H27" s="478">
        <f>'TSAS Demand Revenues (7)'!H158</f>
        <v>37056</v>
      </c>
      <c r="I27" s="478">
        <f>'TSAS Demand Revenues (7)'!I158</f>
        <v>37056</v>
      </c>
      <c r="J27" s="478">
        <f>'TSAS Demand Revenues (7)'!J158</f>
        <v>37056</v>
      </c>
      <c r="K27" s="478">
        <f>'TSAS Demand Revenues (7)'!K158</f>
        <v>37056</v>
      </c>
      <c r="L27" s="478">
        <f>'TSAS Demand Revenues (7)'!L158</f>
        <v>37056</v>
      </c>
      <c r="M27" s="478">
        <f>'TSAS Demand Revenues (7)'!M158</f>
        <v>37056</v>
      </c>
      <c r="N27" s="489">
        <f>SUM(B27:M27)</f>
        <v>444672</v>
      </c>
      <c r="O27" s="479">
        <f t="shared" ref="O27:O31" si="3">AVERAGE(B27:M27)</f>
        <v>37056</v>
      </c>
    </row>
    <row r="28" spans="1:15">
      <c r="A28" s="469" t="s">
        <v>24</v>
      </c>
      <c r="B28" s="478">
        <f>'TSAS Demand Revenues (7)'!B163</f>
        <v>62000</v>
      </c>
      <c r="C28" s="478">
        <f>'TSAS Demand Revenues (7)'!C163</f>
        <v>62000</v>
      </c>
      <c r="D28" s="478">
        <f>'TSAS Demand Revenues (7)'!D163</f>
        <v>62000</v>
      </c>
      <c r="E28" s="478">
        <f>'TSAS Demand Revenues (7)'!E163</f>
        <v>62000</v>
      </c>
      <c r="F28" s="478">
        <f>'TSAS Demand Revenues (7)'!F163</f>
        <v>62000</v>
      </c>
      <c r="G28" s="478">
        <f>'TSAS Demand Revenues (7)'!G163</f>
        <v>62000</v>
      </c>
      <c r="H28" s="478">
        <f>'TSAS Demand Revenues (7)'!H163</f>
        <v>62000</v>
      </c>
      <c r="I28" s="478">
        <f>'TSAS Demand Revenues (7)'!I163</f>
        <v>62000</v>
      </c>
      <c r="J28" s="478">
        <f>'TSAS Demand Revenues (7)'!J163</f>
        <v>62000</v>
      </c>
      <c r="K28" s="478">
        <f>'TSAS Demand Revenues (7)'!K163</f>
        <v>62000</v>
      </c>
      <c r="L28" s="478">
        <f>'TSAS Demand Revenues (7)'!L163</f>
        <v>62000</v>
      </c>
      <c r="M28" s="478">
        <f>'TSAS Demand Revenues (7)'!M163</f>
        <v>62000</v>
      </c>
      <c r="N28" s="489">
        <f t="shared" ref="N28:N31" si="4">SUM(B28:M28)</f>
        <v>744000</v>
      </c>
      <c r="O28" s="479">
        <f t="shared" si="3"/>
        <v>62000</v>
      </c>
    </row>
    <row r="29" spans="1:15">
      <c r="A29" s="469" t="s">
        <v>116</v>
      </c>
      <c r="B29" s="478">
        <f>'TSAS Demand Revenues (7)'!B168</f>
        <v>40000</v>
      </c>
      <c r="C29" s="478">
        <f>'TSAS Demand Revenues (7)'!C168</f>
        <v>40000</v>
      </c>
      <c r="D29" s="478">
        <f>'TSAS Demand Revenues (7)'!D168</f>
        <v>40000</v>
      </c>
      <c r="E29" s="478">
        <f>'TSAS Demand Revenues (7)'!E168</f>
        <v>40000</v>
      </c>
      <c r="F29" s="478">
        <f>'TSAS Demand Revenues (7)'!F168</f>
        <v>40000</v>
      </c>
      <c r="G29" s="478">
        <f>'TSAS Demand Revenues (7)'!G168</f>
        <v>40000</v>
      </c>
      <c r="H29" s="478">
        <f>'TSAS Demand Revenues (7)'!H168</f>
        <v>40000</v>
      </c>
      <c r="I29" s="478">
        <f>'TSAS Demand Revenues (7)'!I168</f>
        <v>40000</v>
      </c>
      <c r="J29" s="478">
        <f>'TSAS Demand Revenues (7)'!J168</f>
        <v>40000</v>
      </c>
      <c r="K29" s="478">
        <f>'TSAS Demand Revenues (7)'!K168</f>
        <v>40000</v>
      </c>
      <c r="L29" s="478">
        <f>'TSAS Demand Revenues (7)'!L168</f>
        <v>40000</v>
      </c>
      <c r="M29" s="478">
        <f>'TSAS Demand Revenues (7)'!M168</f>
        <v>40000</v>
      </c>
      <c r="N29" s="489">
        <f t="shared" si="4"/>
        <v>480000</v>
      </c>
      <c r="O29" s="479">
        <f t="shared" si="3"/>
        <v>40000</v>
      </c>
    </row>
    <row r="30" spans="1:15">
      <c r="A30" s="469" t="s">
        <v>237</v>
      </c>
      <c r="B30" s="478">
        <f>'TSAS Demand Revenues (7)'!B173</f>
        <v>4000</v>
      </c>
      <c r="C30" s="478">
        <f>'TSAS Demand Revenues (7)'!C173</f>
        <v>4000</v>
      </c>
      <c r="D30" s="478">
        <f>'TSAS Demand Revenues (7)'!D173</f>
        <v>4000</v>
      </c>
      <c r="E30" s="478">
        <f>'TSAS Demand Revenues (7)'!E173</f>
        <v>4000</v>
      </c>
      <c r="F30" s="478">
        <f>'TSAS Demand Revenues (7)'!F173</f>
        <v>4000</v>
      </c>
      <c r="G30" s="478">
        <f>'TSAS Demand Revenues (7)'!G173</f>
        <v>4000</v>
      </c>
      <c r="H30" s="478">
        <f>'TSAS Demand Revenues (7)'!H173</f>
        <v>4000</v>
      </c>
      <c r="I30" s="478">
        <f>'TSAS Demand Revenues (7)'!I173</f>
        <v>4000</v>
      </c>
      <c r="J30" s="478">
        <f>'TSAS Demand Revenues (7)'!J173</f>
        <v>4000</v>
      </c>
      <c r="K30" s="478">
        <f>'TSAS Demand Revenues (7)'!K173</f>
        <v>4000</v>
      </c>
      <c r="L30" s="478">
        <f>'TSAS Demand Revenues (7)'!L173</f>
        <v>3000</v>
      </c>
      <c r="M30" s="478">
        <f>'TSAS Demand Revenues (7)'!M173</f>
        <v>3000</v>
      </c>
      <c r="N30" s="489">
        <f t="shared" si="4"/>
        <v>46000</v>
      </c>
      <c r="O30" s="479">
        <f t="shared" si="3"/>
        <v>3833.3333333333335</v>
      </c>
    </row>
    <row r="31" spans="1:15">
      <c r="A31" s="469" t="s">
        <v>117</v>
      </c>
      <c r="B31" s="478">
        <f>'TSAS Demand Revenues (7)'!B188</f>
        <v>150000</v>
      </c>
      <c r="C31" s="478">
        <f>'TSAS Demand Revenues (7)'!C188</f>
        <v>150000</v>
      </c>
      <c r="D31" s="478">
        <f>'TSAS Demand Revenues (7)'!D188</f>
        <v>150000</v>
      </c>
      <c r="E31" s="478">
        <f>'TSAS Demand Revenues (7)'!E188</f>
        <v>150000</v>
      </c>
      <c r="F31" s="478">
        <f>'TSAS Demand Revenues (7)'!F188</f>
        <v>150000</v>
      </c>
      <c r="G31" s="478">
        <f>'TSAS Demand Revenues (7)'!G188</f>
        <v>150000</v>
      </c>
      <c r="H31" s="478">
        <f>'TSAS Demand Revenues (7)'!H188</f>
        <v>150000</v>
      </c>
      <c r="I31" s="478">
        <f>'TSAS Demand Revenues (7)'!I188</f>
        <v>150000</v>
      </c>
      <c r="J31" s="478">
        <f>'TSAS Demand Revenues (7)'!J188</f>
        <v>150000</v>
      </c>
      <c r="K31" s="478">
        <f>'TSAS Demand Revenues (7)'!K188</f>
        <v>150000</v>
      </c>
      <c r="L31" s="478">
        <f>'TSAS Demand Revenues (7)'!L188</f>
        <v>150000</v>
      </c>
      <c r="M31" s="478">
        <f>'TSAS Demand Revenues (7)'!M188</f>
        <v>150000</v>
      </c>
      <c r="N31" s="489">
        <f t="shared" si="4"/>
        <v>1800000</v>
      </c>
      <c r="O31" s="479">
        <f t="shared" si="3"/>
        <v>150000</v>
      </c>
    </row>
    <row r="32" spans="1:15">
      <c r="A32" s="469" t="s">
        <v>410</v>
      </c>
      <c r="B32" s="478">
        <f>'TSAS Demand Revenues (7)'!B198</f>
        <v>160000</v>
      </c>
      <c r="C32" s="478">
        <f>'TSAS Demand Revenues (7)'!C198</f>
        <v>160000</v>
      </c>
      <c r="D32" s="478">
        <f>'TSAS Demand Revenues (7)'!D198</f>
        <v>0</v>
      </c>
      <c r="E32" s="478">
        <f>'TSAS Demand Revenues (7)'!E198</f>
        <v>0</v>
      </c>
      <c r="F32" s="478">
        <f>'TSAS Demand Revenues (7)'!F198</f>
        <v>0</v>
      </c>
      <c r="G32" s="478">
        <f>'TSAS Demand Revenues (7)'!G198</f>
        <v>0</v>
      </c>
      <c r="H32" s="478">
        <f>'TSAS Demand Revenues (7)'!H198</f>
        <v>0</v>
      </c>
      <c r="I32" s="478">
        <f>'TSAS Demand Revenues (7)'!I198</f>
        <v>0</v>
      </c>
      <c r="J32" s="478">
        <f>'TSAS Demand Revenues (7)'!J198</f>
        <v>0</v>
      </c>
      <c r="K32" s="478">
        <f>'TSAS Demand Revenues (7)'!K198</f>
        <v>0</v>
      </c>
      <c r="L32" s="478">
        <f>'TSAS Demand Revenues (7)'!L198</f>
        <v>0</v>
      </c>
      <c r="M32" s="478">
        <f>'TSAS Demand Revenues (7)'!M198</f>
        <v>0</v>
      </c>
      <c r="N32" s="489">
        <f t="shared" ref="N32:N33" si="5">SUM(B32:M32)</f>
        <v>320000</v>
      </c>
      <c r="O32" s="479">
        <f t="shared" ref="O32:O33" si="6">AVERAGE(B32:M32)</f>
        <v>26666.666666666668</v>
      </c>
    </row>
    <row r="33" spans="1:15">
      <c r="A33" s="469" t="s">
        <v>406</v>
      </c>
      <c r="B33" s="478">
        <f>'TSAS Demand Revenues (7)'!B143</f>
        <v>5000</v>
      </c>
      <c r="C33" s="478">
        <f>'TSAS Demand Revenues (7)'!C143</f>
        <v>5000</v>
      </c>
      <c r="D33" s="478">
        <f>'TSAS Demand Revenues (7)'!D143</f>
        <v>5000</v>
      </c>
      <c r="E33" s="478">
        <f>'TSAS Demand Revenues (7)'!E143</f>
        <v>5000</v>
      </c>
      <c r="F33" s="478">
        <f>'TSAS Demand Revenues (7)'!F143</f>
        <v>5000</v>
      </c>
      <c r="G33" s="478">
        <f>'TSAS Demand Revenues (7)'!G143</f>
        <v>5000</v>
      </c>
      <c r="H33" s="478">
        <f>'TSAS Demand Revenues (7)'!H143</f>
        <v>5000</v>
      </c>
      <c r="I33" s="478">
        <f>'TSAS Demand Revenues (7)'!I143</f>
        <v>5000</v>
      </c>
      <c r="J33" s="478">
        <f>'TSAS Demand Revenues (7)'!J143</f>
        <v>5000</v>
      </c>
      <c r="K33" s="478">
        <f>'TSAS Demand Revenues (7)'!K143</f>
        <v>5000</v>
      </c>
      <c r="L33" s="478">
        <f>'TSAS Demand Revenues (7)'!L143</f>
        <v>5000</v>
      </c>
      <c r="M33" s="478">
        <f>'TSAS Demand Revenues (7)'!M143</f>
        <v>5000</v>
      </c>
      <c r="N33" s="489">
        <f t="shared" si="5"/>
        <v>60000</v>
      </c>
      <c r="O33" s="479">
        <f t="shared" si="6"/>
        <v>5000</v>
      </c>
    </row>
    <row r="34" spans="1:15">
      <c r="A34" s="480" t="s">
        <v>407</v>
      </c>
      <c r="B34" s="481">
        <f t="shared" ref="B34:O34" si="7">SUM(B27:B33)</f>
        <v>458056</v>
      </c>
      <c r="C34" s="481">
        <f t="shared" si="7"/>
        <v>458056</v>
      </c>
      <c r="D34" s="481">
        <f t="shared" si="7"/>
        <v>298056</v>
      </c>
      <c r="E34" s="481">
        <f t="shared" si="7"/>
        <v>298056</v>
      </c>
      <c r="F34" s="481">
        <f t="shared" si="7"/>
        <v>298056</v>
      </c>
      <c r="G34" s="481">
        <f t="shared" si="7"/>
        <v>298056</v>
      </c>
      <c r="H34" s="481">
        <f t="shared" si="7"/>
        <v>298056</v>
      </c>
      <c r="I34" s="481">
        <f t="shared" si="7"/>
        <v>298056</v>
      </c>
      <c r="J34" s="481">
        <f t="shared" si="7"/>
        <v>298056</v>
      </c>
      <c r="K34" s="481">
        <f t="shared" si="7"/>
        <v>298056</v>
      </c>
      <c r="L34" s="481">
        <f t="shared" si="7"/>
        <v>297056</v>
      </c>
      <c r="M34" s="481">
        <f t="shared" si="7"/>
        <v>297056</v>
      </c>
      <c r="N34" s="481">
        <f t="shared" si="7"/>
        <v>3894672</v>
      </c>
      <c r="O34" s="482">
        <f t="shared" si="7"/>
        <v>324556.00000000006</v>
      </c>
    </row>
    <row r="35" spans="1:15">
      <c r="O35" s="477"/>
    </row>
    <row r="36" spans="1:15">
      <c r="O36" s="477"/>
    </row>
    <row r="37" spans="1:15" ht="13.8" thickBot="1">
      <c r="A37" s="480" t="s">
        <v>409</v>
      </c>
      <c r="B37" s="483">
        <f t="shared" ref="B37:O37" si="8">+B24+B34</f>
        <v>2513931.7748251939</v>
      </c>
      <c r="C37" s="483">
        <f t="shared" si="8"/>
        <v>2505637.3412907063</v>
      </c>
      <c r="D37" s="483">
        <f t="shared" si="8"/>
        <v>2146764.2061310299</v>
      </c>
      <c r="E37" s="483">
        <f t="shared" si="8"/>
        <v>2087311.4162224494</v>
      </c>
      <c r="F37" s="483">
        <f t="shared" si="8"/>
        <v>2217693.1156675699</v>
      </c>
      <c r="G37" s="483">
        <f t="shared" si="8"/>
        <v>2428162.2976945024</v>
      </c>
      <c r="H37" s="483">
        <f t="shared" si="8"/>
        <v>2528260.240475087</v>
      </c>
      <c r="I37" s="483">
        <f t="shared" si="8"/>
        <v>2529074.4235594338</v>
      </c>
      <c r="J37" s="483">
        <f t="shared" si="8"/>
        <v>2518074.7349657044</v>
      </c>
      <c r="K37" s="483">
        <f t="shared" si="8"/>
        <v>2269485.7674150295</v>
      </c>
      <c r="L37" s="483">
        <f t="shared" si="8"/>
        <v>2199595.0929155787</v>
      </c>
      <c r="M37" s="483">
        <f t="shared" si="8"/>
        <v>2081773.9526405986</v>
      </c>
      <c r="N37" s="483">
        <f t="shared" si="8"/>
        <v>28025764.363802884</v>
      </c>
      <c r="O37" s="484">
        <f t="shared" si="8"/>
        <v>2335480.36365024</v>
      </c>
    </row>
    <row r="38" spans="1:15" ht="14.4" thickTop="1" thickBot="1">
      <c r="O38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4"/>
  <sheetViews>
    <sheetView zoomScaleNormal="100" workbookViewId="0">
      <selection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5" width="9" style="277"/>
    <col min="16" max="16" width="8.44140625" style="277" customWidth="1"/>
    <col min="17" max="16384" width="9" style="22"/>
  </cols>
  <sheetData>
    <row r="1" spans="1:18" ht="13.2">
      <c r="A1" s="480" t="s">
        <v>492</v>
      </c>
    </row>
    <row r="2" spans="1:18" ht="13.2">
      <c r="A2" s="480" t="s">
        <v>473</v>
      </c>
    </row>
    <row r="4" spans="1:18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274"/>
      <c r="P4" s="274"/>
      <c r="Q4" s="15"/>
      <c r="R4" s="15"/>
    </row>
    <row r="5" spans="1:18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74"/>
      <c r="P5" s="274"/>
      <c r="Q5" s="15"/>
      <c r="R5" s="15"/>
    </row>
    <row r="6" spans="1:18" s="16" customFormat="1" ht="13.8">
      <c r="A6" s="252" t="s">
        <v>270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274"/>
      <c r="P6" s="274"/>
      <c r="Q6" s="15"/>
      <c r="R6" s="15"/>
    </row>
    <row r="7" spans="1:18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  <c r="O7" s="275"/>
      <c r="P7" s="275"/>
    </row>
    <row r="8" spans="1:18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  <c r="O8" s="276"/>
      <c r="P8" s="276"/>
    </row>
    <row r="9" spans="1:18" s="20" customFormat="1" ht="10.199999999999999">
      <c r="A9" s="254"/>
      <c r="O9" s="492" t="s">
        <v>132</v>
      </c>
      <c r="P9" s="492"/>
    </row>
    <row r="10" spans="1:18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76"/>
      <c r="P10" s="276"/>
    </row>
    <row r="11" spans="1:18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8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8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8">
      <c r="A14" s="256" t="s">
        <v>47</v>
      </c>
      <c r="B14" s="239">
        <f>'Blountstown Forecast'!E10</f>
        <v>4000</v>
      </c>
      <c r="C14" s="239">
        <f>'Blountstown Forecast'!F10</f>
        <v>7000</v>
      </c>
      <c r="D14" s="239">
        <f>'Blountstown Forecast'!G10</f>
        <v>4000</v>
      </c>
      <c r="E14" s="239">
        <f>'Blountstown Forecast'!H10</f>
        <v>3000</v>
      </c>
      <c r="F14" s="239">
        <f>'Blountstown Forecast'!I10</f>
        <v>7000</v>
      </c>
      <c r="G14" s="239">
        <f>'Blountstown Forecast'!J10</f>
        <v>7000</v>
      </c>
      <c r="H14" s="239">
        <f>'Blountstown Forecast'!K10</f>
        <v>7000</v>
      </c>
      <c r="I14" s="239">
        <f>'Blountstown Forecast'!L10</f>
        <v>8000</v>
      </c>
      <c r="J14" s="239">
        <f>'Blountstown Forecast'!M10</f>
        <v>8000</v>
      </c>
      <c r="K14" s="239">
        <f>'Blountstown Forecast'!N10</f>
        <v>7000</v>
      </c>
      <c r="L14" s="239">
        <f>'Blountstown Forecast'!O10</f>
        <v>7000</v>
      </c>
      <c r="M14" s="239">
        <f>'Blountstown Forecast'!P10</f>
        <v>4000</v>
      </c>
      <c r="N14" s="21">
        <f>SUM(B14:M14)</f>
        <v>73000</v>
      </c>
      <c r="O14" s="279">
        <f>'Blountstown Forecast'!Q11</f>
        <v>82000</v>
      </c>
      <c r="P14" s="278">
        <f>N14-O14</f>
        <v>-9000</v>
      </c>
    </row>
    <row r="15" spans="1:18">
      <c r="A15" s="256" t="s">
        <v>45</v>
      </c>
      <c r="B15" s="28">
        <f>ROUND(B14*'Transmission Formula Rate (7)'!$B$27,0)</f>
        <v>74</v>
      </c>
      <c r="C15" s="28">
        <f>ROUND(C14*'Transmission Formula Rate (7)'!$B$27,0)</f>
        <v>130</v>
      </c>
      <c r="D15" s="28">
        <f>ROUND(D14*'Transmission Formula Rate (7)'!$B$27,0)</f>
        <v>74</v>
      </c>
      <c r="E15" s="28">
        <f>ROUND(E14*'Transmission Formula Rate (7)'!$B$27,0)</f>
        <v>56</v>
      </c>
      <c r="F15" s="28">
        <f>ROUND(F14*'Transmission Formula Rate (7)'!$B$27,0)</f>
        <v>130</v>
      </c>
      <c r="G15" s="28">
        <f>ROUND(G14*'Transmission Formula Rate (7)'!$B$27,0)</f>
        <v>130</v>
      </c>
      <c r="H15" s="28">
        <f>ROUND(H14*'Transmission Formula Rate (7)'!$B$27,0)</f>
        <v>130</v>
      </c>
      <c r="I15" s="28">
        <f>ROUND(I14*'Transmission Formula Rate (7)'!$B$27,0)</f>
        <v>148</v>
      </c>
      <c r="J15" s="28">
        <f>ROUND(J14*'Transmission Formula Rate (7)'!$B$27,0)</f>
        <v>148</v>
      </c>
      <c r="K15" s="28">
        <f>ROUND(K14*'Transmission Formula Rate (7)'!$B$27,0)</f>
        <v>130</v>
      </c>
      <c r="L15" s="28">
        <f>ROUND(L14*'Transmission Formula Rate (7)'!$B$27,0)</f>
        <v>130</v>
      </c>
      <c r="M15" s="28">
        <f>ROUND(M14*'Transmission Formula Rate (7)'!$B$27,0)</f>
        <v>74</v>
      </c>
      <c r="N15" s="21">
        <f>SUM(B15:M15)</f>
        <v>1354</v>
      </c>
    </row>
    <row r="16" spans="1:18">
      <c r="A16" s="256" t="s">
        <v>296</v>
      </c>
      <c r="B16" s="28">
        <f t="shared" ref="B16:M16" si="1">B14+B15</f>
        <v>4074</v>
      </c>
      <c r="C16" s="28">
        <f t="shared" si="1"/>
        <v>7130</v>
      </c>
      <c r="D16" s="28">
        <f t="shared" si="1"/>
        <v>4074</v>
      </c>
      <c r="E16" s="28">
        <f t="shared" si="1"/>
        <v>3056</v>
      </c>
      <c r="F16" s="28">
        <f t="shared" si="1"/>
        <v>7130</v>
      </c>
      <c r="G16" s="28">
        <f t="shared" si="1"/>
        <v>7130</v>
      </c>
      <c r="H16" s="28">
        <f t="shared" si="1"/>
        <v>7130</v>
      </c>
      <c r="I16" s="28">
        <f t="shared" si="1"/>
        <v>8148</v>
      </c>
      <c r="J16" s="28">
        <f t="shared" si="1"/>
        <v>8148</v>
      </c>
      <c r="K16" s="28">
        <f t="shared" si="1"/>
        <v>7130</v>
      </c>
      <c r="L16" s="28">
        <f t="shared" si="1"/>
        <v>7130</v>
      </c>
      <c r="M16" s="28">
        <f t="shared" si="1"/>
        <v>4074</v>
      </c>
      <c r="N16" s="124">
        <f>SUM(B16:M16)</f>
        <v>74354</v>
      </c>
    </row>
    <row r="17" spans="1:16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6">
      <c r="A18" s="254" t="s">
        <v>17</v>
      </c>
      <c r="B18" s="21">
        <f t="shared" ref="B18:M18" si="2">B16*B17</f>
        <v>6477.6600000000008</v>
      </c>
      <c r="C18" s="21">
        <f t="shared" si="2"/>
        <v>11336.7</v>
      </c>
      <c r="D18" s="21">
        <f t="shared" si="2"/>
        <v>6477.6600000000008</v>
      </c>
      <c r="E18" s="21">
        <f t="shared" si="2"/>
        <v>4859.04</v>
      </c>
      <c r="F18" s="21">
        <f t="shared" si="2"/>
        <v>11336.7</v>
      </c>
      <c r="G18" s="21">
        <f t="shared" si="2"/>
        <v>11336.7</v>
      </c>
      <c r="H18" s="21">
        <f t="shared" si="2"/>
        <v>11336.7</v>
      </c>
      <c r="I18" s="21">
        <f t="shared" si="2"/>
        <v>12955.320000000002</v>
      </c>
      <c r="J18" s="21">
        <f t="shared" si="2"/>
        <v>12955.320000000002</v>
      </c>
      <c r="K18" s="21">
        <f t="shared" si="2"/>
        <v>11336.7</v>
      </c>
      <c r="L18" s="21">
        <f t="shared" si="2"/>
        <v>11336.7</v>
      </c>
      <c r="M18" s="21">
        <f t="shared" si="2"/>
        <v>6477.6600000000008</v>
      </c>
      <c r="N18" s="21">
        <f>SUM(B18:M18)</f>
        <v>118222.86000000002</v>
      </c>
    </row>
    <row r="19" spans="1:16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6">
      <c r="A20" s="254" t="s">
        <v>141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6">
      <c r="A21" s="256" t="s">
        <v>47</v>
      </c>
      <c r="B21" s="239">
        <f>B14</f>
        <v>4000</v>
      </c>
      <c r="C21" s="239">
        <f t="shared" ref="C21:M21" si="3">C14</f>
        <v>7000</v>
      </c>
      <c r="D21" s="239">
        <f t="shared" si="3"/>
        <v>4000</v>
      </c>
      <c r="E21" s="239">
        <f t="shared" si="3"/>
        <v>3000</v>
      </c>
      <c r="F21" s="239">
        <f t="shared" si="3"/>
        <v>7000</v>
      </c>
      <c r="G21" s="239">
        <f t="shared" si="3"/>
        <v>7000</v>
      </c>
      <c r="H21" s="239">
        <f t="shared" si="3"/>
        <v>7000</v>
      </c>
      <c r="I21" s="239">
        <f t="shared" si="3"/>
        <v>8000</v>
      </c>
      <c r="J21" s="239">
        <f t="shared" si="3"/>
        <v>8000</v>
      </c>
      <c r="K21" s="239">
        <f t="shared" si="3"/>
        <v>7000</v>
      </c>
      <c r="L21" s="239">
        <f t="shared" si="3"/>
        <v>7000</v>
      </c>
      <c r="M21" s="239">
        <f t="shared" si="3"/>
        <v>4000</v>
      </c>
      <c r="N21" s="21">
        <f>SUM(B21:M21)</f>
        <v>73000</v>
      </c>
      <c r="O21" s="279">
        <f>O14</f>
        <v>82000</v>
      </c>
      <c r="P21" s="278">
        <f>N21-O21</f>
        <v>-9000</v>
      </c>
    </row>
    <row r="22" spans="1:16">
      <c r="A22" s="256" t="s">
        <v>45</v>
      </c>
      <c r="B22" s="28">
        <f>ROUND(B21*'Transmission Formula Rate (7)'!$B$27,0)</f>
        <v>74</v>
      </c>
      <c r="C22" s="28">
        <f>ROUND(C21*'Transmission Formula Rate (7)'!$B$27,0)</f>
        <v>130</v>
      </c>
      <c r="D22" s="28">
        <f>ROUND(D21*'Transmission Formula Rate (7)'!$B$27,0)</f>
        <v>74</v>
      </c>
      <c r="E22" s="28">
        <f>ROUND(E21*'Transmission Formula Rate (7)'!$B$27,0)</f>
        <v>56</v>
      </c>
      <c r="F22" s="28">
        <f>ROUND(F21*'Transmission Formula Rate (7)'!$B$27,0)</f>
        <v>130</v>
      </c>
      <c r="G22" s="28">
        <f>ROUND(G21*'Transmission Formula Rate (7)'!$B$27,0)</f>
        <v>130</v>
      </c>
      <c r="H22" s="28">
        <f>ROUND(H21*'Transmission Formula Rate (7)'!$B$27,0)</f>
        <v>130</v>
      </c>
      <c r="I22" s="28">
        <f>ROUND(I21*'Transmission Formula Rate (7)'!$B$27,0)</f>
        <v>148</v>
      </c>
      <c r="J22" s="28">
        <f>ROUND(J21*'Transmission Formula Rate (7)'!$B$27,0)</f>
        <v>148</v>
      </c>
      <c r="K22" s="28">
        <f>ROUND(K21*'Transmission Formula Rate (7)'!$B$27,0)</f>
        <v>130</v>
      </c>
      <c r="L22" s="28">
        <f>ROUND(L21*'Transmission Formula Rate (7)'!$B$27,0)</f>
        <v>130</v>
      </c>
      <c r="M22" s="28">
        <f>ROUND(M21*'Transmission Formula Rate (7)'!$B$27,0)</f>
        <v>74</v>
      </c>
      <c r="N22" s="21">
        <f>SUM(B22:M22)</f>
        <v>1354</v>
      </c>
    </row>
    <row r="23" spans="1:16">
      <c r="A23" s="256" t="s">
        <v>296</v>
      </c>
      <c r="B23" s="28">
        <f>B21+B22</f>
        <v>4074</v>
      </c>
      <c r="C23" s="28">
        <f t="shared" ref="C23:M23" si="4">C21+C22</f>
        <v>7130</v>
      </c>
      <c r="D23" s="28">
        <f t="shared" si="4"/>
        <v>4074</v>
      </c>
      <c r="E23" s="28">
        <f t="shared" si="4"/>
        <v>3056</v>
      </c>
      <c r="F23" s="28">
        <f t="shared" si="4"/>
        <v>7130</v>
      </c>
      <c r="G23" s="28">
        <f t="shared" si="4"/>
        <v>7130</v>
      </c>
      <c r="H23" s="28">
        <f t="shared" si="4"/>
        <v>7130</v>
      </c>
      <c r="I23" s="28">
        <f t="shared" si="4"/>
        <v>8148</v>
      </c>
      <c r="J23" s="28">
        <f t="shared" si="4"/>
        <v>8148</v>
      </c>
      <c r="K23" s="28">
        <f t="shared" si="4"/>
        <v>7130</v>
      </c>
      <c r="L23" s="28">
        <f t="shared" si="4"/>
        <v>7130</v>
      </c>
      <c r="M23" s="28">
        <f t="shared" si="4"/>
        <v>4074</v>
      </c>
      <c r="N23" s="124">
        <f>SUM(B23:M23)</f>
        <v>74354</v>
      </c>
    </row>
    <row r="24" spans="1:16">
      <c r="A24" s="254" t="s">
        <v>149</v>
      </c>
      <c r="B24" s="32">
        <f>'charges (1 &amp; 2)'!E33</f>
        <v>1.274E-2</v>
      </c>
      <c r="C24" s="32">
        <f>B24</f>
        <v>1.274E-2</v>
      </c>
      <c r="D24" s="32">
        <f t="shared" ref="D24:M24" si="5">C24</f>
        <v>1.274E-2</v>
      </c>
      <c r="E24" s="32">
        <f t="shared" si="5"/>
        <v>1.274E-2</v>
      </c>
      <c r="F24" s="32">
        <f t="shared" si="5"/>
        <v>1.274E-2</v>
      </c>
      <c r="G24" s="32">
        <f t="shared" si="5"/>
        <v>1.274E-2</v>
      </c>
      <c r="H24" s="32">
        <f t="shared" si="5"/>
        <v>1.274E-2</v>
      </c>
      <c r="I24" s="32">
        <f t="shared" si="5"/>
        <v>1.274E-2</v>
      </c>
      <c r="J24" s="32">
        <f t="shared" si="5"/>
        <v>1.274E-2</v>
      </c>
      <c r="K24" s="32">
        <f t="shared" si="5"/>
        <v>1.274E-2</v>
      </c>
      <c r="L24" s="32">
        <f t="shared" si="5"/>
        <v>1.274E-2</v>
      </c>
      <c r="M24" s="32">
        <f t="shared" si="5"/>
        <v>1.274E-2</v>
      </c>
      <c r="N24" s="20"/>
    </row>
    <row r="25" spans="1:16">
      <c r="A25" s="254" t="s">
        <v>17</v>
      </c>
      <c r="B25" s="21">
        <f t="shared" ref="B25:M25" si="6">B23*B24</f>
        <v>51.902760000000001</v>
      </c>
      <c r="C25" s="21">
        <f t="shared" si="6"/>
        <v>90.836199999999991</v>
      </c>
      <c r="D25" s="21">
        <f t="shared" si="6"/>
        <v>51.902760000000001</v>
      </c>
      <c r="E25" s="21">
        <f t="shared" si="6"/>
        <v>38.933439999999997</v>
      </c>
      <c r="F25" s="21">
        <f t="shared" si="6"/>
        <v>90.836199999999991</v>
      </c>
      <c r="G25" s="21">
        <f t="shared" si="6"/>
        <v>90.836199999999991</v>
      </c>
      <c r="H25" s="21">
        <f t="shared" si="6"/>
        <v>90.836199999999991</v>
      </c>
      <c r="I25" s="21">
        <f t="shared" si="6"/>
        <v>103.80552</v>
      </c>
      <c r="J25" s="21">
        <f t="shared" si="6"/>
        <v>103.80552</v>
      </c>
      <c r="K25" s="21">
        <f t="shared" si="6"/>
        <v>90.836199999999991</v>
      </c>
      <c r="L25" s="21">
        <f t="shared" si="6"/>
        <v>90.836199999999991</v>
      </c>
      <c r="M25" s="21">
        <f t="shared" si="6"/>
        <v>51.902760000000001</v>
      </c>
      <c r="N25" s="21">
        <f>SUM(B25:M25)</f>
        <v>947.26995999999986</v>
      </c>
    </row>
    <row r="26" spans="1:16">
      <c r="A26" s="25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6">
      <c r="A27" s="257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6"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6">
      <c r="A29" s="255">
        <f>+A12+1</f>
        <v>2015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6">
      <c r="A30" s="254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6">
      <c r="A31" s="256" t="s">
        <v>296</v>
      </c>
      <c r="B31" s="239">
        <f>'Blountstown Forecast'!E11</f>
        <v>4000</v>
      </c>
      <c r="C31" s="239">
        <f>'Blountstown Forecast'!F11</f>
        <v>3000</v>
      </c>
      <c r="D31" s="239">
        <f>'Blountstown Forecast'!G11</f>
        <v>8000</v>
      </c>
      <c r="E31" s="239">
        <f>'Blountstown Forecast'!H11</f>
        <v>4000</v>
      </c>
      <c r="F31" s="239">
        <f>'Blountstown Forecast'!I11</f>
        <v>5000</v>
      </c>
      <c r="G31" s="239">
        <f>'Blountstown Forecast'!J11</f>
        <v>7000</v>
      </c>
      <c r="H31" s="239">
        <f>'Blountstown Forecast'!K11</f>
        <v>8000</v>
      </c>
      <c r="I31" s="239">
        <f>'Blountstown Forecast'!L11</f>
        <v>7000</v>
      </c>
      <c r="J31" s="239">
        <f>'Blountstown Forecast'!M11</f>
        <v>9000</v>
      </c>
      <c r="K31" s="239">
        <f>'Blountstown Forecast'!N11</f>
        <v>9000</v>
      </c>
      <c r="L31" s="239">
        <f>'Blountstown Forecast'!O11</f>
        <v>9000</v>
      </c>
      <c r="M31" s="239">
        <f>'Blountstown Forecast'!P11</f>
        <v>9000</v>
      </c>
      <c r="N31" s="21">
        <f>SUM(B31:M31)</f>
        <v>82000</v>
      </c>
      <c r="O31" s="279">
        <f>'Blountstown Forecast'!Q12</f>
        <v>108000</v>
      </c>
      <c r="P31" s="278">
        <f>N31-O31</f>
        <v>-26000</v>
      </c>
    </row>
    <row r="32" spans="1:16">
      <c r="A32" s="256" t="s">
        <v>45</v>
      </c>
      <c r="B32" s="28">
        <f>B31-B33</f>
        <v>72.655866470299316</v>
      </c>
      <c r="C32" s="28">
        <f t="shared" ref="C32:M32" si="7">C31-C33</f>
        <v>54.4918998527246</v>
      </c>
      <c r="D32" s="28">
        <f t="shared" si="7"/>
        <v>145.31173294059863</v>
      </c>
      <c r="E32" s="28">
        <f t="shared" si="7"/>
        <v>72.655866470299316</v>
      </c>
      <c r="F32" s="28">
        <f t="shared" si="7"/>
        <v>90.819833087874031</v>
      </c>
      <c r="G32" s="28">
        <f t="shared" si="7"/>
        <v>127.14776632302346</v>
      </c>
      <c r="H32" s="28">
        <f t="shared" si="7"/>
        <v>145.31173294059863</v>
      </c>
      <c r="I32" s="28">
        <f t="shared" si="7"/>
        <v>127.14776632302346</v>
      </c>
      <c r="J32" s="28">
        <f t="shared" si="7"/>
        <v>163.4756995581738</v>
      </c>
      <c r="K32" s="28">
        <f t="shared" si="7"/>
        <v>163.4756995581738</v>
      </c>
      <c r="L32" s="28">
        <f t="shared" si="7"/>
        <v>163.4756995581738</v>
      </c>
      <c r="M32" s="28">
        <f t="shared" si="7"/>
        <v>163.4756995581738</v>
      </c>
      <c r="N32" s="21">
        <f>SUM(B32:M32)</f>
        <v>1489.4452626411367</v>
      </c>
    </row>
    <row r="33" spans="1:16">
      <c r="A33" s="256" t="s">
        <v>47</v>
      </c>
      <c r="B33" s="28">
        <f>B31/(1+'Transmission Formula Rate (7)'!$B$27)</f>
        <v>3927.3441335297007</v>
      </c>
      <c r="C33" s="28">
        <f>C31/(1+'Transmission Formula Rate (7)'!$B$27)</f>
        <v>2945.5081001472754</v>
      </c>
      <c r="D33" s="28">
        <f>D31/(1+'Transmission Formula Rate (7)'!$B$27)</f>
        <v>7854.6882670594014</v>
      </c>
      <c r="E33" s="28">
        <f>E31/(1+'Transmission Formula Rate (7)'!$B$27)</f>
        <v>3927.3441335297007</v>
      </c>
      <c r="F33" s="28">
        <f>F31/(1+'Transmission Formula Rate (7)'!$B$27)</f>
        <v>4909.180166912126</v>
      </c>
      <c r="G33" s="28">
        <f>G31/(1+'Transmission Formula Rate (7)'!$B$27)</f>
        <v>6872.8522336769765</v>
      </c>
      <c r="H33" s="28">
        <f>H31/(1+'Transmission Formula Rate (7)'!$B$27)</f>
        <v>7854.6882670594014</v>
      </c>
      <c r="I33" s="28">
        <f>I31/(1+'Transmission Formula Rate (7)'!$B$27)</f>
        <v>6872.8522336769765</v>
      </c>
      <c r="J33" s="28">
        <f>J31/(1+'Transmission Formula Rate (7)'!$B$27)</f>
        <v>8836.5243004418262</v>
      </c>
      <c r="K33" s="28">
        <f>K31/(1+'Transmission Formula Rate (7)'!$B$27)</f>
        <v>8836.5243004418262</v>
      </c>
      <c r="L33" s="28">
        <f>L31/(1+'Transmission Formula Rate (7)'!$B$27)</f>
        <v>8836.5243004418262</v>
      </c>
      <c r="M33" s="28">
        <f>M31/(1+'Transmission Formula Rate (7)'!$B$27)</f>
        <v>8836.5243004418262</v>
      </c>
      <c r="N33" s="124">
        <f>SUM(B33:M33)</f>
        <v>80510.554737358863</v>
      </c>
    </row>
    <row r="34" spans="1:16">
      <c r="A34" s="254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  <c r="N34" s="20"/>
    </row>
    <row r="35" spans="1:16">
      <c r="A35" s="254" t="s">
        <v>17</v>
      </c>
      <c r="B35" s="21">
        <f>B31*B34</f>
        <v>6360</v>
      </c>
      <c r="C35" s="21">
        <f t="shared" ref="C35:M35" si="8">C31*C34</f>
        <v>4770</v>
      </c>
      <c r="D35" s="21">
        <f t="shared" si="8"/>
        <v>12720</v>
      </c>
      <c r="E35" s="21">
        <f t="shared" si="8"/>
        <v>6360</v>
      </c>
      <c r="F35" s="21">
        <f t="shared" si="8"/>
        <v>7950</v>
      </c>
      <c r="G35" s="21">
        <f t="shared" si="8"/>
        <v>11130</v>
      </c>
      <c r="H35" s="21">
        <f t="shared" si="8"/>
        <v>12720</v>
      </c>
      <c r="I35" s="21">
        <f t="shared" si="8"/>
        <v>11130</v>
      </c>
      <c r="J35" s="21">
        <f t="shared" si="8"/>
        <v>14310</v>
      </c>
      <c r="K35" s="21">
        <f t="shared" si="8"/>
        <v>14310</v>
      </c>
      <c r="L35" s="21">
        <f t="shared" si="8"/>
        <v>14310</v>
      </c>
      <c r="M35" s="21">
        <f t="shared" si="8"/>
        <v>14310</v>
      </c>
      <c r="N35" s="21">
        <f>SUM(B35:M35)</f>
        <v>130380</v>
      </c>
    </row>
    <row r="36" spans="1:16">
      <c r="A36" s="25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6">
      <c r="A37" s="254" t="s">
        <v>141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6">
      <c r="A38" s="256" t="s">
        <v>296</v>
      </c>
      <c r="B38" s="239">
        <f>B31</f>
        <v>4000</v>
      </c>
      <c r="C38" s="239">
        <f t="shared" ref="C38:M38" si="9">C31</f>
        <v>3000</v>
      </c>
      <c r="D38" s="239">
        <f t="shared" si="9"/>
        <v>8000</v>
      </c>
      <c r="E38" s="239">
        <f t="shared" si="9"/>
        <v>4000</v>
      </c>
      <c r="F38" s="239">
        <f t="shared" si="9"/>
        <v>5000</v>
      </c>
      <c r="G38" s="239">
        <f t="shared" si="9"/>
        <v>7000</v>
      </c>
      <c r="H38" s="239">
        <f t="shared" si="9"/>
        <v>8000</v>
      </c>
      <c r="I38" s="239">
        <f t="shared" si="9"/>
        <v>7000</v>
      </c>
      <c r="J38" s="239">
        <f t="shared" si="9"/>
        <v>9000</v>
      </c>
      <c r="K38" s="239">
        <f t="shared" si="9"/>
        <v>9000</v>
      </c>
      <c r="L38" s="239">
        <f t="shared" si="9"/>
        <v>9000</v>
      </c>
      <c r="M38" s="239">
        <f t="shared" si="9"/>
        <v>9000</v>
      </c>
      <c r="N38" s="21">
        <f>SUM(B38:M38)</f>
        <v>82000</v>
      </c>
    </row>
    <row r="39" spans="1:16">
      <c r="A39" s="256" t="s">
        <v>45</v>
      </c>
      <c r="B39" s="28">
        <f>B38-B40</f>
        <v>72.655866470299316</v>
      </c>
      <c r="C39" s="28">
        <f t="shared" ref="C39" si="10">C38-C40</f>
        <v>54.4918998527246</v>
      </c>
      <c r="D39" s="28">
        <f t="shared" ref="D39" si="11">D38-D40</f>
        <v>145.31173294059863</v>
      </c>
      <c r="E39" s="28">
        <f t="shared" ref="E39" si="12">E38-E40</f>
        <v>72.655866470299316</v>
      </c>
      <c r="F39" s="28">
        <f t="shared" ref="F39" si="13">F38-F40</f>
        <v>90.819833087874031</v>
      </c>
      <c r="G39" s="28">
        <f t="shared" ref="G39" si="14">G38-G40</f>
        <v>127.14776632302346</v>
      </c>
      <c r="H39" s="28">
        <f t="shared" ref="H39" si="15">H38-H40</f>
        <v>145.31173294059863</v>
      </c>
      <c r="I39" s="28">
        <f t="shared" ref="I39" si="16">I38-I40</f>
        <v>127.14776632302346</v>
      </c>
      <c r="J39" s="28">
        <f t="shared" ref="J39" si="17">J38-J40</f>
        <v>163.4756995581738</v>
      </c>
      <c r="K39" s="28">
        <f t="shared" ref="K39" si="18">K38-K40</f>
        <v>163.4756995581738</v>
      </c>
      <c r="L39" s="28">
        <f t="shared" ref="L39" si="19">L38-L40</f>
        <v>163.4756995581738</v>
      </c>
      <c r="M39" s="28">
        <f t="shared" ref="M39" si="20">M38-M40</f>
        <v>163.4756995581738</v>
      </c>
      <c r="N39" s="21">
        <f>SUM(B39:M39)</f>
        <v>1489.4452626411367</v>
      </c>
    </row>
    <row r="40" spans="1:16">
      <c r="A40" s="256" t="s">
        <v>47</v>
      </c>
      <c r="B40" s="28">
        <f>B38/(1+'Transmission Formula Rate (7)'!$B$27)</f>
        <v>3927.3441335297007</v>
      </c>
      <c r="C40" s="28">
        <f>C38/(1+'Transmission Formula Rate (7)'!$B$27)</f>
        <v>2945.5081001472754</v>
      </c>
      <c r="D40" s="28">
        <f>D38/(1+'Transmission Formula Rate (7)'!$B$27)</f>
        <v>7854.6882670594014</v>
      </c>
      <c r="E40" s="28">
        <f>E38/(1+'Transmission Formula Rate (7)'!$B$27)</f>
        <v>3927.3441335297007</v>
      </c>
      <c r="F40" s="28">
        <f>F38/(1+'Transmission Formula Rate (7)'!$B$27)</f>
        <v>4909.180166912126</v>
      </c>
      <c r="G40" s="28">
        <f>G38/(1+'Transmission Formula Rate (7)'!$B$27)</f>
        <v>6872.8522336769765</v>
      </c>
      <c r="H40" s="28">
        <f>H38/(1+'Transmission Formula Rate (7)'!$B$27)</f>
        <v>7854.6882670594014</v>
      </c>
      <c r="I40" s="28">
        <f>I38/(1+'Transmission Formula Rate (7)'!$B$27)</f>
        <v>6872.8522336769765</v>
      </c>
      <c r="J40" s="28">
        <f>J38/(1+'Transmission Formula Rate (7)'!$B$27)</f>
        <v>8836.5243004418262</v>
      </c>
      <c r="K40" s="28">
        <f>K38/(1+'Transmission Formula Rate (7)'!$B$27)</f>
        <v>8836.5243004418262</v>
      </c>
      <c r="L40" s="28">
        <f>L38/(1+'Transmission Formula Rate (7)'!$B$27)</f>
        <v>8836.5243004418262</v>
      </c>
      <c r="M40" s="28">
        <f>M38/(1+'Transmission Formula Rate (7)'!$B$27)</f>
        <v>8836.5243004418262</v>
      </c>
      <c r="N40" s="124">
        <f>SUM(B40:M40)</f>
        <v>80510.554737358863</v>
      </c>
    </row>
    <row r="41" spans="1:16">
      <c r="A41" s="254" t="s">
        <v>149</v>
      </c>
      <c r="B41" s="32">
        <f>'charges (1 &amp; 2)'!F33</f>
        <v>1.274E-2</v>
      </c>
      <c r="C41" s="32">
        <f>B41</f>
        <v>1.274E-2</v>
      </c>
      <c r="D41" s="32">
        <f t="shared" ref="D41:M41" si="21">C41</f>
        <v>1.274E-2</v>
      </c>
      <c r="E41" s="32">
        <f t="shared" si="21"/>
        <v>1.274E-2</v>
      </c>
      <c r="F41" s="32">
        <f t="shared" si="21"/>
        <v>1.274E-2</v>
      </c>
      <c r="G41" s="32">
        <f t="shared" si="21"/>
        <v>1.274E-2</v>
      </c>
      <c r="H41" s="32">
        <f t="shared" si="21"/>
        <v>1.274E-2</v>
      </c>
      <c r="I41" s="32">
        <f t="shared" si="21"/>
        <v>1.274E-2</v>
      </c>
      <c r="J41" s="32">
        <f t="shared" si="21"/>
        <v>1.274E-2</v>
      </c>
      <c r="K41" s="32">
        <f t="shared" si="21"/>
        <v>1.274E-2</v>
      </c>
      <c r="L41" s="32">
        <f t="shared" si="21"/>
        <v>1.274E-2</v>
      </c>
      <c r="M41" s="32">
        <f t="shared" si="21"/>
        <v>1.274E-2</v>
      </c>
      <c r="N41" s="20"/>
    </row>
    <row r="42" spans="1:16">
      <c r="A42" s="254" t="s">
        <v>17</v>
      </c>
      <c r="B42" s="21">
        <f>B38*B41</f>
        <v>50.96</v>
      </c>
      <c r="C42" s="21">
        <f t="shared" ref="C42" si="22">C38*C41</f>
        <v>38.22</v>
      </c>
      <c r="D42" s="21">
        <f t="shared" ref="D42" si="23">D38*D41</f>
        <v>101.92</v>
      </c>
      <c r="E42" s="21">
        <f t="shared" ref="E42" si="24">E38*E41</f>
        <v>50.96</v>
      </c>
      <c r="F42" s="21">
        <f t="shared" ref="F42" si="25">F38*F41</f>
        <v>63.699999999999996</v>
      </c>
      <c r="G42" s="21">
        <f t="shared" ref="G42" si="26">G38*G41</f>
        <v>89.179999999999993</v>
      </c>
      <c r="H42" s="21">
        <f t="shared" ref="H42" si="27">H38*H41</f>
        <v>101.92</v>
      </c>
      <c r="I42" s="21">
        <f t="shared" ref="I42" si="28">I38*I41</f>
        <v>89.179999999999993</v>
      </c>
      <c r="J42" s="21">
        <f t="shared" ref="J42" si="29">J38*J41</f>
        <v>114.66</v>
      </c>
      <c r="K42" s="21">
        <f t="shared" ref="K42" si="30">K38*K41</f>
        <v>114.66</v>
      </c>
      <c r="L42" s="21">
        <f t="shared" ref="L42" si="31">L38*L41</f>
        <v>114.66</v>
      </c>
      <c r="M42" s="21">
        <f t="shared" ref="M42" si="32">M38*M41</f>
        <v>114.66</v>
      </c>
      <c r="N42" s="21">
        <f>SUM(B42:M42)</f>
        <v>1044.68</v>
      </c>
    </row>
    <row r="43" spans="1:16">
      <c r="A43" s="25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6">
      <c r="A44" s="25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6"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</row>
    <row r="46" spans="1:16">
      <c r="A46" s="255">
        <f>+A29+1</f>
        <v>2016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>
      <c r="A47" s="254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6">
      <c r="A48" s="256" t="s">
        <v>296</v>
      </c>
      <c r="B48" s="239">
        <f>'Blountstown Forecast'!E12</f>
        <v>9000</v>
      </c>
      <c r="C48" s="239">
        <f>'Blountstown Forecast'!F12</f>
        <v>9000</v>
      </c>
      <c r="D48" s="239">
        <f>'Blountstown Forecast'!G12</f>
        <v>9000</v>
      </c>
      <c r="E48" s="239">
        <f>'Blountstown Forecast'!H12</f>
        <v>9000</v>
      </c>
      <c r="F48" s="239">
        <f>'Blountstown Forecast'!I12</f>
        <v>9000</v>
      </c>
      <c r="G48" s="239">
        <f>'Blountstown Forecast'!J12</f>
        <v>9000</v>
      </c>
      <c r="H48" s="239">
        <f>'Blountstown Forecast'!K12</f>
        <v>9000</v>
      </c>
      <c r="I48" s="239">
        <f>'Blountstown Forecast'!L12</f>
        <v>9000</v>
      </c>
      <c r="J48" s="239">
        <f>'Blountstown Forecast'!M12</f>
        <v>9000</v>
      </c>
      <c r="K48" s="239">
        <f>'Blountstown Forecast'!N12</f>
        <v>9000</v>
      </c>
      <c r="L48" s="239">
        <f>'Blountstown Forecast'!O12</f>
        <v>9000</v>
      </c>
      <c r="M48" s="239">
        <f>'Blountstown Forecast'!P12</f>
        <v>9000</v>
      </c>
      <c r="N48" s="21">
        <f>SUM(B48:M48)</f>
        <v>108000</v>
      </c>
      <c r="O48" s="279">
        <f>'Blountstown Forecast'!Q13</f>
        <v>9000</v>
      </c>
      <c r="P48" s="278">
        <f>N48-O48</f>
        <v>99000</v>
      </c>
    </row>
    <row r="49" spans="1:14">
      <c r="A49" s="256" t="s">
        <v>45</v>
      </c>
      <c r="B49" s="28">
        <f>B48-B50</f>
        <v>163.4756995581738</v>
      </c>
      <c r="C49" s="28">
        <f t="shared" ref="C49" si="33">C48-C50</f>
        <v>163.4756995581738</v>
      </c>
      <c r="D49" s="28">
        <f t="shared" ref="D49" si="34">D48-D50</f>
        <v>163.4756995581738</v>
      </c>
      <c r="E49" s="28">
        <f t="shared" ref="E49" si="35">E48-E50</f>
        <v>163.4756995581738</v>
      </c>
      <c r="F49" s="28">
        <f t="shared" ref="F49" si="36">F48-F50</f>
        <v>163.4756995581738</v>
      </c>
      <c r="G49" s="28">
        <f t="shared" ref="G49" si="37">G48-G50</f>
        <v>163.4756995581738</v>
      </c>
      <c r="H49" s="28">
        <f t="shared" ref="H49" si="38">H48-H50</f>
        <v>163.4756995581738</v>
      </c>
      <c r="I49" s="28">
        <f t="shared" ref="I49" si="39">I48-I50</f>
        <v>163.4756995581738</v>
      </c>
      <c r="J49" s="28">
        <f t="shared" ref="J49" si="40">J48-J50</f>
        <v>163.4756995581738</v>
      </c>
      <c r="K49" s="28">
        <f t="shared" ref="K49" si="41">K48-K50</f>
        <v>163.4756995581738</v>
      </c>
      <c r="L49" s="28">
        <f t="shared" ref="L49" si="42">L48-L50</f>
        <v>163.4756995581738</v>
      </c>
      <c r="M49" s="28">
        <f t="shared" ref="M49" si="43">M48-M50</f>
        <v>163.4756995581738</v>
      </c>
      <c r="N49" s="21">
        <f>SUM(B49:M49)</f>
        <v>1961.7083946980856</v>
      </c>
    </row>
    <row r="50" spans="1:14">
      <c r="A50" s="256" t="s">
        <v>47</v>
      </c>
      <c r="B50" s="28">
        <f>B48/(1+'Transmission Formula Rate (7)'!$B$27)</f>
        <v>8836.5243004418262</v>
      </c>
      <c r="C50" s="28">
        <f>C48/(1+'Transmission Formula Rate (7)'!$B$27)</f>
        <v>8836.5243004418262</v>
      </c>
      <c r="D50" s="28">
        <f>D48/(1+'Transmission Formula Rate (7)'!$B$27)</f>
        <v>8836.5243004418262</v>
      </c>
      <c r="E50" s="28">
        <f>E48/(1+'Transmission Formula Rate (7)'!$B$27)</f>
        <v>8836.5243004418262</v>
      </c>
      <c r="F50" s="28">
        <f>F48/(1+'Transmission Formula Rate (7)'!$B$27)</f>
        <v>8836.5243004418262</v>
      </c>
      <c r="G50" s="28">
        <f>G48/(1+'Transmission Formula Rate (7)'!$B$27)</f>
        <v>8836.5243004418262</v>
      </c>
      <c r="H50" s="28">
        <f>H48/(1+'Transmission Formula Rate (7)'!$B$27)</f>
        <v>8836.5243004418262</v>
      </c>
      <c r="I50" s="28">
        <f>I48/(1+'Transmission Formula Rate (7)'!$B$27)</f>
        <v>8836.5243004418262</v>
      </c>
      <c r="J50" s="28">
        <f>J48/(1+'Transmission Formula Rate (7)'!$B$27)</f>
        <v>8836.5243004418262</v>
      </c>
      <c r="K50" s="28">
        <f>K48/(1+'Transmission Formula Rate (7)'!$B$27)</f>
        <v>8836.5243004418262</v>
      </c>
      <c r="L50" s="28">
        <f>L48/(1+'Transmission Formula Rate (7)'!$B$27)</f>
        <v>8836.5243004418262</v>
      </c>
      <c r="M50" s="28">
        <f>M48/(1+'Transmission Formula Rate (7)'!$B$27)</f>
        <v>8836.5243004418262</v>
      </c>
      <c r="N50" s="124">
        <f>SUM(B50:M50)</f>
        <v>106038.29160530194</v>
      </c>
    </row>
    <row r="51" spans="1:14">
      <c r="A51" s="254" t="s">
        <v>20</v>
      </c>
      <c r="B51" s="30">
        <f>'Transmission Formula Rate (7)'!B12</f>
        <v>1.59</v>
      </c>
      <c r="C51" s="30">
        <f>'Transmission Formula Rate (7)'!C12</f>
        <v>1.59</v>
      </c>
      <c r="D51" s="30">
        <f>'Transmission Formula Rate (7)'!D12</f>
        <v>1.59</v>
      </c>
      <c r="E51" s="30">
        <f>'Transmission Formula Rate (7)'!E12</f>
        <v>1.59</v>
      </c>
      <c r="F51" s="30">
        <f>'Transmission Formula Rate (7)'!F12</f>
        <v>1.59</v>
      </c>
      <c r="G51" s="30">
        <f>'Transmission Formula Rate (7)'!G12</f>
        <v>1.59</v>
      </c>
      <c r="H51" s="30">
        <f>'Transmission Formula Rate (7)'!H12</f>
        <v>1.59</v>
      </c>
      <c r="I51" s="30">
        <f>'Transmission Formula Rate (7)'!I12</f>
        <v>1.59</v>
      </c>
      <c r="J51" s="30">
        <f>'Transmission Formula Rate (7)'!J12</f>
        <v>1.59</v>
      </c>
      <c r="K51" s="30">
        <f>'Transmission Formula Rate (7)'!K12</f>
        <v>1.59</v>
      </c>
      <c r="L51" s="30">
        <f>'Transmission Formula Rate (7)'!L12</f>
        <v>1.59</v>
      </c>
      <c r="M51" s="30">
        <f>'Transmission Formula Rate (7)'!M12</f>
        <v>1.59</v>
      </c>
      <c r="N51" s="20"/>
    </row>
    <row r="52" spans="1:14">
      <c r="A52" s="254" t="s">
        <v>17</v>
      </c>
      <c r="B52" s="21">
        <f>B48*B51</f>
        <v>14310</v>
      </c>
      <c r="C52" s="21">
        <f t="shared" ref="C52" si="44">C48*C51</f>
        <v>14310</v>
      </c>
      <c r="D52" s="21">
        <f t="shared" ref="D52" si="45">D48*D51</f>
        <v>14310</v>
      </c>
      <c r="E52" s="21">
        <f t="shared" ref="E52" si="46">E48*E51</f>
        <v>14310</v>
      </c>
      <c r="F52" s="21">
        <f t="shared" ref="F52" si="47">F48*F51</f>
        <v>14310</v>
      </c>
      <c r="G52" s="21">
        <f t="shared" ref="G52" si="48">G48*G51</f>
        <v>14310</v>
      </c>
      <c r="H52" s="21">
        <f t="shared" ref="H52" si="49">H48*H51</f>
        <v>14310</v>
      </c>
      <c r="I52" s="21">
        <f t="shared" ref="I52" si="50">I48*I51</f>
        <v>14310</v>
      </c>
      <c r="J52" s="21">
        <f t="shared" ref="J52" si="51">J48*J51</f>
        <v>14310</v>
      </c>
      <c r="K52" s="21">
        <f t="shared" ref="K52" si="52">K48*K51</f>
        <v>14310</v>
      </c>
      <c r="L52" s="21">
        <f t="shared" ref="L52" si="53">L48*L51</f>
        <v>14310</v>
      </c>
      <c r="M52" s="21">
        <f t="shared" ref="M52" si="54">M48*M51</f>
        <v>14310</v>
      </c>
      <c r="N52" s="21">
        <f>SUM(B52:M52)</f>
        <v>171720</v>
      </c>
    </row>
    <row r="54" spans="1:14">
      <c r="A54" s="254" t="s">
        <v>141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56" t="s">
        <v>296</v>
      </c>
      <c r="B55" s="239">
        <f>B48</f>
        <v>9000</v>
      </c>
      <c r="C55" s="239">
        <f t="shared" ref="C55:M55" si="55">C48</f>
        <v>9000</v>
      </c>
      <c r="D55" s="239">
        <f t="shared" si="55"/>
        <v>9000</v>
      </c>
      <c r="E55" s="239">
        <f t="shared" si="55"/>
        <v>9000</v>
      </c>
      <c r="F55" s="239">
        <f t="shared" si="55"/>
        <v>9000</v>
      </c>
      <c r="G55" s="239">
        <f t="shared" si="55"/>
        <v>9000</v>
      </c>
      <c r="H55" s="239">
        <f t="shared" si="55"/>
        <v>9000</v>
      </c>
      <c r="I55" s="239">
        <f t="shared" si="55"/>
        <v>9000</v>
      </c>
      <c r="J55" s="239">
        <f t="shared" si="55"/>
        <v>9000</v>
      </c>
      <c r="K55" s="239">
        <f t="shared" si="55"/>
        <v>9000</v>
      </c>
      <c r="L55" s="239">
        <f t="shared" si="55"/>
        <v>9000</v>
      </c>
      <c r="M55" s="239">
        <f t="shared" si="55"/>
        <v>9000</v>
      </c>
      <c r="N55" s="21">
        <f>SUM(B55:M55)</f>
        <v>108000</v>
      </c>
    </row>
    <row r="56" spans="1:14">
      <c r="A56" s="256" t="s">
        <v>45</v>
      </c>
      <c r="B56" s="28">
        <f>B55-B57</f>
        <v>163.4756995581738</v>
      </c>
      <c r="C56" s="28">
        <f t="shared" ref="C56" si="56">C55-C57</f>
        <v>163.4756995581738</v>
      </c>
      <c r="D56" s="28">
        <f t="shared" ref="D56" si="57">D55-D57</f>
        <v>163.4756995581738</v>
      </c>
      <c r="E56" s="28">
        <f t="shared" ref="E56" si="58">E55-E57</f>
        <v>163.4756995581738</v>
      </c>
      <c r="F56" s="28">
        <f t="shared" ref="F56" si="59">F55-F57</f>
        <v>163.4756995581738</v>
      </c>
      <c r="G56" s="28">
        <f t="shared" ref="G56" si="60">G55-G57</f>
        <v>163.4756995581738</v>
      </c>
      <c r="H56" s="28">
        <f t="shared" ref="H56" si="61">H55-H57</f>
        <v>163.4756995581738</v>
      </c>
      <c r="I56" s="28">
        <f t="shared" ref="I56" si="62">I55-I57</f>
        <v>163.4756995581738</v>
      </c>
      <c r="J56" s="28">
        <f t="shared" ref="J56" si="63">J55-J57</f>
        <v>163.4756995581738</v>
      </c>
      <c r="K56" s="28">
        <f t="shared" ref="K56" si="64">K55-K57</f>
        <v>163.4756995581738</v>
      </c>
      <c r="L56" s="28">
        <f t="shared" ref="L56" si="65">L55-L57</f>
        <v>163.4756995581738</v>
      </c>
      <c r="M56" s="28">
        <f t="shared" ref="M56" si="66">M55-M57</f>
        <v>163.4756995581738</v>
      </c>
      <c r="N56" s="21">
        <f>SUM(B56:M56)</f>
        <v>1961.7083946980856</v>
      </c>
    </row>
    <row r="57" spans="1:14">
      <c r="A57" s="256" t="s">
        <v>47</v>
      </c>
      <c r="B57" s="28">
        <f>B55/(1+'Transmission Formula Rate (7)'!$B$27)</f>
        <v>8836.5243004418262</v>
      </c>
      <c r="C57" s="28">
        <f>C55/(1+'Transmission Formula Rate (7)'!$B$27)</f>
        <v>8836.5243004418262</v>
      </c>
      <c r="D57" s="28">
        <f>D55/(1+'Transmission Formula Rate (7)'!$B$27)</f>
        <v>8836.5243004418262</v>
      </c>
      <c r="E57" s="28">
        <f>E55/(1+'Transmission Formula Rate (7)'!$B$27)</f>
        <v>8836.5243004418262</v>
      </c>
      <c r="F57" s="28">
        <f>F55/(1+'Transmission Formula Rate (7)'!$B$27)</f>
        <v>8836.5243004418262</v>
      </c>
      <c r="G57" s="28">
        <f>G55/(1+'Transmission Formula Rate (7)'!$B$27)</f>
        <v>8836.5243004418262</v>
      </c>
      <c r="H57" s="28">
        <f>H55/(1+'Transmission Formula Rate (7)'!$B$27)</f>
        <v>8836.5243004418262</v>
      </c>
      <c r="I57" s="28">
        <f>I55/(1+'Transmission Formula Rate (7)'!$B$27)</f>
        <v>8836.5243004418262</v>
      </c>
      <c r="J57" s="28">
        <f>J55/(1+'Transmission Formula Rate (7)'!$B$27)</f>
        <v>8836.5243004418262</v>
      </c>
      <c r="K57" s="28">
        <f>K55/(1+'Transmission Formula Rate (7)'!$B$27)</f>
        <v>8836.5243004418262</v>
      </c>
      <c r="L57" s="28">
        <f>L55/(1+'Transmission Formula Rate (7)'!$B$27)</f>
        <v>8836.5243004418262</v>
      </c>
      <c r="M57" s="28">
        <f>M55/(1+'Transmission Formula Rate (7)'!$B$27)</f>
        <v>8836.5243004418262</v>
      </c>
      <c r="N57" s="124">
        <f>SUM(B57:M57)</f>
        <v>106038.29160530194</v>
      </c>
    </row>
    <row r="58" spans="1:14">
      <c r="A58" s="254" t="s">
        <v>149</v>
      </c>
      <c r="B58" s="32">
        <f>'charges (1 &amp; 2)'!G33</f>
        <v>1.274E-2</v>
      </c>
      <c r="C58" s="32">
        <f>B58</f>
        <v>1.274E-2</v>
      </c>
      <c r="D58" s="32">
        <f t="shared" ref="D58:M58" si="67">C58</f>
        <v>1.274E-2</v>
      </c>
      <c r="E58" s="32">
        <f t="shared" si="67"/>
        <v>1.274E-2</v>
      </c>
      <c r="F58" s="32">
        <f t="shared" si="67"/>
        <v>1.274E-2</v>
      </c>
      <c r="G58" s="32">
        <f t="shared" si="67"/>
        <v>1.274E-2</v>
      </c>
      <c r="H58" s="32">
        <f t="shared" si="67"/>
        <v>1.274E-2</v>
      </c>
      <c r="I58" s="32">
        <f t="shared" si="67"/>
        <v>1.274E-2</v>
      </c>
      <c r="J58" s="32">
        <f t="shared" si="67"/>
        <v>1.274E-2</v>
      </c>
      <c r="K58" s="32">
        <f t="shared" si="67"/>
        <v>1.274E-2</v>
      </c>
      <c r="L58" s="32">
        <f t="shared" si="67"/>
        <v>1.274E-2</v>
      </c>
      <c r="M58" s="32">
        <f t="shared" si="67"/>
        <v>1.274E-2</v>
      </c>
      <c r="N58" s="20"/>
    </row>
    <row r="59" spans="1:14">
      <c r="A59" s="254" t="s">
        <v>17</v>
      </c>
      <c r="B59" s="21">
        <f>B55*B58</f>
        <v>114.66</v>
      </c>
      <c r="C59" s="21">
        <f t="shared" ref="C59" si="68">C55*C58</f>
        <v>114.66</v>
      </c>
      <c r="D59" s="21">
        <f t="shared" ref="D59" si="69">D55*D58</f>
        <v>114.66</v>
      </c>
      <c r="E59" s="21">
        <f t="shared" ref="E59" si="70">E55*E58</f>
        <v>114.66</v>
      </c>
      <c r="F59" s="21">
        <f t="shared" ref="F59" si="71">F55*F58</f>
        <v>114.66</v>
      </c>
      <c r="G59" s="21">
        <f t="shared" ref="G59" si="72">G55*G58</f>
        <v>114.66</v>
      </c>
      <c r="H59" s="21">
        <f t="shared" ref="H59" si="73">H55*H58</f>
        <v>114.66</v>
      </c>
      <c r="I59" s="21">
        <f t="shared" ref="I59" si="74">I55*I58</f>
        <v>114.66</v>
      </c>
      <c r="J59" s="21">
        <f t="shared" ref="J59" si="75">J55*J58</f>
        <v>114.66</v>
      </c>
      <c r="K59" s="21">
        <f t="shared" ref="K59" si="76">K55*K58</f>
        <v>114.66</v>
      </c>
      <c r="L59" s="21">
        <f t="shared" ref="L59" si="77">L55*L58</f>
        <v>114.66</v>
      </c>
      <c r="M59" s="21">
        <f t="shared" ref="M59" si="78">M55*M58</f>
        <v>114.66</v>
      </c>
      <c r="N59" s="21">
        <f>SUM(B59:M59)</f>
        <v>1375.92</v>
      </c>
    </row>
    <row r="62" spans="1:14"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</row>
    <row r="63" spans="1:14">
      <c r="A63" s="255">
        <f>+A46+1</f>
        <v>2017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>
      <c r="A64" s="254" t="s">
        <v>37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7">
      <c r="A65" s="256" t="s">
        <v>296</v>
      </c>
      <c r="B65" s="239">
        <f>'Blountstown Forecast'!E13</f>
        <v>9000</v>
      </c>
      <c r="C65" s="239">
        <f>'Blountstown Forecast'!F13</f>
        <v>0</v>
      </c>
      <c r="D65" s="239">
        <f>'Blountstown Forecast'!G13</f>
        <v>0</v>
      </c>
      <c r="E65" s="239">
        <f>'Blountstown Forecast'!H13</f>
        <v>0</v>
      </c>
      <c r="F65" s="239">
        <f>'Blountstown Forecast'!I13</f>
        <v>0</v>
      </c>
      <c r="G65" s="239">
        <f>'Blountstown Forecast'!J13</f>
        <v>0</v>
      </c>
      <c r="H65" s="239">
        <f>'Blountstown Forecast'!K13</f>
        <v>0</v>
      </c>
      <c r="I65" s="239">
        <f>'Blountstown Forecast'!L13</f>
        <v>0</v>
      </c>
      <c r="J65" s="239">
        <f>'Blountstown Forecast'!M13</f>
        <v>0</v>
      </c>
      <c r="K65" s="239">
        <f>'Blountstown Forecast'!N13</f>
        <v>0</v>
      </c>
      <c r="L65" s="239">
        <f>'Blountstown Forecast'!O13</f>
        <v>0</v>
      </c>
      <c r="M65" s="239">
        <f>'Blountstown Forecast'!P13</f>
        <v>0</v>
      </c>
      <c r="N65" s="21">
        <f>SUM(B65:M65)</f>
        <v>9000</v>
      </c>
      <c r="O65" s="279">
        <f>'Blountstown Forecast'!Q14</f>
        <v>0</v>
      </c>
      <c r="P65" s="278">
        <f>N65-O65</f>
        <v>9000</v>
      </c>
    </row>
    <row r="66" spans="1:17">
      <c r="A66" s="256" t="s">
        <v>45</v>
      </c>
      <c r="B66" s="28">
        <f>B65-B67</f>
        <v>163.4756995581738</v>
      </c>
      <c r="C66" s="28">
        <f t="shared" ref="C66" si="79">C65-C67</f>
        <v>0</v>
      </c>
      <c r="D66" s="28">
        <f t="shared" ref="D66" si="80">D65-D67</f>
        <v>0</v>
      </c>
      <c r="E66" s="28">
        <f t="shared" ref="E66" si="81">E65-E67</f>
        <v>0</v>
      </c>
      <c r="F66" s="28">
        <f t="shared" ref="F66" si="82">F65-F67</f>
        <v>0</v>
      </c>
      <c r="G66" s="28">
        <f t="shared" ref="G66" si="83">G65-G67</f>
        <v>0</v>
      </c>
      <c r="H66" s="28">
        <f t="shared" ref="H66" si="84">H65-H67</f>
        <v>0</v>
      </c>
      <c r="I66" s="28">
        <f t="shared" ref="I66" si="85">I65-I67</f>
        <v>0</v>
      </c>
      <c r="J66" s="28">
        <f t="shared" ref="J66" si="86">J65-J67</f>
        <v>0</v>
      </c>
      <c r="K66" s="28">
        <f t="shared" ref="K66" si="87">K65-K67</f>
        <v>0</v>
      </c>
      <c r="L66" s="28">
        <f t="shared" ref="L66" si="88">L65-L67</f>
        <v>0</v>
      </c>
      <c r="M66" s="28">
        <f t="shared" ref="M66" si="89">M65-M67</f>
        <v>0</v>
      </c>
      <c r="N66" s="21">
        <f>SUM(B66:M66)</f>
        <v>163.4756995581738</v>
      </c>
    </row>
    <row r="67" spans="1:17">
      <c r="A67" s="256" t="s">
        <v>47</v>
      </c>
      <c r="B67" s="28">
        <f>B65/(1+'Transmission Formula Rate (7)'!$B$27)</f>
        <v>8836.5243004418262</v>
      </c>
      <c r="C67" s="28">
        <f>C65/(1+'Transmission Formula Rate (7)'!$B$27)</f>
        <v>0</v>
      </c>
      <c r="D67" s="28">
        <f>D65/(1+'Transmission Formula Rate (7)'!$B$27)</f>
        <v>0</v>
      </c>
      <c r="E67" s="28">
        <f>E65/(1+'Transmission Formula Rate (7)'!$B$27)</f>
        <v>0</v>
      </c>
      <c r="F67" s="28">
        <f>F65/(1+'Transmission Formula Rate (7)'!$B$27)</f>
        <v>0</v>
      </c>
      <c r="G67" s="28">
        <f>G65/(1+'Transmission Formula Rate (7)'!$B$27)</f>
        <v>0</v>
      </c>
      <c r="H67" s="28">
        <f>H65/(1+'Transmission Formula Rate (7)'!$B$27)</f>
        <v>0</v>
      </c>
      <c r="I67" s="28">
        <f>I65/(1+'Transmission Formula Rate (7)'!$B$27)</f>
        <v>0</v>
      </c>
      <c r="J67" s="28">
        <f>J65/(1+'Transmission Formula Rate (7)'!$B$27)</f>
        <v>0</v>
      </c>
      <c r="K67" s="28">
        <f>K65/(1+'Transmission Formula Rate (7)'!$B$27)</f>
        <v>0</v>
      </c>
      <c r="L67" s="28">
        <f>L65/(1+'Transmission Formula Rate (7)'!$B$27)</f>
        <v>0</v>
      </c>
      <c r="M67" s="28">
        <f>M65/(1+'Transmission Formula Rate (7)'!$B$27)</f>
        <v>0</v>
      </c>
      <c r="N67" s="124">
        <f>SUM(B67:M67)</f>
        <v>8836.5243004418262</v>
      </c>
    </row>
    <row r="68" spans="1:17">
      <c r="A68" s="254" t="s">
        <v>20</v>
      </c>
      <c r="B68" s="30">
        <f>'Transmission Formula Rate (7)'!B14</f>
        <v>1.59</v>
      </c>
      <c r="C68" s="30">
        <f>'Transmission Formula Rate (7)'!C14</f>
        <v>1.59</v>
      </c>
      <c r="D68" s="30">
        <f>'Transmission Formula Rate (7)'!D14</f>
        <v>1.59</v>
      </c>
      <c r="E68" s="30">
        <f>'Transmission Formula Rate (7)'!E14</f>
        <v>1.59</v>
      </c>
      <c r="F68" s="30">
        <f>'Transmission Formula Rate (7)'!F14</f>
        <v>1.59</v>
      </c>
      <c r="G68" s="30">
        <f>'Transmission Formula Rate (7)'!G14</f>
        <v>1.59</v>
      </c>
      <c r="H68" s="30">
        <f>'Transmission Formula Rate (7)'!H14</f>
        <v>1.59</v>
      </c>
      <c r="I68" s="30">
        <f>'Transmission Formula Rate (7)'!I14</f>
        <v>1.59</v>
      </c>
      <c r="J68" s="30">
        <f>'Transmission Formula Rate (7)'!J14</f>
        <v>1.59</v>
      </c>
      <c r="K68" s="30">
        <f>'Transmission Formula Rate (7)'!K14</f>
        <v>1.59</v>
      </c>
      <c r="L68" s="30">
        <f>'Transmission Formula Rate (7)'!L14</f>
        <v>1.59</v>
      </c>
      <c r="M68" s="30">
        <f>'Transmission Formula Rate (7)'!M14</f>
        <v>1.59</v>
      </c>
      <c r="N68" s="20"/>
      <c r="Q68" s="277"/>
    </row>
    <row r="69" spans="1:17">
      <c r="A69" s="254" t="s">
        <v>17</v>
      </c>
      <c r="B69" s="21">
        <f>B65*B68</f>
        <v>14310</v>
      </c>
      <c r="C69" s="21">
        <f t="shared" ref="C69" si="90">C65*C68</f>
        <v>0</v>
      </c>
      <c r="D69" s="21">
        <f t="shared" ref="D69" si="91">D65*D68</f>
        <v>0</v>
      </c>
      <c r="E69" s="21">
        <f t="shared" ref="E69" si="92">E65*E68</f>
        <v>0</v>
      </c>
      <c r="F69" s="21">
        <f t="shared" ref="F69" si="93">F65*F68</f>
        <v>0</v>
      </c>
      <c r="G69" s="21">
        <f t="shared" ref="G69" si="94">G65*G68</f>
        <v>0</v>
      </c>
      <c r="H69" s="21">
        <f t="shared" ref="H69" si="95">H65*H68</f>
        <v>0</v>
      </c>
      <c r="I69" s="21">
        <f t="shared" ref="I69" si="96">I65*I68</f>
        <v>0</v>
      </c>
      <c r="J69" s="21">
        <f t="shared" ref="J69" si="97">J65*J68</f>
        <v>0</v>
      </c>
      <c r="K69" s="21">
        <f t="shared" ref="K69" si="98">K65*K68</f>
        <v>0</v>
      </c>
      <c r="L69" s="21">
        <f t="shared" ref="L69" si="99">L65*L68</f>
        <v>0</v>
      </c>
      <c r="M69" s="21">
        <f t="shared" ref="M69" si="100">M65*M68</f>
        <v>0</v>
      </c>
      <c r="N69" s="21">
        <f>SUM(B69:M69)</f>
        <v>14310</v>
      </c>
    </row>
    <row r="71" spans="1:17">
      <c r="A71" s="254" t="s">
        <v>141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7">
      <c r="A72" s="256" t="s">
        <v>296</v>
      </c>
      <c r="B72" s="239">
        <f>B65</f>
        <v>9000</v>
      </c>
      <c r="C72" s="239">
        <f t="shared" ref="C72:M72" si="101">C65</f>
        <v>0</v>
      </c>
      <c r="D72" s="239">
        <f t="shared" si="101"/>
        <v>0</v>
      </c>
      <c r="E72" s="239">
        <f t="shared" si="101"/>
        <v>0</v>
      </c>
      <c r="F72" s="239">
        <f t="shared" si="101"/>
        <v>0</v>
      </c>
      <c r="G72" s="239">
        <f t="shared" si="101"/>
        <v>0</v>
      </c>
      <c r="H72" s="239">
        <f t="shared" si="101"/>
        <v>0</v>
      </c>
      <c r="I72" s="239">
        <f t="shared" si="101"/>
        <v>0</v>
      </c>
      <c r="J72" s="239">
        <f t="shared" si="101"/>
        <v>0</v>
      </c>
      <c r="K72" s="239">
        <f t="shared" si="101"/>
        <v>0</v>
      </c>
      <c r="L72" s="239">
        <f t="shared" si="101"/>
        <v>0</v>
      </c>
      <c r="M72" s="239">
        <f t="shared" si="101"/>
        <v>0</v>
      </c>
      <c r="N72" s="21">
        <f>SUM(B72:M72)</f>
        <v>9000</v>
      </c>
    </row>
    <row r="73" spans="1:17">
      <c r="A73" s="256" t="s">
        <v>45</v>
      </c>
      <c r="B73" s="28">
        <f>B72-B74</f>
        <v>163.4756995581738</v>
      </c>
      <c r="C73" s="28">
        <f t="shared" ref="C73" si="102">C72-C74</f>
        <v>0</v>
      </c>
      <c r="D73" s="28">
        <f t="shared" ref="D73" si="103">D72-D74</f>
        <v>0</v>
      </c>
      <c r="E73" s="28">
        <f t="shared" ref="E73" si="104">E72-E74</f>
        <v>0</v>
      </c>
      <c r="F73" s="28">
        <f t="shared" ref="F73" si="105">F72-F74</f>
        <v>0</v>
      </c>
      <c r="G73" s="28">
        <f t="shared" ref="G73" si="106">G72-G74</f>
        <v>0</v>
      </c>
      <c r="H73" s="28">
        <f t="shared" ref="H73" si="107">H72-H74</f>
        <v>0</v>
      </c>
      <c r="I73" s="28">
        <f t="shared" ref="I73" si="108">I72-I74</f>
        <v>0</v>
      </c>
      <c r="J73" s="28">
        <f t="shared" ref="J73" si="109">J72-J74</f>
        <v>0</v>
      </c>
      <c r="K73" s="28">
        <f t="shared" ref="K73" si="110">K72-K74</f>
        <v>0</v>
      </c>
      <c r="L73" s="28">
        <f t="shared" ref="L73" si="111">L72-L74</f>
        <v>0</v>
      </c>
      <c r="M73" s="28">
        <f t="shared" ref="M73" si="112">M72-M74</f>
        <v>0</v>
      </c>
      <c r="N73" s="21">
        <f>SUM(B73:M73)</f>
        <v>163.4756995581738</v>
      </c>
    </row>
    <row r="74" spans="1:17">
      <c r="A74" s="256" t="s">
        <v>47</v>
      </c>
      <c r="B74" s="28">
        <f>B72/(1+'Transmission Formula Rate (7)'!$B$27)</f>
        <v>8836.5243004418262</v>
      </c>
      <c r="C74" s="28">
        <f>C72/(1+'Transmission Formula Rate (7)'!$B$27)</f>
        <v>0</v>
      </c>
      <c r="D74" s="28">
        <f>D72/(1+'Transmission Formula Rate (7)'!$B$27)</f>
        <v>0</v>
      </c>
      <c r="E74" s="28">
        <f>E72/(1+'Transmission Formula Rate (7)'!$B$27)</f>
        <v>0</v>
      </c>
      <c r="F74" s="28">
        <f>F72/(1+'Transmission Formula Rate (7)'!$B$27)</f>
        <v>0</v>
      </c>
      <c r="G74" s="28">
        <f>G72/(1+'Transmission Formula Rate (7)'!$B$27)</f>
        <v>0</v>
      </c>
      <c r="H74" s="28">
        <f>H72/(1+'Transmission Formula Rate (7)'!$B$27)</f>
        <v>0</v>
      </c>
      <c r="I74" s="28">
        <f>I72/(1+'Transmission Formula Rate (7)'!$B$27)</f>
        <v>0</v>
      </c>
      <c r="J74" s="28">
        <f>J72/(1+'Transmission Formula Rate (7)'!$B$27)</f>
        <v>0</v>
      </c>
      <c r="K74" s="28">
        <f>K72/(1+'Transmission Formula Rate (7)'!$B$27)</f>
        <v>0</v>
      </c>
      <c r="L74" s="28">
        <f>L72/(1+'Transmission Formula Rate (7)'!$B$27)</f>
        <v>0</v>
      </c>
      <c r="M74" s="28">
        <f>M72/(1+'Transmission Formula Rate (7)'!$B$27)</f>
        <v>0</v>
      </c>
      <c r="N74" s="124">
        <f>SUM(B74:M74)</f>
        <v>8836.5243004418262</v>
      </c>
    </row>
    <row r="75" spans="1:17">
      <c r="A75" s="254" t="s">
        <v>149</v>
      </c>
      <c r="B75" s="32">
        <f>'charges (1 &amp; 2)'!H33</f>
        <v>1.274E-2</v>
      </c>
      <c r="C75" s="32">
        <f>B75</f>
        <v>1.274E-2</v>
      </c>
      <c r="D75" s="32">
        <f t="shared" ref="D75:M75" si="113">C75</f>
        <v>1.274E-2</v>
      </c>
      <c r="E75" s="32">
        <f t="shared" si="113"/>
        <v>1.274E-2</v>
      </c>
      <c r="F75" s="32">
        <f t="shared" si="113"/>
        <v>1.274E-2</v>
      </c>
      <c r="G75" s="32">
        <f t="shared" si="113"/>
        <v>1.274E-2</v>
      </c>
      <c r="H75" s="32">
        <f t="shared" si="113"/>
        <v>1.274E-2</v>
      </c>
      <c r="I75" s="32">
        <f t="shared" si="113"/>
        <v>1.274E-2</v>
      </c>
      <c r="J75" s="32">
        <f t="shared" si="113"/>
        <v>1.274E-2</v>
      </c>
      <c r="K75" s="32">
        <f t="shared" si="113"/>
        <v>1.274E-2</v>
      </c>
      <c r="L75" s="32">
        <f t="shared" si="113"/>
        <v>1.274E-2</v>
      </c>
      <c r="M75" s="32">
        <f t="shared" si="113"/>
        <v>1.274E-2</v>
      </c>
      <c r="N75" s="20"/>
    </row>
    <row r="76" spans="1:17">
      <c r="A76" s="254" t="s">
        <v>17</v>
      </c>
      <c r="B76" s="21">
        <f>B72*B75</f>
        <v>114.66</v>
      </c>
      <c r="C76" s="21">
        <f t="shared" ref="C76" si="114">C72*C75</f>
        <v>0</v>
      </c>
      <c r="D76" s="21">
        <f t="shared" ref="D76" si="115">D72*D75</f>
        <v>0</v>
      </c>
      <c r="E76" s="21">
        <f t="shared" ref="E76" si="116">E72*E75</f>
        <v>0</v>
      </c>
      <c r="F76" s="21">
        <f t="shared" ref="F76" si="117">F72*F75</f>
        <v>0</v>
      </c>
      <c r="G76" s="21">
        <f t="shared" ref="G76" si="118">G72*G75</f>
        <v>0</v>
      </c>
      <c r="H76" s="21">
        <f t="shared" ref="H76" si="119">H72*H75</f>
        <v>0</v>
      </c>
      <c r="I76" s="21">
        <f t="shared" ref="I76" si="120">I72*I75</f>
        <v>0</v>
      </c>
      <c r="J76" s="21">
        <f t="shared" ref="J76" si="121">J72*J75</f>
        <v>0</v>
      </c>
      <c r="K76" s="21">
        <f t="shared" ref="K76" si="122">K72*K75</f>
        <v>0</v>
      </c>
      <c r="L76" s="21">
        <f t="shared" ref="L76" si="123">L72*L75</f>
        <v>0</v>
      </c>
      <c r="M76" s="21">
        <f t="shared" ref="M76" si="124">M72*M75</f>
        <v>0</v>
      </c>
      <c r="N76" s="21">
        <f>SUM(B76:M76)</f>
        <v>114.66</v>
      </c>
    </row>
    <row r="78" spans="1:17">
      <c r="B78" s="24" t="s">
        <v>0</v>
      </c>
      <c r="C78" s="24" t="s">
        <v>1</v>
      </c>
      <c r="D78" s="24" t="s">
        <v>2</v>
      </c>
      <c r="E78" s="24" t="s">
        <v>3</v>
      </c>
      <c r="F78" s="24" t="s">
        <v>4</v>
      </c>
      <c r="G78" s="24" t="s">
        <v>5</v>
      </c>
      <c r="H78" s="24" t="s">
        <v>6</v>
      </c>
      <c r="I78" s="24" t="s">
        <v>7</v>
      </c>
      <c r="J78" s="24" t="s">
        <v>8</v>
      </c>
      <c r="K78" s="24" t="s">
        <v>9</v>
      </c>
      <c r="L78" s="24" t="s">
        <v>10</v>
      </c>
      <c r="M78" s="24" t="s">
        <v>11</v>
      </c>
      <c r="N78" s="24" t="s">
        <v>12</v>
      </c>
    </row>
    <row r="79" spans="1:17">
      <c r="A79" s="255">
        <f>A63+1</f>
        <v>2018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1:17">
      <c r="A80" s="254" t="s">
        <v>37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7">
      <c r="A81" s="256" t="s">
        <v>296</v>
      </c>
      <c r="B81" s="239">
        <f>'Blountstown Forecast'!E14</f>
        <v>0</v>
      </c>
      <c r="C81" s="239">
        <f>'Blountstown Forecast'!F14</f>
        <v>0</v>
      </c>
      <c r="D81" s="239">
        <f>'Blountstown Forecast'!G14</f>
        <v>0</v>
      </c>
      <c r="E81" s="239">
        <f>'Blountstown Forecast'!H14</f>
        <v>0</v>
      </c>
      <c r="F81" s="239">
        <f>'Blountstown Forecast'!I14</f>
        <v>0</v>
      </c>
      <c r="G81" s="239">
        <f>'Blountstown Forecast'!J14</f>
        <v>0</v>
      </c>
      <c r="H81" s="239">
        <f>'Blountstown Forecast'!K14</f>
        <v>0</v>
      </c>
      <c r="I81" s="239">
        <f>'Blountstown Forecast'!L14</f>
        <v>0</v>
      </c>
      <c r="J81" s="239">
        <f>'Blountstown Forecast'!M14</f>
        <v>0</v>
      </c>
      <c r="K81" s="239">
        <f>'Blountstown Forecast'!N14</f>
        <v>0</v>
      </c>
      <c r="L81" s="239">
        <f>'Blountstown Forecast'!O14</f>
        <v>0</v>
      </c>
      <c r="M81" s="239">
        <f>'Blountstown Forecast'!P14</f>
        <v>0</v>
      </c>
      <c r="N81" s="21">
        <f>SUM(B81:M81)</f>
        <v>0</v>
      </c>
      <c r="O81" s="279">
        <f>'Blountstown Forecast'!Q30</f>
        <v>0</v>
      </c>
      <c r="P81" s="278">
        <f>N81-O81</f>
        <v>0</v>
      </c>
    </row>
    <row r="82" spans="1:17">
      <c r="A82" s="256" t="s">
        <v>45</v>
      </c>
      <c r="B82" s="28">
        <f>ROUND(B81*'Transmission Formula Rate (7)'!$B$27,0)</f>
        <v>0</v>
      </c>
      <c r="C82" s="28">
        <f>ROUND(C81*'Transmission Formula Rate (7)'!$B$27,0)</f>
        <v>0</v>
      </c>
      <c r="D82" s="28">
        <f>ROUND(D81*'Transmission Formula Rate (7)'!$B$27,0)</f>
        <v>0</v>
      </c>
      <c r="E82" s="28">
        <f>ROUND(E81*'Transmission Formula Rate (7)'!$B$27,0)</f>
        <v>0</v>
      </c>
      <c r="F82" s="28">
        <f>ROUND(F81*'Transmission Formula Rate (7)'!$B$27,0)</f>
        <v>0</v>
      </c>
      <c r="G82" s="28">
        <f>ROUND(G81*'Transmission Formula Rate (7)'!$B$27,0)</f>
        <v>0</v>
      </c>
      <c r="H82" s="28">
        <f>ROUND(H81*'Transmission Formula Rate (7)'!$B$27,0)</f>
        <v>0</v>
      </c>
      <c r="I82" s="28">
        <f>ROUND(I81*'Transmission Formula Rate (7)'!$B$27,0)</f>
        <v>0</v>
      </c>
      <c r="J82" s="28">
        <f>ROUND(J81*'Transmission Formula Rate (7)'!$B$27,0)</f>
        <v>0</v>
      </c>
      <c r="K82" s="28">
        <f>ROUND(K81*'Transmission Formula Rate (7)'!$B$27,0)</f>
        <v>0</v>
      </c>
      <c r="L82" s="28">
        <f>ROUND(L81*'Transmission Formula Rate (7)'!$B$27,0)</f>
        <v>0</v>
      </c>
      <c r="M82" s="28">
        <f>ROUND(M81*'Transmission Formula Rate (7)'!$B$27,0)</f>
        <v>0</v>
      </c>
      <c r="N82" s="21">
        <f>SUM(B82:M82)</f>
        <v>0</v>
      </c>
    </row>
    <row r="83" spans="1:17">
      <c r="A83" s="256" t="s">
        <v>47</v>
      </c>
      <c r="B83" s="28">
        <f t="shared" ref="B83:M83" si="125">B81+B82</f>
        <v>0</v>
      </c>
      <c r="C83" s="28">
        <f t="shared" si="125"/>
        <v>0</v>
      </c>
      <c r="D83" s="28">
        <f t="shared" si="125"/>
        <v>0</v>
      </c>
      <c r="E83" s="28">
        <f t="shared" si="125"/>
        <v>0</v>
      </c>
      <c r="F83" s="28">
        <f t="shared" si="125"/>
        <v>0</v>
      </c>
      <c r="G83" s="28">
        <f t="shared" si="125"/>
        <v>0</v>
      </c>
      <c r="H83" s="28">
        <f t="shared" si="125"/>
        <v>0</v>
      </c>
      <c r="I83" s="28">
        <f t="shared" si="125"/>
        <v>0</v>
      </c>
      <c r="J83" s="28">
        <f t="shared" si="125"/>
        <v>0</v>
      </c>
      <c r="K83" s="28">
        <f t="shared" si="125"/>
        <v>0</v>
      </c>
      <c r="L83" s="28">
        <f t="shared" si="125"/>
        <v>0</v>
      </c>
      <c r="M83" s="28">
        <f t="shared" si="125"/>
        <v>0</v>
      </c>
      <c r="N83" s="124">
        <f>SUM(B83:M83)</f>
        <v>0</v>
      </c>
    </row>
    <row r="84" spans="1:17">
      <c r="A84" s="254" t="s">
        <v>20</v>
      </c>
      <c r="B84" s="30">
        <f>'Transmission Formula Rate (7)'!B16</f>
        <v>1.59</v>
      </c>
      <c r="C84" s="30">
        <f>'Transmission Formula Rate (7)'!C16</f>
        <v>1.59</v>
      </c>
      <c r="D84" s="30">
        <f>'Transmission Formula Rate (7)'!D16</f>
        <v>1.59</v>
      </c>
      <c r="E84" s="30">
        <f>'Transmission Formula Rate (7)'!E16</f>
        <v>1.59</v>
      </c>
      <c r="F84" s="30">
        <f>'Transmission Formula Rate (7)'!F16</f>
        <v>1.59</v>
      </c>
      <c r="G84" s="30">
        <f>'Transmission Formula Rate (7)'!G32</f>
        <v>0</v>
      </c>
      <c r="H84" s="30">
        <f>'Transmission Formula Rate (7)'!H32</f>
        <v>0</v>
      </c>
      <c r="I84" s="30">
        <f>'Transmission Formula Rate (7)'!I32</f>
        <v>0</v>
      </c>
      <c r="J84" s="30">
        <f>'Transmission Formula Rate (7)'!J32</f>
        <v>0</v>
      </c>
      <c r="K84" s="30">
        <f>'Transmission Formula Rate (7)'!K32</f>
        <v>0</v>
      </c>
      <c r="L84" s="30">
        <f>'Transmission Formula Rate (7)'!L32</f>
        <v>0</v>
      </c>
      <c r="M84" s="30">
        <f>'Transmission Formula Rate (7)'!M32</f>
        <v>0</v>
      </c>
      <c r="N84" s="20"/>
      <c r="Q84" s="277" t="s">
        <v>271</v>
      </c>
    </row>
    <row r="85" spans="1:17">
      <c r="A85" s="254" t="s">
        <v>17</v>
      </c>
      <c r="B85" s="21">
        <f t="shared" ref="B85:M85" si="126">B83*B84</f>
        <v>0</v>
      </c>
      <c r="C85" s="21">
        <f t="shared" si="126"/>
        <v>0</v>
      </c>
      <c r="D85" s="21">
        <f t="shared" si="126"/>
        <v>0</v>
      </c>
      <c r="E85" s="21">
        <f t="shared" si="126"/>
        <v>0</v>
      </c>
      <c r="F85" s="21">
        <f t="shared" si="126"/>
        <v>0</v>
      </c>
      <c r="G85" s="21">
        <f t="shared" si="126"/>
        <v>0</v>
      </c>
      <c r="H85" s="21">
        <f t="shared" si="126"/>
        <v>0</v>
      </c>
      <c r="I85" s="21">
        <f t="shared" si="126"/>
        <v>0</v>
      </c>
      <c r="J85" s="21">
        <f t="shared" si="126"/>
        <v>0</v>
      </c>
      <c r="K85" s="21">
        <f t="shared" si="126"/>
        <v>0</v>
      </c>
      <c r="L85" s="21">
        <f t="shared" si="126"/>
        <v>0</v>
      </c>
      <c r="M85" s="21">
        <f t="shared" si="126"/>
        <v>0</v>
      </c>
      <c r="N85" s="21">
        <f>SUM(B85:M85)</f>
        <v>0</v>
      </c>
    </row>
    <row r="87" spans="1:17">
      <c r="A87" s="254" t="s">
        <v>141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7">
      <c r="A88" s="256" t="s">
        <v>296</v>
      </c>
      <c r="B88" s="239">
        <f>B81</f>
        <v>0</v>
      </c>
      <c r="C88" s="239">
        <f t="shared" ref="C88:M88" si="127">C81</f>
        <v>0</v>
      </c>
      <c r="D88" s="239">
        <f t="shared" si="127"/>
        <v>0</v>
      </c>
      <c r="E88" s="239">
        <f t="shared" si="127"/>
        <v>0</v>
      </c>
      <c r="F88" s="239">
        <f t="shared" si="127"/>
        <v>0</v>
      </c>
      <c r="G88" s="239">
        <f t="shared" si="127"/>
        <v>0</v>
      </c>
      <c r="H88" s="239">
        <f t="shared" si="127"/>
        <v>0</v>
      </c>
      <c r="I88" s="239">
        <f t="shared" si="127"/>
        <v>0</v>
      </c>
      <c r="J88" s="239">
        <f t="shared" si="127"/>
        <v>0</v>
      </c>
      <c r="K88" s="239">
        <f t="shared" si="127"/>
        <v>0</v>
      </c>
      <c r="L88" s="239">
        <f t="shared" si="127"/>
        <v>0</v>
      </c>
      <c r="M88" s="239">
        <f t="shared" si="127"/>
        <v>0</v>
      </c>
      <c r="N88" s="21">
        <f>SUM(B88:M88)</f>
        <v>0</v>
      </c>
    </row>
    <row r="89" spans="1:17">
      <c r="A89" s="256" t="s">
        <v>45</v>
      </c>
      <c r="B89" s="28">
        <f>ROUND(B88*'Transmission Formula Rate (7)'!$B$27,0)</f>
        <v>0</v>
      </c>
      <c r="C89" s="28">
        <f>ROUND(C88*'Transmission Formula Rate (7)'!$B$27,0)</f>
        <v>0</v>
      </c>
      <c r="D89" s="28">
        <f>ROUND(D88*'Transmission Formula Rate (7)'!$B$27,0)</f>
        <v>0</v>
      </c>
      <c r="E89" s="28">
        <f>ROUND(E88*'Transmission Formula Rate (7)'!$B$27,0)</f>
        <v>0</v>
      </c>
      <c r="F89" s="28">
        <f>ROUND(F88*'Transmission Formula Rate (7)'!$B$27,0)</f>
        <v>0</v>
      </c>
      <c r="G89" s="28">
        <f>ROUND(G88*'Transmission Formula Rate (7)'!$B$27,0)</f>
        <v>0</v>
      </c>
      <c r="H89" s="28">
        <f>ROUND(H88*'Transmission Formula Rate (7)'!$B$27,0)</f>
        <v>0</v>
      </c>
      <c r="I89" s="28">
        <f>ROUND(I88*'Transmission Formula Rate (7)'!$B$27,0)</f>
        <v>0</v>
      </c>
      <c r="J89" s="28">
        <f>ROUND(J88*'Transmission Formula Rate (7)'!$B$27,0)</f>
        <v>0</v>
      </c>
      <c r="K89" s="28">
        <f>ROUND(K88*'Transmission Formula Rate (7)'!$B$27,0)</f>
        <v>0</v>
      </c>
      <c r="L89" s="28">
        <f>ROUND(L88*'Transmission Formula Rate (7)'!$B$27,0)</f>
        <v>0</v>
      </c>
      <c r="M89" s="28">
        <f>ROUND(M88*'Transmission Formula Rate (7)'!$B$27,0)</f>
        <v>0</v>
      </c>
      <c r="N89" s="21">
        <f>SUM(B89:M89)</f>
        <v>0</v>
      </c>
    </row>
    <row r="90" spans="1:17">
      <c r="A90" s="256" t="s">
        <v>47</v>
      </c>
      <c r="B90" s="28">
        <f t="shared" ref="B90:M90" si="128">B88+B89</f>
        <v>0</v>
      </c>
      <c r="C90" s="28">
        <f t="shared" si="128"/>
        <v>0</v>
      </c>
      <c r="D90" s="28">
        <f t="shared" si="128"/>
        <v>0</v>
      </c>
      <c r="E90" s="28">
        <f t="shared" si="128"/>
        <v>0</v>
      </c>
      <c r="F90" s="28">
        <f t="shared" si="128"/>
        <v>0</v>
      </c>
      <c r="G90" s="28">
        <f t="shared" si="128"/>
        <v>0</v>
      </c>
      <c r="H90" s="28">
        <f t="shared" si="128"/>
        <v>0</v>
      </c>
      <c r="I90" s="28">
        <f t="shared" si="128"/>
        <v>0</v>
      </c>
      <c r="J90" s="28">
        <f t="shared" si="128"/>
        <v>0</v>
      </c>
      <c r="K90" s="28">
        <f t="shared" si="128"/>
        <v>0</v>
      </c>
      <c r="L90" s="28">
        <f t="shared" si="128"/>
        <v>0</v>
      </c>
      <c r="M90" s="28">
        <f t="shared" si="128"/>
        <v>0</v>
      </c>
      <c r="N90" s="124">
        <f>SUM(B90:M90)</f>
        <v>0</v>
      </c>
    </row>
    <row r="91" spans="1:17">
      <c r="A91" s="254" t="s">
        <v>149</v>
      </c>
      <c r="B91" s="32">
        <f>'charges (1 &amp; 2)'!$H$39</f>
        <v>1.274E-2</v>
      </c>
      <c r="C91" s="32">
        <f>B91</f>
        <v>1.274E-2</v>
      </c>
      <c r="D91" s="32">
        <f t="shared" ref="D91" si="129">C91</f>
        <v>1.274E-2</v>
      </c>
      <c r="E91" s="32">
        <f t="shared" ref="E91" si="130">D91</f>
        <v>1.274E-2</v>
      </c>
      <c r="F91" s="32">
        <f t="shared" ref="F91" si="131">E91</f>
        <v>1.274E-2</v>
      </c>
      <c r="G91" s="32">
        <v>0</v>
      </c>
      <c r="H91" s="32">
        <f t="shared" ref="H91" si="132">G91</f>
        <v>0</v>
      </c>
      <c r="I91" s="32">
        <f t="shared" ref="I91" si="133">H91</f>
        <v>0</v>
      </c>
      <c r="J91" s="32">
        <f t="shared" ref="J91" si="134">I91</f>
        <v>0</v>
      </c>
      <c r="K91" s="32">
        <f t="shared" ref="K91" si="135">J91</f>
        <v>0</v>
      </c>
      <c r="L91" s="32">
        <f t="shared" ref="L91" si="136">K91</f>
        <v>0</v>
      </c>
      <c r="M91" s="32">
        <f t="shared" ref="M91" si="137">L91</f>
        <v>0</v>
      </c>
      <c r="N91" s="20"/>
    </row>
    <row r="92" spans="1:17">
      <c r="A92" s="254" t="s">
        <v>17</v>
      </c>
      <c r="B92" s="21">
        <f t="shared" ref="B92:M92" si="138">B90*B91</f>
        <v>0</v>
      </c>
      <c r="C92" s="21">
        <f t="shared" si="138"/>
        <v>0</v>
      </c>
      <c r="D92" s="21">
        <f t="shared" si="138"/>
        <v>0</v>
      </c>
      <c r="E92" s="21">
        <f t="shared" si="138"/>
        <v>0</v>
      </c>
      <c r="F92" s="21">
        <f t="shared" si="138"/>
        <v>0</v>
      </c>
      <c r="G92" s="21">
        <f t="shared" si="138"/>
        <v>0</v>
      </c>
      <c r="H92" s="21">
        <f t="shared" si="138"/>
        <v>0</v>
      </c>
      <c r="I92" s="21">
        <f t="shared" si="138"/>
        <v>0</v>
      </c>
      <c r="J92" s="21">
        <f t="shared" si="138"/>
        <v>0</v>
      </c>
      <c r="K92" s="21">
        <f t="shared" si="138"/>
        <v>0</v>
      </c>
      <c r="L92" s="21">
        <f t="shared" si="138"/>
        <v>0</v>
      </c>
      <c r="M92" s="21">
        <f t="shared" si="138"/>
        <v>0</v>
      </c>
      <c r="N92" s="21">
        <f>SUM(B92:M92)</f>
        <v>0</v>
      </c>
    </row>
    <row r="94" spans="1:17">
      <c r="A94" s="250" t="s">
        <v>277</v>
      </c>
      <c r="B94" s="370" t="s">
        <v>278</v>
      </c>
    </row>
  </sheetData>
  <mergeCells count="1">
    <mergeCell ref="O9:P9"/>
  </mergeCells>
  <hyperlinks>
    <hyperlink ref="B94" r:id="rId1"/>
  </hyperlinks>
  <pageMargins left="0.7" right="0.7" top="0.75" bottom="0.75" header="0.3" footer="0.3"/>
  <pageSetup scale="74" orientation="landscape" r:id="rId2"/>
  <rowBreaks count="2" manualBreakCount="2">
    <brk id="43" max="16383" man="1"/>
    <brk id="77" max="16383" man="1"/>
  </rowBreaks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2" sqref="B1:B2"/>
    </sheetView>
  </sheetViews>
  <sheetFormatPr defaultColWidth="9" defaultRowHeight="13.2"/>
  <cols>
    <col min="1" max="1" width="4.6640625" style="241" customWidth="1"/>
    <col min="2" max="2" width="10.88671875" style="241" customWidth="1"/>
    <col min="3" max="3" width="1.6640625" style="258" hidden="1" customWidth="1"/>
    <col min="4" max="16384" width="9" style="241"/>
  </cols>
  <sheetData>
    <row r="1" spans="2:18">
      <c r="B1" s="480" t="s">
        <v>493</v>
      </c>
    </row>
    <row r="2" spans="2:18">
      <c r="B2" s="480" t="s">
        <v>473</v>
      </c>
    </row>
    <row r="4" spans="2:18">
      <c r="B4" s="286" t="s">
        <v>279</v>
      </c>
    </row>
    <row r="5" spans="2:18">
      <c r="B5" s="241" t="s">
        <v>190</v>
      </c>
    </row>
    <row r="6" spans="2:18">
      <c r="B6" s="241" t="s">
        <v>414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>
        <v>2014</v>
      </c>
      <c r="E10" s="244">
        <f>'[12]Blountstown Transmission'!C9</f>
        <v>4000</v>
      </c>
      <c r="F10" s="244">
        <f>'[12]Blountstown Transmission'!D9</f>
        <v>7000</v>
      </c>
      <c r="G10" s="244">
        <f>'[12]Blountstown Transmission'!E9</f>
        <v>4000</v>
      </c>
      <c r="H10" s="244">
        <f>'[12]Blountstown Transmission'!F9</f>
        <v>3000</v>
      </c>
      <c r="I10" s="244">
        <f>'[12]Blountstown Transmission'!G9</f>
        <v>7000</v>
      </c>
      <c r="J10" s="244">
        <f>'[12]Blountstown Transmission'!H9</f>
        <v>7000</v>
      </c>
      <c r="K10" s="244">
        <f>'[12]Blountstown Transmission'!I9</f>
        <v>7000</v>
      </c>
      <c r="L10" s="244">
        <f>'[12]Blountstown Transmission'!J9</f>
        <v>8000</v>
      </c>
      <c r="M10" s="244">
        <f>'[12]Blountstown Transmission'!K9</f>
        <v>8000</v>
      </c>
      <c r="N10" s="244">
        <f>'[12]Blountstown Transmission'!L9</f>
        <v>7000</v>
      </c>
      <c r="O10" s="244">
        <f>'[12]Blountstown Transmission'!M9</f>
        <v>7000</v>
      </c>
      <c r="P10" s="244">
        <f>'[12]Blountstown Transmission'!N9</f>
        <v>4000</v>
      </c>
      <c r="Q10" s="242">
        <f t="shared" ref="Q10:Q15" si="0">SUM(E10:P10)</f>
        <v>73000</v>
      </c>
    </row>
    <row r="11" spans="2:18">
      <c r="D11" s="243">
        <f>1+D10</f>
        <v>2015</v>
      </c>
      <c r="E11" s="244">
        <f>'[12]Blountstown Transmission'!C10</f>
        <v>4000</v>
      </c>
      <c r="F11" s="244">
        <f>'[12]Blountstown Transmission'!D10</f>
        <v>3000</v>
      </c>
      <c r="G11" s="244">
        <f>'[12]Blountstown Transmission'!E10</f>
        <v>8000</v>
      </c>
      <c r="H11" s="244">
        <f>'[12]Blountstown Transmission'!F10</f>
        <v>4000</v>
      </c>
      <c r="I11" s="244">
        <f>'[12]Blountstown Transmission'!G10</f>
        <v>5000</v>
      </c>
      <c r="J11" s="244">
        <f>'[12]Blountstown Transmission'!H10</f>
        <v>7000</v>
      </c>
      <c r="K11" s="244">
        <f>'[12]Blountstown Transmission'!I10</f>
        <v>8000</v>
      </c>
      <c r="L11" s="244">
        <f>'[12]Blountstown Transmission'!J10</f>
        <v>7000</v>
      </c>
      <c r="M11" s="244">
        <f>'[12]Blountstown Transmission'!K10</f>
        <v>9000</v>
      </c>
      <c r="N11" s="244">
        <f>'[12]Blountstown Transmission'!L10</f>
        <v>9000</v>
      </c>
      <c r="O11" s="244">
        <f>'[12]Blountstown Transmission'!M10</f>
        <v>9000</v>
      </c>
      <c r="P11" s="244">
        <f>'[12]Blountstown Transmission'!N10</f>
        <v>9000</v>
      </c>
      <c r="Q11" s="242">
        <f t="shared" si="0"/>
        <v>82000</v>
      </c>
    </row>
    <row r="12" spans="2:18">
      <c r="D12" s="243">
        <f>1+D11</f>
        <v>2016</v>
      </c>
      <c r="E12" s="244">
        <f>'[12]Blountstown Transmission'!C11</f>
        <v>9000</v>
      </c>
      <c r="F12" s="244">
        <f>'[12]Blountstown Transmission'!D11</f>
        <v>9000</v>
      </c>
      <c r="G12" s="244">
        <f>'[12]Blountstown Transmission'!E11</f>
        <v>9000</v>
      </c>
      <c r="H12" s="244">
        <f>'[12]Blountstown Transmission'!F11</f>
        <v>9000</v>
      </c>
      <c r="I12" s="244">
        <f>'[12]Blountstown Transmission'!G11</f>
        <v>9000</v>
      </c>
      <c r="J12" s="244">
        <f>'[12]Blountstown Transmission'!H11</f>
        <v>9000</v>
      </c>
      <c r="K12" s="244">
        <f>'[12]Blountstown Transmission'!I11</f>
        <v>9000</v>
      </c>
      <c r="L12" s="244">
        <f>'[12]Blountstown Transmission'!J11</f>
        <v>9000</v>
      </c>
      <c r="M12" s="244">
        <f>'[12]Blountstown Transmission'!K11</f>
        <v>9000</v>
      </c>
      <c r="N12" s="244">
        <f>'[12]Blountstown Transmission'!L11</f>
        <v>9000</v>
      </c>
      <c r="O12" s="244">
        <f>'[12]Blountstown Transmission'!M11</f>
        <v>9000</v>
      </c>
      <c r="P12" s="244">
        <f>'[12]Blountstown Transmission'!N11</f>
        <v>9000</v>
      </c>
      <c r="Q12" s="242">
        <f t="shared" si="0"/>
        <v>108000</v>
      </c>
    </row>
    <row r="13" spans="2:18">
      <c r="D13" s="243">
        <f>1+D12</f>
        <v>2017</v>
      </c>
      <c r="E13" s="244">
        <f>'[12]Blountstown Transmission'!C12</f>
        <v>9000</v>
      </c>
      <c r="F13" s="244">
        <f>'[12]Blountstown Transmission'!D12</f>
        <v>0</v>
      </c>
      <c r="G13" s="244">
        <f>'[12]Blountstown Transmission'!E12</f>
        <v>0</v>
      </c>
      <c r="H13" s="244">
        <f>'[12]Blountstown Transmission'!F12</f>
        <v>0</v>
      </c>
      <c r="I13" s="244">
        <f>'[12]Blountstown Transmission'!G12</f>
        <v>0</v>
      </c>
      <c r="J13" s="244">
        <f>'[12]Blountstown Transmission'!H12</f>
        <v>0</v>
      </c>
      <c r="K13" s="244">
        <f>'[12]Blountstown Transmission'!I12</f>
        <v>0</v>
      </c>
      <c r="L13" s="244">
        <f>'[12]Blountstown Transmission'!J12</f>
        <v>0</v>
      </c>
      <c r="M13" s="244">
        <f>'[12]Blountstown Transmission'!K12</f>
        <v>0</v>
      </c>
      <c r="N13" s="244">
        <f>'[12]Blountstown Transmission'!L12</f>
        <v>0</v>
      </c>
      <c r="O13" s="244">
        <f>'[12]Blountstown Transmission'!M12</f>
        <v>0</v>
      </c>
      <c r="P13" s="244">
        <f>'[12]Blountstown Transmission'!N12</f>
        <v>0</v>
      </c>
      <c r="Q13" s="242">
        <f t="shared" si="0"/>
        <v>9000</v>
      </c>
    </row>
    <row r="14" spans="2:18">
      <c r="D14" s="243">
        <f>1+D13</f>
        <v>2018</v>
      </c>
      <c r="E14" s="244">
        <f>'[12]Blountstown Transmission'!C13</f>
        <v>0</v>
      </c>
      <c r="F14" s="244">
        <f>'[12]Blountstown Transmission'!D13</f>
        <v>0</v>
      </c>
      <c r="G14" s="244">
        <f>'[12]Blountstown Transmission'!E13</f>
        <v>0</v>
      </c>
      <c r="H14" s="244">
        <f>'[12]Blountstown Transmission'!F13</f>
        <v>0</v>
      </c>
      <c r="I14" s="244">
        <f>'[12]Blountstown Transmission'!G13</f>
        <v>0</v>
      </c>
      <c r="J14" s="244">
        <f>'[12]Blountstown Transmission'!H13</f>
        <v>0</v>
      </c>
      <c r="K14" s="244">
        <f>'[12]Blountstown Transmission'!I13</f>
        <v>0</v>
      </c>
      <c r="L14" s="244">
        <f>'[12]Blountstown Transmission'!J13</f>
        <v>0</v>
      </c>
      <c r="M14" s="244">
        <f>'[12]Blountstown Transmission'!K13</f>
        <v>0</v>
      </c>
      <c r="N14" s="244">
        <f>'[12]Blountstown Transmission'!L13</f>
        <v>0</v>
      </c>
      <c r="O14" s="244">
        <f>'[12]Blountstown Transmission'!M13</f>
        <v>0</v>
      </c>
      <c r="P14" s="244">
        <f>'[12]Blountstown Transmission'!N13</f>
        <v>0</v>
      </c>
      <c r="Q14" s="242">
        <f t="shared" si="0"/>
        <v>0</v>
      </c>
      <c r="R14" s="344" t="s">
        <v>269</v>
      </c>
    </row>
    <row r="15" spans="2:18">
      <c r="D15" s="243">
        <f>1+D14</f>
        <v>2019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2">
        <f t="shared" si="0"/>
        <v>0</v>
      </c>
    </row>
    <row r="16" spans="2:18">
      <c r="C16" s="259"/>
      <c r="D16" s="244"/>
      <c r="E16" s="244"/>
      <c r="F16" s="244"/>
      <c r="G16" s="244"/>
      <c r="H16" s="244"/>
    </row>
    <row r="17" spans="3:8">
      <c r="C17" s="259"/>
      <c r="D17" s="244"/>
      <c r="E17" s="244"/>
      <c r="F17" s="244"/>
      <c r="G17" s="244"/>
      <c r="H17" s="244"/>
    </row>
    <row r="18" spans="3:8">
      <c r="C18" s="259"/>
      <c r="D18" s="244"/>
      <c r="E18" s="244"/>
      <c r="F18" s="244"/>
      <c r="G18" s="244"/>
      <c r="H18" s="244"/>
    </row>
    <row r="19" spans="3:8">
      <c r="C19" s="259"/>
      <c r="D19" s="244"/>
      <c r="E19" s="244"/>
      <c r="F19" s="244"/>
      <c r="G19" s="244"/>
      <c r="H19" s="244"/>
    </row>
    <row r="20" spans="3:8">
      <c r="C20" s="259"/>
      <c r="D20" s="244"/>
      <c r="E20" s="244"/>
      <c r="F20" s="244"/>
      <c r="G20" s="244"/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04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494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298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</row>
    <row r="9" spans="1:16" s="20" customFormat="1" ht="10.199999999999999">
      <c r="A9" s="254"/>
    </row>
    <row r="10" spans="1:16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6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6">
      <c r="A14" s="256" t="s">
        <v>47</v>
      </c>
      <c r="B14" s="239">
        <f>'Winter Park Forecast'!E10</f>
        <v>1</v>
      </c>
      <c r="C14" s="239">
        <f>'Winter Park Forecast'!F10</f>
        <v>2</v>
      </c>
      <c r="D14" s="239">
        <f>'Winter Park Forecast'!G10</f>
        <v>3</v>
      </c>
      <c r="E14" s="239">
        <f>'Winter Park Forecast'!H10</f>
        <v>4</v>
      </c>
      <c r="F14" s="239">
        <f>'Winter Park Forecast'!I10</f>
        <v>5</v>
      </c>
      <c r="G14" s="239">
        <f>'Winter Park Forecast'!J10</f>
        <v>6</v>
      </c>
      <c r="H14" s="239">
        <f>'Winter Park Forecast'!K10</f>
        <v>7</v>
      </c>
      <c r="I14" s="239">
        <f>'Winter Park Forecast'!L10</f>
        <v>8</v>
      </c>
      <c r="J14" s="239">
        <f>'Winter Park Forecast'!M10</f>
        <v>9</v>
      </c>
      <c r="K14" s="239">
        <f>'Winter Park Forecast'!N10</f>
        <v>10</v>
      </c>
      <c r="L14" s="239">
        <f>'Winter Park Forecast'!O10</f>
        <v>11</v>
      </c>
      <c r="M14" s="239">
        <f>'Winter Park Forecast'!P10</f>
        <v>12</v>
      </c>
      <c r="N14" s="21">
        <f>SUM(B14:M14)</f>
        <v>78</v>
      </c>
    </row>
    <row r="15" spans="1:16">
      <c r="A15" s="256" t="s">
        <v>45</v>
      </c>
      <c r="B15" s="28">
        <f>ROUND(B14*'Transmission Formula Rate (7)'!$B$27,0)</f>
        <v>0</v>
      </c>
      <c r="C15" s="28">
        <f>ROUND(C14*'Transmission Formula Rate (7)'!$B$27,0)</f>
        <v>0</v>
      </c>
      <c r="D15" s="28">
        <f>ROUND(D14*'Transmission Formula Rate (7)'!$B$27,0)</f>
        <v>0</v>
      </c>
      <c r="E15" s="28">
        <f>ROUND(E14*'Transmission Formula Rate (7)'!$B$27,0)</f>
        <v>0</v>
      </c>
      <c r="F15" s="28">
        <f>ROUND(F14*'Transmission Formula Rate (7)'!$B$27,0)</f>
        <v>0</v>
      </c>
      <c r="G15" s="28">
        <f>ROUND(G14*'Transmission Formula Rate (7)'!$B$27,0)</f>
        <v>0</v>
      </c>
      <c r="H15" s="28">
        <f>ROUND(H14*'Transmission Formula Rate (7)'!$B$27,0)</f>
        <v>0</v>
      </c>
      <c r="I15" s="28">
        <f>ROUND(I14*'Transmission Formula Rate (7)'!$B$27,0)</f>
        <v>0</v>
      </c>
      <c r="J15" s="28">
        <f>ROUND(J14*'Transmission Formula Rate (7)'!$B$27,0)</f>
        <v>0</v>
      </c>
      <c r="K15" s="28">
        <f>ROUND(K14*'Transmission Formula Rate (7)'!$B$27,0)</f>
        <v>0</v>
      </c>
      <c r="L15" s="28">
        <f>ROUND(L14*'Transmission Formula Rate (7)'!$B$27,0)</f>
        <v>0</v>
      </c>
      <c r="M15" s="28">
        <f>ROUND(M14*'Transmission Formula Rate (7)'!$B$27,0)</f>
        <v>0</v>
      </c>
      <c r="N15" s="21">
        <f>SUM(B15:M15)</f>
        <v>0</v>
      </c>
    </row>
    <row r="16" spans="1:16">
      <c r="A16" s="256" t="s">
        <v>297</v>
      </c>
      <c r="B16" s="28">
        <f t="shared" ref="B16:M16" si="1">B14+B15</f>
        <v>1</v>
      </c>
      <c r="C16" s="28">
        <f t="shared" si="1"/>
        <v>2</v>
      </c>
      <c r="D16" s="28">
        <f t="shared" si="1"/>
        <v>3</v>
      </c>
      <c r="E16" s="28">
        <f t="shared" si="1"/>
        <v>4</v>
      </c>
      <c r="F16" s="28">
        <f t="shared" si="1"/>
        <v>5</v>
      </c>
      <c r="G16" s="28">
        <f t="shared" si="1"/>
        <v>6</v>
      </c>
      <c r="H16" s="28">
        <f t="shared" si="1"/>
        <v>7</v>
      </c>
      <c r="I16" s="28">
        <f t="shared" si="1"/>
        <v>8</v>
      </c>
      <c r="J16" s="28">
        <f t="shared" si="1"/>
        <v>9</v>
      </c>
      <c r="K16" s="28">
        <f t="shared" si="1"/>
        <v>10</v>
      </c>
      <c r="L16" s="28">
        <f t="shared" si="1"/>
        <v>11</v>
      </c>
      <c r="M16" s="28">
        <f t="shared" si="1"/>
        <v>12</v>
      </c>
      <c r="N16" s="124">
        <f>SUM(B16:M16)</f>
        <v>78</v>
      </c>
    </row>
    <row r="17" spans="1:14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4">
      <c r="A18" s="254" t="s">
        <v>17</v>
      </c>
      <c r="B18" s="21">
        <f t="shared" ref="B18:M18" si="2">B16*B17</f>
        <v>1.59</v>
      </c>
      <c r="C18" s="21">
        <f t="shared" si="2"/>
        <v>3.18</v>
      </c>
      <c r="D18" s="21">
        <f t="shared" si="2"/>
        <v>4.7700000000000005</v>
      </c>
      <c r="E18" s="21">
        <f t="shared" si="2"/>
        <v>6.36</v>
      </c>
      <c r="F18" s="21">
        <f t="shared" si="2"/>
        <v>7.95</v>
      </c>
      <c r="G18" s="21">
        <f t="shared" si="2"/>
        <v>9.5400000000000009</v>
      </c>
      <c r="H18" s="21">
        <f t="shared" si="2"/>
        <v>11.13</v>
      </c>
      <c r="I18" s="21">
        <f t="shared" si="2"/>
        <v>12.72</v>
      </c>
      <c r="J18" s="21">
        <f t="shared" si="2"/>
        <v>14.31</v>
      </c>
      <c r="K18" s="21">
        <f t="shared" si="2"/>
        <v>15.9</v>
      </c>
      <c r="L18" s="21">
        <f t="shared" si="2"/>
        <v>17.490000000000002</v>
      </c>
      <c r="M18" s="21">
        <f t="shared" si="2"/>
        <v>19.080000000000002</v>
      </c>
      <c r="N18" s="21">
        <f>SUM(B18:M18)</f>
        <v>124.02</v>
      </c>
    </row>
    <row r="19" spans="1:14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57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B21" s="24" t="s">
        <v>0</v>
      </c>
      <c r="C21" s="24" t="s">
        <v>1</v>
      </c>
      <c r="D21" s="24" t="s">
        <v>2</v>
      </c>
      <c r="E21" s="24" t="s">
        <v>3</v>
      </c>
      <c r="F21" s="24" t="s">
        <v>4</v>
      </c>
      <c r="G21" s="24" t="s">
        <v>5</v>
      </c>
      <c r="H21" s="24" t="s">
        <v>6</v>
      </c>
      <c r="I21" s="24" t="s">
        <v>7</v>
      </c>
      <c r="J21" s="24" t="s">
        <v>8</v>
      </c>
      <c r="K21" s="24" t="s">
        <v>9</v>
      </c>
      <c r="L21" s="24" t="s">
        <v>10</v>
      </c>
      <c r="M21" s="24" t="s">
        <v>11</v>
      </c>
      <c r="N21" s="24" t="s">
        <v>12</v>
      </c>
    </row>
    <row r="22" spans="1:14">
      <c r="A22" s="255">
        <f>+A12+1</f>
        <v>2015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254" t="s">
        <v>37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256" t="s">
        <v>297</v>
      </c>
      <c r="B24" s="239">
        <f>'Winter Park Forecast'!E11</f>
        <v>23000</v>
      </c>
      <c r="C24" s="239">
        <f>'Winter Park Forecast'!F11</f>
        <v>26000</v>
      </c>
      <c r="D24" s="239">
        <f>'Winter Park Forecast'!G11</f>
        <v>45000</v>
      </c>
      <c r="E24" s="239">
        <f>'Winter Park Forecast'!H11</f>
        <v>36000</v>
      </c>
      <c r="F24" s="239">
        <f>'Winter Park Forecast'!I11</f>
        <v>45000</v>
      </c>
      <c r="G24" s="239">
        <f>'Winter Park Forecast'!J11</f>
        <v>54000</v>
      </c>
      <c r="H24" s="239">
        <f>'Winter Park Forecast'!K11</f>
        <v>60000</v>
      </c>
      <c r="I24" s="239">
        <f>'Winter Park Forecast'!L11</f>
        <v>55000</v>
      </c>
      <c r="J24" s="239">
        <f>'Winter Park Forecast'!M11</f>
        <v>60000</v>
      </c>
      <c r="K24" s="239">
        <f>'Winter Park Forecast'!N11</f>
        <v>60000</v>
      </c>
      <c r="L24" s="239">
        <f>'Winter Park Forecast'!O11</f>
        <v>60000</v>
      </c>
      <c r="M24" s="239">
        <f>'Winter Park Forecast'!P11</f>
        <v>60000</v>
      </c>
      <c r="N24" s="21">
        <f>SUM(B24:M24)</f>
        <v>584000</v>
      </c>
    </row>
    <row r="25" spans="1:14">
      <c r="A25" s="256" t="s">
        <v>45</v>
      </c>
      <c r="B25" s="28">
        <f>B24-B26</f>
        <v>417.77123220422072</v>
      </c>
      <c r="C25" s="28">
        <f t="shared" ref="C25:M25" si="3">C24-C26</f>
        <v>472.26313205694532</v>
      </c>
      <c r="D25" s="28">
        <f t="shared" si="3"/>
        <v>817.37849779086537</v>
      </c>
      <c r="E25" s="28">
        <f t="shared" si="3"/>
        <v>653.9027982326952</v>
      </c>
      <c r="F25" s="28">
        <f t="shared" si="3"/>
        <v>817.37849779086537</v>
      </c>
      <c r="G25" s="28">
        <f t="shared" si="3"/>
        <v>980.85419734904281</v>
      </c>
      <c r="H25" s="28">
        <f t="shared" si="3"/>
        <v>1089.837997054492</v>
      </c>
      <c r="I25" s="28">
        <f t="shared" si="3"/>
        <v>999.01816396661889</v>
      </c>
      <c r="J25" s="28">
        <f t="shared" si="3"/>
        <v>1089.837997054492</v>
      </c>
      <c r="K25" s="28">
        <f t="shared" si="3"/>
        <v>1089.837997054492</v>
      </c>
      <c r="L25" s="28">
        <f t="shared" si="3"/>
        <v>1089.837997054492</v>
      </c>
      <c r="M25" s="28">
        <f t="shared" si="3"/>
        <v>1089.837997054492</v>
      </c>
      <c r="N25" s="21">
        <f>SUM(B25:M25)</f>
        <v>10607.756504663714</v>
      </c>
    </row>
    <row r="26" spans="1:14">
      <c r="A26" s="256" t="s">
        <v>47</v>
      </c>
      <c r="B26" s="28">
        <f>B24/(1+'Transmission Formula Rate (7)'!$B$27)</f>
        <v>22582.228767795779</v>
      </c>
      <c r="C26" s="28">
        <f>C24/(1+'Transmission Formula Rate (7)'!$B$27)</f>
        <v>25527.736867943055</v>
      </c>
      <c r="D26" s="28">
        <f>D24/(1+'Transmission Formula Rate (7)'!$B$27)</f>
        <v>44182.621502209135</v>
      </c>
      <c r="E26" s="28">
        <f>E24/(1+'Transmission Formula Rate (7)'!$B$27)</f>
        <v>35346.097201767305</v>
      </c>
      <c r="F26" s="28">
        <f>F24/(1+'Transmission Formula Rate (7)'!$B$27)</f>
        <v>44182.621502209135</v>
      </c>
      <c r="G26" s="28">
        <f>G24/(1+'Transmission Formula Rate (7)'!$B$27)</f>
        <v>53019.145802650957</v>
      </c>
      <c r="H26" s="28">
        <f>H24/(1+'Transmission Formula Rate (7)'!$B$27)</f>
        <v>58910.162002945508</v>
      </c>
      <c r="I26" s="28">
        <f>I24/(1+'Transmission Formula Rate (7)'!$B$27)</f>
        <v>54000.981836033381</v>
      </c>
      <c r="J26" s="28">
        <f>J24/(1+'Transmission Formula Rate (7)'!$B$27)</f>
        <v>58910.162002945508</v>
      </c>
      <c r="K26" s="28">
        <f>K24/(1+'Transmission Formula Rate (7)'!$B$27)</f>
        <v>58910.162002945508</v>
      </c>
      <c r="L26" s="28">
        <f>L24/(1+'Transmission Formula Rate (7)'!$B$27)</f>
        <v>58910.162002945508</v>
      </c>
      <c r="M26" s="28">
        <f>M24/(1+'Transmission Formula Rate (7)'!$B$27)</f>
        <v>58910.162002945508</v>
      </c>
      <c r="N26" s="124">
        <f>SUM(B26:M26)</f>
        <v>573392.24349533627</v>
      </c>
    </row>
    <row r="27" spans="1:14">
      <c r="A27" s="254" t="s">
        <v>20</v>
      </c>
      <c r="B27" s="30">
        <f>'Transmission Formula Rate (7)'!B10</f>
        <v>1.59</v>
      </c>
      <c r="C27" s="30">
        <f>'Transmission Formula Rate (7)'!C10</f>
        <v>1.59</v>
      </c>
      <c r="D27" s="30">
        <f>'Transmission Formula Rate (7)'!D10</f>
        <v>1.59</v>
      </c>
      <c r="E27" s="30">
        <f>'Transmission Formula Rate (7)'!E10</f>
        <v>1.59</v>
      </c>
      <c r="F27" s="30">
        <f>'Transmission Formula Rate (7)'!F10</f>
        <v>1.59</v>
      </c>
      <c r="G27" s="30">
        <f>'Transmission Formula Rate (7)'!G10</f>
        <v>1.59</v>
      </c>
      <c r="H27" s="30">
        <f>'Transmission Formula Rate (7)'!H10</f>
        <v>1.59</v>
      </c>
      <c r="I27" s="30">
        <f>'Transmission Formula Rate (7)'!I10</f>
        <v>1.59</v>
      </c>
      <c r="J27" s="30">
        <f>'Transmission Formula Rate (7)'!J10</f>
        <v>1.59</v>
      </c>
      <c r="K27" s="30">
        <f>'Transmission Formula Rate (7)'!K10</f>
        <v>1.59</v>
      </c>
      <c r="L27" s="30">
        <f>'Transmission Formula Rate (7)'!L10</f>
        <v>1.59</v>
      </c>
      <c r="M27" s="30">
        <f>'Transmission Formula Rate (7)'!M10</f>
        <v>1.59</v>
      </c>
      <c r="N27" s="20"/>
    </row>
    <row r="28" spans="1:14">
      <c r="A28" s="254" t="s">
        <v>17</v>
      </c>
      <c r="B28" s="21">
        <f>B24*B27</f>
        <v>36570</v>
      </c>
      <c r="C28" s="21">
        <f t="shared" ref="C28:M28" si="4">C24*C27</f>
        <v>41340</v>
      </c>
      <c r="D28" s="21">
        <f t="shared" si="4"/>
        <v>71550</v>
      </c>
      <c r="E28" s="21">
        <f t="shared" si="4"/>
        <v>57240</v>
      </c>
      <c r="F28" s="21">
        <f t="shared" si="4"/>
        <v>71550</v>
      </c>
      <c r="G28" s="21">
        <f t="shared" si="4"/>
        <v>85860</v>
      </c>
      <c r="H28" s="21">
        <f t="shared" si="4"/>
        <v>95400</v>
      </c>
      <c r="I28" s="21">
        <f t="shared" si="4"/>
        <v>87450</v>
      </c>
      <c r="J28" s="21">
        <f t="shared" si="4"/>
        <v>95400</v>
      </c>
      <c r="K28" s="21">
        <f t="shared" si="4"/>
        <v>95400</v>
      </c>
      <c r="L28" s="21">
        <f t="shared" si="4"/>
        <v>95400</v>
      </c>
      <c r="M28" s="21">
        <f t="shared" si="4"/>
        <v>95400</v>
      </c>
      <c r="N28" s="21">
        <f>SUM(B28:M28)</f>
        <v>928560</v>
      </c>
    </row>
    <row r="29" spans="1:14">
      <c r="A29" s="25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54" t="s">
        <v>141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56" t="s">
        <v>297</v>
      </c>
      <c r="B31" s="239">
        <f>B24</f>
        <v>23000</v>
      </c>
      <c r="C31" s="239">
        <f t="shared" ref="C31:M31" si="5">C24</f>
        <v>26000</v>
      </c>
      <c r="D31" s="239">
        <f t="shared" si="5"/>
        <v>45000</v>
      </c>
      <c r="E31" s="239">
        <f t="shared" si="5"/>
        <v>36000</v>
      </c>
      <c r="F31" s="239">
        <f t="shared" si="5"/>
        <v>45000</v>
      </c>
      <c r="G31" s="239">
        <f t="shared" si="5"/>
        <v>54000</v>
      </c>
      <c r="H31" s="239">
        <f t="shared" si="5"/>
        <v>60000</v>
      </c>
      <c r="I31" s="239">
        <f t="shared" si="5"/>
        <v>55000</v>
      </c>
      <c r="J31" s="239">
        <f t="shared" si="5"/>
        <v>60000</v>
      </c>
      <c r="K31" s="239">
        <f t="shared" si="5"/>
        <v>60000</v>
      </c>
      <c r="L31" s="239">
        <f t="shared" si="5"/>
        <v>60000</v>
      </c>
      <c r="M31" s="239">
        <f t="shared" si="5"/>
        <v>60000</v>
      </c>
      <c r="N31" s="21">
        <f>SUM(B31:M31)</f>
        <v>584000</v>
      </c>
    </row>
    <row r="32" spans="1:14">
      <c r="A32" s="256" t="s">
        <v>45</v>
      </c>
      <c r="B32" s="28">
        <f>B31-B33</f>
        <v>417.77123220422072</v>
      </c>
      <c r="C32" s="28">
        <f t="shared" ref="C32" si="6">C31-C33</f>
        <v>472.26313205694532</v>
      </c>
      <c r="D32" s="28">
        <f t="shared" ref="D32" si="7">D31-D33</f>
        <v>817.37849779086537</v>
      </c>
      <c r="E32" s="28">
        <f t="shared" ref="E32" si="8">E31-E33</f>
        <v>653.9027982326952</v>
      </c>
      <c r="F32" s="28">
        <f t="shared" ref="F32" si="9">F31-F33</f>
        <v>817.37849779086537</v>
      </c>
      <c r="G32" s="28">
        <f t="shared" ref="G32" si="10">G31-G33</f>
        <v>980.85419734904281</v>
      </c>
      <c r="H32" s="28">
        <f t="shared" ref="H32" si="11">H31-H33</f>
        <v>1089.837997054492</v>
      </c>
      <c r="I32" s="28">
        <f t="shared" ref="I32" si="12">I31-I33</f>
        <v>999.01816396661889</v>
      </c>
      <c r="J32" s="28">
        <f t="shared" ref="J32" si="13">J31-J33</f>
        <v>1089.837997054492</v>
      </c>
      <c r="K32" s="28">
        <f t="shared" ref="K32" si="14">K31-K33</f>
        <v>1089.837997054492</v>
      </c>
      <c r="L32" s="28">
        <f t="shared" ref="L32" si="15">L31-L33</f>
        <v>1089.837997054492</v>
      </c>
      <c r="M32" s="28">
        <f t="shared" ref="M32" si="16">M31-M33</f>
        <v>1089.837997054492</v>
      </c>
      <c r="N32" s="21">
        <f>SUM(B32:M32)</f>
        <v>10607.756504663714</v>
      </c>
    </row>
    <row r="33" spans="1:14">
      <c r="A33" s="256" t="s">
        <v>47</v>
      </c>
      <c r="B33" s="28">
        <f>B31/(1+'Transmission Formula Rate (7)'!$B$27)</f>
        <v>22582.228767795779</v>
      </c>
      <c r="C33" s="28">
        <f>C31/(1+'Transmission Formula Rate (7)'!$B$27)</f>
        <v>25527.736867943055</v>
      </c>
      <c r="D33" s="28">
        <f>D31/(1+'Transmission Formula Rate (7)'!$B$27)</f>
        <v>44182.621502209135</v>
      </c>
      <c r="E33" s="28">
        <f>E31/(1+'Transmission Formula Rate (7)'!$B$27)</f>
        <v>35346.097201767305</v>
      </c>
      <c r="F33" s="28">
        <f>F31/(1+'Transmission Formula Rate (7)'!$B$27)</f>
        <v>44182.621502209135</v>
      </c>
      <c r="G33" s="28">
        <f>G31/(1+'Transmission Formula Rate (7)'!$B$27)</f>
        <v>53019.145802650957</v>
      </c>
      <c r="H33" s="28">
        <f>H31/(1+'Transmission Formula Rate (7)'!$B$27)</f>
        <v>58910.162002945508</v>
      </c>
      <c r="I33" s="28">
        <f>I31/(1+'Transmission Formula Rate (7)'!$B$27)</f>
        <v>54000.981836033381</v>
      </c>
      <c r="J33" s="28">
        <f>J31/(1+'Transmission Formula Rate (7)'!$B$27)</f>
        <v>58910.162002945508</v>
      </c>
      <c r="K33" s="28">
        <f>K31/(1+'Transmission Formula Rate (7)'!$B$27)</f>
        <v>58910.162002945508</v>
      </c>
      <c r="L33" s="28">
        <f>L31/(1+'Transmission Formula Rate (7)'!$B$27)</f>
        <v>58910.162002945508</v>
      </c>
      <c r="M33" s="28">
        <f>M31/(1+'Transmission Formula Rate (7)'!$B$27)</f>
        <v>58910.162002945508</v>
      </c>
      <c r="N33" s="124">
        <f>SUM(B33:M33)</f>
        <v>573392.24349533627</v>
      </c>
    </row>
    <row r="34" spans="1:14">
      <c r="A34" s="254" t="s">
        <v>149</v>
      </c>
      <c r="B34" s="32">
        <f>'charges (1 &amp; 2)'!D12</f>
        <v>1.274E-2</v>
      </c>
      <c r="C34" s="32">
        <f>B34</f>
        <v>1.274E-2</v>
      </c>
      <c r="D34" s="32">
        <f t="shared" ref="D34:M34" si="17">C34</f>
        <v>1.274E-2</v>
      </c>
      <c r="E34" s="32">
        <f t="shared" si="17"/>
        <v>1.274E-2</v>
      </c>
      <c r="F34" s="32">
        <f t="shared" si="17"/>
        <v>1.274E-2</v>
      </c>
      <c r="G34" s="32">
        <f t="shared" si="17"/>
        <v>1.274E-2</v>
      </c>
      <c r="H34" s="32">
        <f t="shared" si="17"/>
        <v>1.274E-2</v>
      </c>
      <c r="I34" s="32">
        <f t="shared" si="17"/>
        <v>1.274E-2</v>
      </c>
      <c r="J34" s="32">
        <f t="shared" si="17"/>
        <v>1.274E-2</v>
      </c>
      <c r="K34" s="32">
        <f t="shared" si="17"/>
        <v>1.274E-2</v>
      </c>
      <c r="L34" s="32">
        <f t="shared" si="17"/>
        <v>1.274E-2</v>
      </c>
      <c r="M34" s="32">
        <f t="shared" si="17"/>
        <v>1.274E-2</v>
      </c>
      <c r="N34" s="20"/>
    </row>
    <row r="35" spans="1:14">
      <c r="A35" s="254" t="s">
        <v>17</v>
      </c>
      <c r="B35" s="21">
        <f>B31*B34</f>
        <v>293.02</v>
      </c>
      <c r="C35" s="21">
        <f t="shared" ref="C35" si="18">C31*C34</f>
        <v>331.24</v>
      </c>
      <c r="D35" s="21">
        <f t="shared" ref="D35" si="19">D31*D34</f>
        <v>573.29999999999995</v>
      </c>
      <c r="E35" s="21">
        <f t="shared" ref="E35" si="20">E31*E34</f>
        <v>458.64</v>
      </c>
      <c r="F35" s="21">
        <f t="shared" ref="F35" si="21">F31*F34</f>
        <v>573.29999999999995</v>
      </c>
      <c r="G35" s="21">
        <f t="shared" ref="G35" si="22">G31*G34</f>
        <v>687.95999999999992</v>
      </c>
      <c r="H35" s="21">
        <f t="shared" ref="H35" si="23">H31*H34</f>
        <v>764.4</v>
      </c>
      <c r="I35" s="21">
        <f t="shared" ref="I35" si="24">I31*I34</f>
        <v>700.69999999999993</v>
      </c>
      <c r="J35" s="21">
        <f t="shared" ref="J35" si="25">J31*J34</f>
        <v>764.4</v>
      </c>
      <c r="K35" s="21">
        <f t="shared" ref="K35" si="26">K31*K34</f>
        <v>764.4</v>
      </c>
      <c r="L35" s="21">
        <f t="shared" ref="L35" si="27">L31*L34</f>
        <v>764.4</v>
      </c>
      <c r="M35" s="21">
        <f t="shared" ref="M35" si="28">M31*M34</f>
        <v>764.4</v>
      </c>
      <c r="N35" s="21">
        <f>SUM(B35:M35)</f>
        <v>7440.1599999999989</v>
      </c>
    </row>
    <row r="36" spans="1:14">
      <c r="A36" s="25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5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B38" s="24" t="s">
        <v>0</v>
      </c>
      <c r="C38" s="24" t="s">
        <v>1</v>
      </c>
      <c r="D38" s="24" t="s">
        <v>2</v>
      </c>
      <c r="E38" s="24" t="s">
        <v>3</v>
      </c>
      <c r="F38" s="24" t="s">
        <v>4</v>
      </c>
      <c r="G38" s="24" t="s">
        <v>5</v>
      </c>
      <c r="H38" s="24" t="s">
        <v>6</v>
      </c>
      <c r="I38" s="24" t="s">
        <v>7</v>
      </c>
      <c r="J38" s="24" t="s">
        <v>8</v>
      </c>
      <c r="K38" s="24" t="s">
        <v>9</v>
      </c>
      <c r="L38" s="24" t="s">
        <v>10</v>
      </c>
      <c r="M38" s="24" t="s">
        <v>11</v>
      </c>
      <c r="N38" s="24" t="s">
        <v>12</v>
      </c>
    </row>
    <row r="39" spans="1:14">
      <c r="A39" s="255">
        <f>+A22+1</f>
        <v>2016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>
      <c r="A40" s="254" t="s">
        <v>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56" t="s">
        <v>297</v>
      </c>
      <c r="B41" s="239">
        <f>'Winter Park Forecast'!E12</f>
        <v>60000</v>
      </c>
      <c r="C41" s="239">
        <f>'Winter Park Forecast'!F12</f>
        <v>60000</v>
      </c>
      <c r="D41" s="239">
        <f>'Winter Park Forecast'!G12</f>
        <v>60000</v>
      </c>
      <c r="E41" s="239">
        <f>'Winter Park Forecast'!H12</f>
        <v>60000</v>
      </c>
      <c r="F41" s="239">
        <f>'Winter Park Forecast'!I12</f>
        <v>60000</v>
      </c>
      <c r="G41" s="239">
        <f>'Winter Park Forecast'!J12</f>
        <v>60000</v>
      </c>
      <c r="H41" s="239">
        <f>'Winter Park Forecast'!K12</f>
        <v>60000</v>
      </c>
      <c r="I41" s="239">
        <f>'Winter Park Forecast'!L12</f>
        <v>60000</v>
      </c>
      <c r="J41" s="239">
        <f>'Winter Park Forecast'!M12</f>
        <v>60000</v>
      </c>
      <c r="K41" s="239">
        <f>'Winter Park Forecast'!N12</f>
        <v>60000</v>
      </c>
      <c r="L41" s="239">
        <f>'Winter Park Forecast'!O12</f>
        <v>60000</v>
      </c>
      <c r="M41" s="239">
        <f>'Winter Park Forecast'!P12</f>
        <v>60000</v>
      </c>
      <c r="N41" s="21">
        <f>SUM(B41:M41)</f>
        <v>720000</v>
      </c>
    </row>
    <row r="42" spans="1:14">
      <c r="A42" s="256" t="s">
        <v>45</v>
      </c>
      <c r="B42" s="28">
        <f>B41-B43</f>
        <v>1089.837997054492</v>
      </c>
      <c r="C42" s="28">
        <f t="shared" ref="C42" si="29">C41-C43</f>
        <v>1089.837997054492</v>
      </c>
      <c r="D42" s="28">
        <f t="shared" ref="D42" si="30">D41-D43</f>
        <v>1089.837997054492</v>
      </c>
      <c r="E42" s="28">
        <f t="shared" ref="E42" si="31">E41-E43</f>
        <v>1089.837997054492</v>
      </c>
      <c r="F42" s="28">
        <f t="shared" ref="F42" si="32">F41-F43</f>
        <v>1089.837997054492</v>
      </c>
      <c r="G42" s="28">
        <f t="shared" ref="G42" si="33">G41-G43</f>
        <v>1089.837997054492</v>
      </c>
      <c r="H42" s="28">
        <f t="shared" ref="H42" si="34">H41-H43</f>
        <v>1089.837997054492</v>
      </c>
      <c r="I42" s="28">
        <f t="shared" ref="I42" si="35">I41-I43</f>
        <v>1089.837997054492</v>
      </c>
      <c r="J42" s="28">
        <f t="shared" ref="J42" si="36">J41-J43</f>
        <v>1089.837997054492</v>
      </c>
      <c r="K42" s="28">
        <f t="shared" ref="K42" si="37">K41-K43</f>
        <v>1089.837997054492</v>
      </c>
      <c r="L42" s="28">
        <f t="shared" ref="L42" si="38">L41-L43</f>
        <v>1089.837997054492</v>
      </c>
      <c r="M42" s="28">
        <f t="shared" ref="M42" si="39">M41-M43</f>
        <v>1089.837997054492</v>
      </c>
      <c r="N42" s="21">
        <f>SUM(B42:M42)</f>
        <v>13078.055964653904</v>
      </c>
    </row>
    <row r="43" spans="1:14">
      <c r="A43" s="256" t="s">
        <v>47</v>
      </c>
      <c r="B43" s="28">
        <f>B41/(1+'Transmission Formula Rate (7)'!$B$27)</f>
        <v>58910.162002945508</v>
      </c>
      <c r="C43" s="28">
        <f>C41/(1+'Transmission Formula Rate (7)'!$B$27)</f>
        <v>58910.162002945508</v>
      </c>
      <c r="D43" s="28">
        <f>D41/(1+'Transmission Formula Rate (7)'!$B$27)</f>
        <v>58910.162002945508</v>
      </c>
      <c r="E43" s="28">
        <f>E41/(1+'Transmission Formula Rate (7)'!$B$27)</f>
        <v>58910.162002945508</v>
      </c>
      <c r="F43" s="28">
        <f>F41/(1+'Transmission Formula Rate (7)'!$B$27)</f>
        <v>58910.162002945508</v>
      </c>
      <c r="G43" s="28">
        <f>G41/(1+'Transmission Formula Rate (7)'!$B$27)</f>
        <v>58910.162002945508</v>
      </c>
      <c r="H43" s="28">
        <f>H41/(1+'Transmission Formula Rate (7)'!$B$27)</f>
        <v>58910.162002945508</v>
      </c>
      <c r="I43" s="28">
        <f>I41/(1+'Transmission Formula Rate (7)'!$B$27)</f>
        <v>58910.162002945508</v>
      </c>
      <c r="J43" s="28">
        <f>J41/(1+'Transmission Formula Rate (7)'!$B$27)</f>
        <v>58910.162002945508</v>
      </c>
      <c r="K43" s="28">
        <f>K41/(1+'Transmission Formula Rate (7)'!$B$27)</f>
        <v>58910.162002945508</v>
      </c>
      <c r="L43" s="28">
        <f>L41/(1+'Transmission Formula Rate (7)'!$B$27)</f>
        <v>58910.162002945508</v>
      </c>
      <c r="M43" s="28">
        <f>M41/(1+'Transmission Formula Rate (7)'!$B$27)</f>
        <v>58910.162002945508</v>
      </c>
      <c r="N43" s="124">
        <f>SUM(B43:M43)</f>
        <v>706921.94403534615</v>
      </c>
    </row>
    <row r="44" spans="1:14">
      <c r="A44" s="254" t="s">
        <v>20</v>
      </c>
      <c r="B44" s="30">
        <f>'Transmission Formula Rate (7)'!B12</f>
        <v>1.59</v>
      </c>
      <c r="C44" s="30">
        <f>'Transmission Formula Rate (7)'!C12</f>
        <v>1.59</v>
      </c>
      <c r="D44" s="30">
        <f>'Transmission Formula Rate (7)'!D12</f>
        <v>1.59</v>
      </c>
      <c r="E44" s="30">
        <f>'Transmission Formula Rate (7)'!E12</f>
        <v>1.59</v>
      </c>
      <c r="F44" s="30">
        <f>'Transmission Formula Rate (7)'!F12</f>
        <v>1.59</v>
      </c>
      <c r="G44" s="30">
        <f>'Transmission Formula Rate (7)'!G12</f>
        <v>1.59</v>
      </c>
      <c r="H44" s="30">
        <f>'Transmission Formula Rate (7)'!H12</f>
        <v>1.59</v>
      </c>
      <c r="I44" s="30">
        <f>'Transmission Formula Rate (7)'!I12</f>
        <v>1.59</v>
      </c>
      <c r="J44" s="30">
        <f>'Transmission Formula Rate (7)'!J12</f>
        <v>1.59</v>
      </c>
      <c r="K44" s="30">
        <f>'Transmission Formula Rate (7)'!K12</f>
        <v>1.59</v>
      </c>
      <c r="L44" s="30">
        <f>'Transmission Formula Rate (7)'!L12</f>
        <v>1.59</v>
      </c>
      <c r="M44" s="30">
        <f>'Transmission Formula Rate (7)'!M12</f>
        <v>1.59</v>
      </c>
      <c r="N44" s="20"/>
    </row>
    <row r="45" spans="1:14">
      <c r="A45" s="254" t="s">
        <v>17</v>
      </c>
      <c r="B45" s="21">
        <f>B41*B44</f>
        <v>95400</v>
      </c>
      <c r="C45" s="21">
        <f t="shared" ref="C45" si="40">C41*C44</f>
        <v>95400</v>
      </c>
      <c r="D45" s="21">
        <f t="shared" ref="D45" si="41">D41*D44</f>
        <v>95400</v>
      </c>
      <c r="E45" s="21">
        <f t="shared" ref="E45" si="42">E41*E44</f>
        <v>95400</v>
      </c>
      <c r="F45" s="21">
        <f t="shared" ref="F45" si="43">F41*F44</f>
        <v>95400</v>
      </c>
      <c r="G45" s="21">
        <f t="shared" ref="G45" si="44">G41*G44</f>
        <v>95400</v>
      </c>
      <c r="H45" s="21">
        <f t="shared" ref="H45" si="45">H41*H44</f>
        <v>95400</v>
      </c>
      <c r="I45" s="21">
        <f t="shared" ref="I45" si="46">I41*I44</f>
        <v>95400</v>
      </c>
      <c r="J45" s="21">
        <f t="shared" ref="J45" si="47">J41*J44</f>
        <v>95400</v>
      </c>
      <c r="K45" s="21">
        <f t="shared" ref="K45" si="48">K41*K44</f>
        <v>95400</v>
      </c>
      <c r="L45" s="21">
        <f t="shared" ref="L45" si="49">L41*L44</f>
        <v>95400</v>
      </c>
      <c r="M45" s="21">
        <f t="shared" ref="M45" si="50">M41*M44</f>
        <v>95400</v>
      </c>
      <c r="N45" s="21">
        <f>SUM(B45:M45)</f>
        <v>1144800</v>
      </c>
    </row>
    <row r="47" spans="1:14">
      <c r="A47" s="254" t="s">
        <v>141</v>
      </c>
    </row>
    <row r="48" spans="1:14">
      <c r="A48" s="256" t="s">
        <v>297</v>
      </c>
      <c r="B48" s="239">
        <f>B41</f>
        <v>60000</v>
      </c>
      <c r="C48" s="239">
        <f t="shared" ref="C48:M48" si="51">C41</f>
        <v>60000</v>
      </c>
      <c r="D48" s="239">
        <f t="shared" si="51"/>
        <v>60000</v>
      </c>
      <c r="E48" s="239">
        <f t="shared" si="51"/>
        <v>60000</v>
      </c>
      <c r="F48" s="239">
        <f t="shared" si="51"/>
        <v>60000</v>
      </c>
      <c r="G48" s="239">
        <f t="shared" si="51"/>
        <v>60000</v>
      </c>
      <c r="H48" s="239">
        <f t="shared" si="51"/>
        <v>60000</v>
      </c>
      <c r="I48" s="239">
        <f t="shared" si="51"/>
        <v>60000</v>
      </c>
      <c r="J48" s="239">
        <f t="shared" si="51"/>
        <v>60000</v>
      </c>
      <c r="K48" s="239">
        <f t="shared" si="51"/>
        <v>60000</v>
      </c>
      <c r="L48" s="239">
        <f t="shared" si="51"/>
        <v>60000</v>
      </c>
      <c r="M48" s="239">
        <f t="shared" si="51"/>
        <v>60000</v>
      </c>
      <c r="N48" s="21">
        <f>SUM(B48:M48)</f>
        <v>720000</v>
      </c>
    </row>
    <row r="49" spans="1:15">
      <c r="A49" s="256" t="s">
        <v>45</v>
      </c>
      <c r="B49" s="28">
        <f>B48-B50</f>
        <v>1089.837997054492</v>
      </c>
      <c r="C49" s="28">
        <f t="shared" ref="C49" si="52">C48-C50</f>
        <v>1089.837997054492</v>
      </c>
      <c r="D49" s="28">
        <f t="shared" ref="D49" si="53">D48-D50</f>
        <v>1089.837997054492</v>
      </c>
      <c r="E49" s="28">
        <f t="shared" ref="E49" si="54">E48-E50</f>
        <v>1089.837997054492</v>
      </c>
      <c r="F49" s="28">
        <f t="shared" ref="F49" si="55">F48-F50</f>
        <v>1089.837997054492</v>
      </c>
      <c r="G49" s="28">
        <f t="shared" ref="G49" si="56">G48-G50</f>
        <v>1089.837997054492</v>
      </c>
      <c r="H49" s="28">
        <f t="shared" ref="H49" si="57">H48-H50</f>
        <v>1089.837997054492</v>
      </c>
      <c r="I49" s="28">
        <f t="shared" ref="I49" si="58">I48-I50</f>
        <v>1089.837997054492</v>
      </c>
      <c r="J49" s="28">
        <f t="shared" ref="J49" si="59">J48-J50</f>
        <v>1089.837997054492</v>
      </c>
      <c r="K49" s="28">
        <f t="shared" ref="K49" si="60">K48-K50</f>
        <v>1089.837997054492</v>
      </c>
      <c r="L49" s="28">
        <f t="shared" ref="L49" si="61">L48-L50</f>
        <v>1089.837997054492</v>
      </c>
      <c r="M49" s="28">
        <f t="shared" ref="M49" si="62">M48-M50</f>
        <v>1089.837997054492</v>
      </c>
      <c r="N49" s="21">
        <f>SUM(B49:M49)</f>
        <v>13078.055964653904</v>
      </c>
    </row>
    <row r="50" spans="1:15">
      <c r="A50" s="256" t="s">
        <v>47</v>
      </c>
      <c r="B50" s="28">
        <f>B48/(1+'Transmission Formula Rate (7)'!$B$27)</f>
        <v>58910.162002945508</v>
      </c>
      <c r="C50" s="28">
        <f>C48/(1+'Transmission Formula Rate (7)'!$B$27)</f>
        <v>58910.162002945508</v>
      </c>
      <c r="D50" s="28">
        <f>D48/(1+'Transmission Formula Rate (7)'!$B$27)</f>
        <v>58910.162002945508</v>
      </c>
      <c r="E50" s="28">
        <f>E48/(1+'Transmission Formula Rate (7)'!$B$27)</f>
        <v>58910.162002945508</v>
      </c>
      <c r="F50" s="28">
        <f>F48/(1+'Transmission Formula Rate (7)'!$B$27)</f>
        <v>58910.162002945508</v>
      </c>
      <c r="G50" s="28">
        <f>G48/(1+'Transmission Formula Rate (7)'!$B$27)</f>
        <v>58910.162002945508</v>
      </c>
      <c r="H50" s="28">
        <f>H48/(1+'Transmission Formula Rate (7)'!$B$27)</f>
        <v>58910.162002945508</v>
      </c>
      <c r="I50" s="28">
        <f>I48/(1+'Transmission Formula Rate (7)'!$B$27)</f>
        <v>58910.162002945508</v>
      </c>
      <c r="J50" s="28">
        <f>J48/(1+'Transmission Formula Rate (7)'!$B$27)</f>
        <v>58910.162002945508</v>
      </c>
      <c r="K50" s="28">
        <f>K48/(1+'Transmission Formula Rate (7)'!$B$27)</f>
        <v>58910.162002945508</v>
      </c>
      <c r="L50" s="28">
        <f>L48/(1+'Transmission Formula Rate (7)'!$B$27)</f>
        <v>58910.162002945508</v>
      </c>
      <c r="M50" s="28">
        <f>M48/(1+'Transmission Formula Rate (7)'!$B$27)</f>
        <v>58910.162002945508</v>
      </c>
      <c r="N50" s="124">
        <f>SUM(B50:M50)</f>
        <v>706921.94403534615</v>
      </c>
    </row>
    <row r="51" spans="1:15">
      <c r="A51" s="254" t="s">
        <v>149</v>
      </c>
      <c r="B51" s="32">
        <f>'charges (1 &amp; 2)'!E12</f>
        <v>1.274E-2</v>
      </c>
      <c r="C51" s="32">
        <f>B51</f>
        <v>1.274E-2</v>
      </c>
      <c r="D51" s="32">
        <f t="shared" ref="D51:M51" si="63">C51</f>
        <v>1.274E-2</v>
      </c>
      <c r="E51" s="32">
        <f t="shared" si="63"/>
        <v>1.274E-2</v>
      </c>
      <c r="F51" s="32">
        <f t="shared" si="63"/>
        <v>1.274E-2</v>
      </c>
      <c r="G51" s="32">
        <f t="shared" si="63"/>
        <v>1.274E-2</v>
      </c>
      <c r="H51" s="32">
        <f t="shared" si="63"/>
        <v>1.274E-2</v>
      </c>
      <c r="I51" s="32">
        <f t="shared" si="63"/>
        <v>1.274E-2</v>
      </c>
      <c r="J51" s="32">
        <f t="shared" si="63"/>
        <v>1.274E-2</v>
      </c>
      <c r="K51" s="32">
        <f t="shared" si="63"/>
        <v>1.274E-2</v>
      </c>
      <c r="L51" s="32">
        <f t="shared" si="63"/>
        <v>1.274E-2</v>
      </c>
      <c r="M51" s="32">
        <f t="shared" si="63"/>
        <v>1.274E-2</v>
      </c>
      <c r="N51" s="20"/>
    </row>
    <row r="52" spans="1:15">
      <c r="A52" s="254" t="s">
        <v>17</v>
      </c>
      <c r="B52" s="21">
        <f>B48*B51</f>
        <v>764.4</v>
      </c>
      <c r="C52" s="21">
        <f t="shared" ref="C52" si="64">C48*C51</f>
        <v>764.4</v>
      </c>
      <c r="D52" s="21">
        <f t="shared" ref="D52" si="65">D48*D51</f>
        <v>764.4</v>
      </c>
      <c r="E52" s="21">
        <f t="shared" ref="E52" si="66">E48*E51</f>
        <v>764.4</v>
      </c>
      <c r="F52" s="21">
        <f t="shared" ref="F52" si="67">F48*F51</f>
        <v>764.4</v>
      </c>
      <c r="G52" s="21">
        <f t="shared" ref="G52" si="68">G48*G51</f>
        <v>764.4</v>
      </c>
      <c r="H52" s="21">
        <f t="shared" ref="H52" si="69">H48*H51</f>
        <v>764.4</v>
      </c>
      <c r="I52" s="21">
        <f t="shared" ref="I52" si="70">I48*I51</f>
        <v>764.4</v>
      </c>
      <c r="J52" s="21">
        <f t="shared" ref="J52" si="71">J48*J51</f>
        <v>764.4</v>
      </c>
      <c r="K52" s="21">
        <f t="shared" ref="K52" si="72">K48*K51</f>
        <v>764.4</v>
      </c>
      <c r="L52" s="21">
        <f t="shared" ref="L52" si="73">L48*L51</f>
        <v>764.4</v>
      </c>
      <c r="M52" s="21">
        <f t="shared" ref="M52" si="74">M48*M51</f>
        <v>764.4</v>
      </c>
      <c r="N52" s="21">
        <f>SUM(B52:M52)</f>
        <v>9172.7999999999975</v>
      </c>
    </row>
    <row r="55" spans="1:15">
      <c r="B55" s="24" t="s">
        <v>0</v>
      </c>
      <c r="C55" s="24" t="s">
        <v>1</v>
      </c>
      <c r="D55" s="24" t="s">
        <v>2</v>
      </c>
      <c r="E55" s="24" t="s">
        <v>3</v>
      </c>
      <c r="F55" s="24" t="s">
        <v>4</v>
      </c>
      <c r="G55" s="24" t="s">
        <v>5</v>
      </c>
      <c r="H55" s="24" t="s">
        <v>6</v>
      </c>
      <c r="I55" s="24" t="s">
        <v>7</v>
      </c>
      <c r="J55" s="24" t="s">
        <v>8</v>
      </c>
      <c r="K55" s="24" t="s">
        <v>9</v>
      </c>
      <c r="L55" s="24" t="s">
        <v>10</v>
      </c>
      <c r="M55" s="24" t="s">
        <v>11</v>
      </c>
      <c r="N55" s="24" t="s">
        <v>12</v>
      </c>
    </row>
    <row r="56" spans="1:15">
      <c r="A56" s="255">
        <f>+A39+1</f>
        <v>2017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5">
      <c r="A57" s="254" t="s">
        <v>37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5">
      <c r="A58" s="256" t="s">
        <v>297</v>
      </c>
      <c r="B58" s="239">
        <f>'Winter Park Forecast'!E13</f>
        <v>60000</v>
      </c>
      <c r="C58" s="239">
        <f>'Winter Park Forecast'!F13</f>
        <v>60000</v>
      </c>
      <c r="D58" s="239">
        <f>'Winter Park Forecast'!G13</f>
        <v>43965.872499999998</v>
      </c>
      <c r="E58" s="239">
        <f>'Winter Park Forecast'!H13</f>
        <v>47340.298499999997</v>
      </c>
      <c r="F58" s="239">
        <f>'Winter Park Forecast'!I13</f>
        <v>65056.034999999996</v>
      </c>
      <c r="G58" s="239">
        <f>'Winter Park Forecast'!J13</f>
        <v>66743.247999999992</v>
      </c>
      <c r="H58" s="239">
        <f>'Winter Park Forecast'!K13</f>
        <v>64212.428499999987</v>
      </c>
      <c r="I58" s="239">
        <f>'Winter Park Forecast'!L13</f>
        <v>71804.886999999988</v>
      </c>
      <c r="J58" s="239">
        <f>'Winter Park Forecast'!M13</f>
        <v>60000</v>
      </c>
      <c r="K58" s="239">
        <f>'Winter Park Forecast'!N13</f>
        <v>60838.002500000002</v>
      </c>
      <c r="L58" s="239">
        <f>'Winter Park Forecast'!O13</f>
        <v>43122.265999999996</v>
      </c>
      <c r="M58" s="239">
        <f>'Winter Park Forecast'!P13</f>
        <v>43122.265999999996</v>
      </c>
      <c r="N58" s="21">
        <f>SUM(B58:M58)</f>
        <v>686205.30399999977</v>
      </c>
    </row>
    <row r="59" spans="1:15">
      <c r="A59" s="256" t="s">
        <v>45</v>
      </c>
      <c r="B59" s="28">
        <f>B58-B60</f>
        <v>1089.837997054492</v>
      </c>
      <c r="C59" s="28">
        <f t="shared" ref="C59" si="75">C58-C60</f>
        <v>1089.837997054492</v>
      </c>
      <c r="D59" s="28">
        <f t="shared" ref="D59" si="76">D58-D60</f>
        <v>798.59464040255261</v>
      </c>
      <c r="E59" s="28">
        <f t="shared" ref="E59" si="77">E58-E60</f>
        <v>859.88760162003018</v>
      </c>
      <c r="F59" s="28">
        <f t="shared" ref="F59" si="78">F58-F60</f>
        <v>1181.6756480117765</v>
      </c>
      <c r="G59" s="28">
        <f t="shared" ref="G59" si="79">G58-G60</f>
        <v>1212.3221286205153</v>
      </c>
      <c r="H59" s="28">
        <f t="shared" ref="H59" si="80">H58-H60</f>
        <v>1166.3524077074107</v>
      </c>
      <c r="I59" s="28">
        <f t="shared" ref="I59" si="81">I58-I60</f>
        <v>1304.2615704467316</v>
      </c>
      <c r="J59" s="28">
        <f t="shared" ref="J59" si="82">J58-J60</f>
        <v>1089.837997054492</v>
      </c>
      <c r="K59" s="28">
        <f t="shared" ref="K59" si="83">K58-K60</f>
        <v>1105.0594464899332</v>
      </c>
      <c r="L59" s="28">
        <f t="shared" ref="L59" si="84">L58-L60</f>
        <v>783.27140009817958</v>
      </c>
      <c r="M59" s="28">
        <f t="shared" ref="M59" si="85">M58-M60</f>
        <v>783.27140009817958</v>
      </c>
      <c r="N59" s="21">
        <f>SUM(B59:M59)</f>
        <v>12464.210234658785</v>
      </c>
    </row>
    <row r="60" spans="1:15">
      <c r="A60" s="256" t="s">
        <v>47</v>
      </c>
      <c r="B60" s="28">
        <f>B58/(1+'Transmission Formula Rate (7)'!$B$27)</f>
        <v>58910.162002945508</v>
      </c>
      <c r="C60" s="28">
        <f>C58/(1+'Transmission Formula Rate (7)'!$B$27)</f>
        <v>58910.162002945508</v>
      </c>
      <c r="D60" s="28">
        <f>D58/(1+'Transmission Formula Rate (7)'!$B$27)</f>
        <v>43167.277859597445</v>
      </c>
      <c r="E60" s="28">
        <f>E58/(1+'Transmission Formula Rate (7)'!$B$27)</f>
        <v>46480.410898379967</v>
      </c>
      <c r="F60" s="28">
        <f>F58/(1+'Transmission Formula Rate (7)'!$B$27)</f>
        <v>63874.35935198822</v>
      </c>
      <c r="G60" s="28">
        <f>G58/(1+'Transmission Formula Rate (7)'!$B$27)</f>
        <v>65530.925871379477</v>
      </c>
      <c r="H60" s="28">
        <f>H58/(1+'Transmission Formula Rate (7)'!$B$27)</f>
        <v>63046.076092292577</v>
      </c>
      <c r="I60" s="28">
        <f>I58/(1+'Transmission Formula Rate (7)'!$B$27)</f>
        <v>70500.625429553256</v>
      </c>
      <c r="J60" s="28">
        <f>J58/(1+'Transmission Formula Rate (7)'!$B$27)</f>
        <v>58910.162002945508</v>
      </c>
      <c r="K60" s="28">
        <f>K58/(1+'Transmission Formula Rate (7)'!$B$27)</f>
        <v>59732.943053510069</v>
      </c>
      <c r="L60" s="28">
        <f>L58/(1+'Transmission Formula Rate (7)'!$B$27)</f>
        <v>42338.994599901816</v>
      </c>
      <c r="M60" s="28">
        <f>M58/(1+'Transmission Formula Rate (7)'!$B$27)</f>
        <v>42338.994599901816</v>
      </c>
      <c r="N60" s="124">
        <f>SUM(B60:M60)</f>
        <v>673741.09376534121</v>
      </c>
    </row>
    <row r="61" spans="1:15">
      <c r="A61" s="254" t="s">
        <v>20</v>
      </c>
      <c r="B61" s="30">
        <f>'Transmission Formula Rate (7)'!B14</f>
        <v>1.59</v>
      </c>
      <c r="C61" s="30">
        <f>'Transmission Formula Rate (7)'!C14</f>
        <v>1.59</v>
      </c>
      <c r="D61" s="30">
        <f>'Transmission Formula Rate (7)'!D14</f>
        <v>1.59</v>
      </c>
      <c r="E61" s="30">
        <f>'Transmission Formula Rate (7)'!E14</f>
        <v>1.59</v>
      </c>
      <c r="F61" s="30">
        <f>'Transmission Formula Rate (7)'!F14</f>
        <v>1.59</v>
      </c>
      <c r="G61" s="30">
        <f>'Transmission Formula Rate (7)'!G14</f>
        <v>1.59</v>
      </c>
      <c r="H61" s="30">
        <f>'Transmission Formula Rate (7)'!H14</f>
        <v>1.59</v>
      </c>
      <c r="I61" s="30">
        <f>'Transmission Formula Rate (7)'!I14</f>
        <v>1.59</v>
      </c>
      <c r="J61" s="30">
        <f>'Transmission Formula Rate (7)'!J14</f>
        <v>1.59</v>
      </c>
      <c r="K61" s="30">
        <f>'Transmission Formula Rate (7)'!K14</f>
        <v>1.59</v>
      </c>
      <c r="L61" s="30">
        <f>'Transmission Formula Rate (7)'!L14</f>
        <v>1.59</v>
      </c>
      <c r="M61" s="30">
        <f>'Transmission Formula Rate (7)'!M14</f>
        <v>1.59</v>
      </c>
      <c r="N61" s="20"/>
      <c r="O61" s="277"/>
    </row>
    <row r="62" spans="1:15">
      <c r="A62" s="254" t="s">
        <v>17</v>
      </c>
      <c r="B62" s="21">
        <f>B58*B61</f>
        <v>95400</v>
      </c>
      <c r="C62" s="21">
        <f t="shared" ref="C62" si="86">C58*C61</f>
        <v>95400</v>
      </c>
      <c r="D62" s="21">
        <f t="shared" ref="D62" si="87">D58*D61</f>
        <v>69905.737275000007</v>
      </c>
      <c r="E62" s="21">
        <f t="shared" ref="E62" si="88">E58*E61</f>
        <v>75271.074615000005</v>
      </c>
      <c r="F62" s="21">
        <f t="shared" ref="F62" si="89">F58*F61</f>
        <v>103439.09565</v>
      </c>
      <c r="G62" s="21">
        <f t="shared" ref="G62" si="90">G58*G61</f>
        <v>106121.76431999999</v>
      </c>
      <c r="H62" s="21">
        <f t="shared" ref="H62" si="91">H58*H61</f>
        <v>102097.76131499998</v>
      </c>
      <c r="I62" s="21">
        <f t="shared" ref="I62" si="92">I58*I61</f>
        <v>114169.77032999998</v>
      </c>
      <c r="J62" s="21">
        <f t="shared" ref="J62" si="93">J58*J61</f>
        <v>95400</v>
      </c>
      <c r="K62" s="21">
        <f t="shared" ref="K62" si="94">K58*K61</f>
        <v>96732.423975000012</v>
      </c>
      <c r="L62" s="21">
        <f t="shared" ref="L62" si="95">L58*L61</f>
        <v>68564.40294</v>
      </c>
      <c r="M62" s="21">
        <f t="shared" ref="M62" si="96">M58*M61</f>
        <v>68564.40294</v>
      </c>
      <c r="N62" s="21">
        <f>SUM(B62:M62)</f>
        <v>1091066.4333599999</v>
      </c>
    </row>
    <row r="64" spans="1:15">
      <c r="A64" s="254" t="s">
        <v>141</v>
      </c>
    </row>
    <row r="65" spans="1:14">
      <c r="A65" s="256" t="s">
        <v>297</v>
      </c>
      <c r="B65" s="239">
        <f>B58</f>
        <v>60000</v>
      </c>
      <c r="C65" s="239">
        <f t="shared" ref="C65:M65" si="97">C58</f>
        <v>60000</v>
      </c>
      <c r="D65" s="239">
        <f t="shared" si="97"/>
        <v>43965.872499999998</v>
      </c>
      <c r="E65" s="239">
        <f t="shared" si="97"/>
        <v>47340.298499999997</v>
      </c>
      <c r="F65" s="239">
        <f t="shared" si="97"/>
        <v>65056.034999999996</v>
      </c>
      <c r="G65" s="239">
        <f t="shared" si="97"/>
        <v>66743.247999999992</v>
      </c>
      <c r="H65" s="239">
        <f t="shared" si="97"/>
        <v>64212.428499999987</v>
      </c>
      <c r="I65" s="239">
        <f t="shared" si="97"/>
        <v>71804.886999999988</v>
      </c>
      <c r="J65" s="239">
        <f t="shared" si="97"/>
        <v>60000</v>
      </c>
      <c r="K65" s="239">
        <f t="shared" si="97"/>
        <v>60838.002500000002</v>
      </c>
      <c r="L65" s="239">
        <f t="shared" si="97"/>
        <v>43122.265999999996</v>
      </c>
      <c r="M65" s="239">
        <f t="shared" si="97"/>
        <v>43122.265999999996</v>
      </c>
      <c r="N65" s="21">
        <f>SUM(B65:M65)</f>
        <v>686205.30399999977</v>
      </c>
    </row>
    <row r="66" spans="1:14">
      <c r="A66" s="256" t="s">
        <v>45</v>
      </c>
      <c r="B66" s="28">
        <f>B65-B67</f>
        <v>1089.837997054492</v>
      </c>
      <c r="C66" s="28">
        <f t="shared" ref="C66" si="98">C65-C67</f>
        <v>1089.837997054492</v>
      </c>
      <c r="D66" s="28">
        <f t="shared" ref="D66" si="99">D65-D67</f>
        <v>798.59464040255261</v>
      </c>
      <c r="E66" s="28">
        <f t="shared" ref="E66" si="100">E65-E67</f>
        <v>859.88760162003018</v>
      </c>
      <c r="F66" s="28">
        <f t="shared" ref="F66" si="101">F65-F67</f>
        <v>1181.6756480117765</v>
      </c>
      <c r="G66" s="28">
        <f t="shared" ref="G66" si="102">G65-G67</f>
        <v>1212.3221286205153</v>
      </c>
      <c r="H66" s="28">
        <f t="shared" ref="H66" si="103">H65-H67</f>
        <v>1166.3524077074107</v>
      </c>
      <c r="I66" s="28">
        <f t="shared" ref="I66" si="104">I65-I67</f>
        <v>1304.2615704467316</v>
      </c>
      <c r="J66" s="28">
        <f t="shared" ref="J66" si="105">J65-J67</f>
        <v>1089.837997054492</v>
      </c>
      <c r="K66" s="28">
        <f t="shared" ref="K66" si="106">K65-K67</f>
        <v>1105.0594464899332</v>
      </c>
      <c r="L66" s="28">
        <f t="shared" ref="L66" si="107">L65-L67</f>
        <v>783.27140009817958</v>
      </c>
      <c r="M66" s="28">
        <f t="shared" ref="M66" si="108">M65-M67</f>
        <v>783.27140009817958</v>
      </c>
      <c r="N66" s="21">
        <f>SUM(B66:M66)</f>
        <v>12464.210234658785</v>
      </c>
    </row>
    <row r="67" spans="1:14">
      <c r="A67" s="256" t="s">
        <v>47</v>
      </c>
      <c r="B67" s="28">
        <f>B65/(1+'Transmission Formula Rate (7)'!$B$27)</f>
        <v>58910.162002945508</v>
      </c>
      <c r="C67" s="28">
        <f>C65/(1+'Transmission Formula Rate (7)'!$B$27)</f>
        <v>58910.162002945508</v>
      </c>
      <c r="D67" s="28">
        <f>D65/(1+'Transmission Formula Rate (7)'!$B$27)</f>
        <v>43167.277859597445</v>
      </c>
      <c r="E67" s="28">
        <f>E65/(1+'Transmission Formula Rate (7)'!$B$27)</f>
        <v>46480.410898379967</v>
      </c>
      <c r="F67" s="28">
        <f>F65/(1+'Transmission Formula Rate (7)'!$B$27)</f>
        <v>63874.35935198822</v>
      </c>
      <c r="G67" s="28">
        <f>G65/(1+'Transmission Formula Rate (7)'!$B$27)</f>
        <v>65530.925871379477</v>
      </c>
      <c r="H67" s="28">
        <f>H65/(1+'Transmission Formula Rate (7)'!$B$27)</f>
        <v>63046.076092292577</v>
      </c>
      <c r="I67" s="28">
        <f>I65/(1+'Transmission Formula Rate (7)'!$B$27)</f>
        <v>70500.625429553256</v>
      </c>
      <c r="J67" s="28">
        <f>J65/(1+'Transmission Formula Rate (7)'!$B$27)</f>
        <v>58910.162002945508</v>
      </c>
      <c r="K67" s="28">
        <f>K65/(1+'Transmission Formula Rate (7)'!$B$27)</f>
        <v>59732.943053510069</v>
      </c>
      <c r="L67" s="28">
        <f>L65/(1+'Transmission Formula Rate (7)'!$B$27)</f>
        <v>42338.994599901816</v>
      </c>
      <c r="M67" s="28">
        <f>M65/(1+'Transmission Formula Rate (7)'!$B$27)</f>
        <v>42338.994599901816</v>
      </c>
      <c r="N67" s="124">
        <f>SUM(B67:M67)</f>
        <v>673741.09376534121</v>
      </c>
    </row>
    <row r="68" spans="1:14">
      <c r="A68" s="254" t="s">
        <v>149</v>
      </c>
      <c r="B68" s="32">
        <f>'charges (1 &amp; 2)'!F12</f>
        <v>1.274E-2</v>
      </c>
      <c r="C68" s="32">
        <f>B68</f>
        <v>1.274E-2</v>
      </c>
      <c r="D68" s="32">
        <f t="shared" ref="D68:M68" si="109">C68</f>
        <v>1.274E-2</v>
      </c>
      <c r="E68" s="32">
        <f t="shared" si="109"/>
        <v>1.274E-2</v>
      </c>
      <c r="F68" s="32">
        <f t="shared" si="109"/>
        <v>1.274E-2</v>
      </c>
      <c r="G68" s="32">
        <f t="shared" si="109"/>
        <v>1.274E-2</v>
      </c>
      <c r="H68" s="32">
        <f t="shared" si="109"/>
        <v>1.274E-2</v>
      </c>
      <c r="I68" s="32">
        <f t="shared" si="109"/>
        <v>1.274E-2</v>
      </c>
      <c r="J68" s="32">
        <f t="shared" si="109"/>
        <v>1.274E-2</v>
      </c>
      <c r="K68" s="32">
        <f t="shared" si="109"/>
        <v>1.274E-2</v>
      </c>
      <c r="L68" s="32">
        <f t="shared" si="109"/>
        <v>1.274E-2</v>
      </c>
      <c r="M68" s="32">
        <f t="shared" si="109"/>
        <v>1.274E-2</v>
      </c>
      <c r="N68" s="20"/>
    </row>
    <row r="69" spans="1:14">
      <c r="A69" s="254" t="s">
        <v>17</v>
      </c>
      <c r="B69" s="21">
        <f>B65*B68</f>
        <v>764.4</v>
      </c>
      <c r="C69" s="21">
        <f t="shared" ref="C69" si="110">C65*C68</f>
        <v>764.4</v>
      </c>
      <c r="D69" s="21">
        <f t="shared" ref="D69" si="111">D65*D68</f>
        <v>560.12521564999997</v>
      </c>
      <c r="E69" s="21">
        <f t="shared" ref="E69" si="112">E65*E68</f>
        <v>603.11540288999993</v>
      </c>
      <c r="F69" s="21">
        <f t="shared" ref="F69" si="113">F65*F68</f>
        <v>828.81388589999995</v>
      </c>
      <c r="G69" s="21">
        <f t="shared" ref="G69" si="114">G65*G68</f>
        <v>850.30897951999987</v>
      </c>
      <c r="H69" s="21">
        <f t="shared" ref="H69" si="115">H65*H68</f>
        <v>818.06633908999981</v>
      </c>
      <c r="I69" s="21">
        <f t="shared" ref="I69" si="116">I65*I68</f>
        <v>914.79426037999986</v>
      </c>
      <c r="J69" s="21">
        <f t="shared" ref="J69" si="117">J65*J68</f>
        <v>764.4</v>
      </c>
      <c r="K69" s="21">
        <f t="shared" ref="K69" si="118">K65*K68</f>
        <v>775.07615184999997</v>
      </c>
      <c r="L69" s="21">
        <f t="shared" ref="L69" si="119">L65*L68</f>
        <v>549.37766883999996</v>
      </c>
      <c r="M69" s="21">
        <f t="shared" ref="M69" si="120">M65*M68</f>
        <v>549.37766883999996</v>
      </c>
      <c r="N69" s="21">
        <f>SUM(B69:M69)</f>
        <v>8742.255572959999</v>
      </c>
    </row>
    <row r="71" spans="1:14">
      <c r="B71" s="24" t="s">
        <v>0</v>
      </c>
      <c r="C71" s="24" t="s">
        <v>1</v>
      </c>
      <c r="D71" s="24" t="s">
        <v>2</v>
      </c>
      <c r="E71" s="24" t="s">
        <v>3</v>
      </c>
      <c r="F71" s="24" t="s">
        <v>4</v>
      </c>
      <c r="G71" s="24" t="s">
        <v>5</v>
      </c>
      <c r="H71" s="24" t="s">
        <v>6</v>
      </c>
      <c r="I71" s="24" t="s">
        <v>7</v>
      </c>
      <c r="J71" s="24" t="s">
        <v>8</v>
      </c>
      <c r="K71" s="24" t="s">
        <v>9</v>
      </c>
      <c r="L71" s="24" t="s">
        <v>10</v>
      </c>
      <c r="M71" s="24" t="s">
        <v>11</v>
      </c>
      <c r="N71" s="24" t="s">
        <v>12</v>
      </c>
    </row>
    <row r="72" spans="1:14">
      <c r="A72" s="255">
        <f>A56+1</f>
        <v>2018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1:14">
      <c r="A73" s="254" t="s">
        <v>37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256" t="s">
        <v>297</v>
      </c>
      <c r="B74" s="239">
        <f>'Winter Park Forecast'!E14</f>
        <v>63368.821999999993</v>
      </c>
      <c r="C74" s="239">
        <f>'Winter Park Forecast'!F14</f>
        <v>60000</v>
      </c>
      <c r="D74" s="239">
        <f>'Winter Park Forecast'!G14</f>
        <v>43965.872499999998</v>
      </c>
      <c r="E74" s="239">
        <f>'Winter Park Forecast'!H14</f>
        <v>47340.298499999997</v>
      </c>
      <c r="F74" s="239">
        <f>'Winter Park Forecast'!I14</f>
        <v>65056.034999999996</v>
      </c>
      <c r="G74" s="239">
        <f>'Winter Park Forecast'!J14</f>
        <v>66743.247999999992</v>
      </c>
      <c r="H74" s="239">
        <f>'Winter Park Forecast'!K14</f>
        <v>64212.428499999987</v>
      </c>
      <c r="I74" s="239">
        <f>'Winter Park Forecast'!L14</f>
        <v>71804.886999999988</v>
      </c>
      <c r="J74" s="239">
        <f>'Winter Park Forecast'!M14</f>
        <v>60000</v>
      </c>
      <c r="K74" s="239">
        <f>'Winter Park Forecast'!N14</f>
        <v>60838.002500000002</v>
      </c>
      <c r="L74" s="239">
        <f>'Winter Park Forecast'!O14</f>
        <v>43122.265999999996</v>
      </c>
      <c r="M74" s="239">
        <f>'Winter Park Forecast'!P14</f>
        <v>43122.265999999996</v>
      </c>
      <c r="N74" s="21">
        <f>SUM(B74:M74)</f>
        <v>689574.1259999997</v>
      </c>
    </row>
    <row r="75" spans="1:14">
      <c r="A75" s="256" t="s">
        <v>45</v>
      </c>
      <c r="B75" s="28">
        <f>B74-B76</f>
        <v>1151.0291674030377</v>
      </c>
      <c r="C75" s="28">
        <f t="shared" ref="C75" si="121">C74-C76</f>
        <v>1089.837997054492</v>
      </c>
      <c r="D75" s="28">
        <f t="shared" ref="D75" si="122">D74-D76</f>
        <v>798.59464040255261</v>
      </c>
      <c r="E75" s="28">
        <f t="shared" ref="E75" si="123">E74-E76</f>
        <v>859.88760162003018</v>
      </c>
      <c r="F75" s="28">
        <f t="shared" ref="F75" si="124">F74-F76</f>
        <v>1181.6756480117765</v>
      </c>
      <c r="G75" s="28">
        <f t="shared" ref="G75" si="125">G74-G76</f>
        <v>1212.3221286205153</v>
      </c>
      <c r="H75" s="28">
        <f t="shared" ref="H75" si="126">H74-H76</f>
        <v>1166.3524077074107</v>
      </c>
      <c r="I75" s="28">
        <f t="shared" ref="I75" si="127">I74-I76</f>
        <v>1304.2615704467316</v>
      </c>
      <c r="J75" s="28">
        <f t="shared" ref="J75" si="128">J74-J76</f>
        <v>1089.837997054492</v>
      </c>
      <c r="K75" s="28">
        <f t="shared" ref="K75" si="129">K74-K76</f>
        <v>1105.0594464899332</v>
      </c>
      <c r="L75" s="28">
        <f t="shared" ref="L75" si="130">L74-L76</f>
        <v>783.27140009817958</v>
      </c>
      <c r="M75" s="28">
        <f t="shared" ref="M75" si="131">M74-M76</f>
        <v>783.27140009817958</v>
      </c>
      <c r="N75" s="21">
        <f>SUM(B75:M75)</f>
        <v>12525.401405007331</v>
      </c>
    </row>
    <row r="76" spans="1:14">
      <c r="A76" s="256" t="s">
        <v>47</v>
      </c>
      <c r="B76" s="28">
        <f>B74/(1+'Transmission Formula Rate (7)'!$B$27)</f>
        <v>62217.792832596955</v>
      </c>
      <c r="C76" s="28">
        <f>C74/(1+'Transmission Formula Rate (7)'!$B$27)</f>
        <v>58910.162002945508</v>
      </c>
      <c r="D76" s="28">
        <f>D74/(1+'Transmission Formula Rate (7)'!$B$27)</f>
        <v>43167.277859597445</v>
      </c>
      <c r="E76" s="28">
        <f>E74/(1+'Transmission Formula Rate (7)'!$B$27)</f>
        <v>46480.410898379967</v>
      </c>
      <c r="F76" s="28">
        <f>F74/(1+'Transmission Formula Rate (7)'!$B$27)</f>
        <v>63874.35935198822</v>
      </c>
      <c r="G76" s="28">
        <f>G74/(1+'Transmission Formula Rate (7)'!$B$27)</f>
        <v>65530.925871379477</v>
      </c>
      <c r="H76" s="28">
        <f>H74/(1+'Transmission Formula Rate (7)'!$B$27)</f>
        <v>63046.076092292577</v>
      </c>
      <c r="I76" s="28">
        <f>I74/(1+'Transmission Formula Rate (7)'!$B$27)</f>
        <v>70500.625429553256</v>
      </c>
      <c r="J76" s="28">
        <f>J74/(1+'Transmission Formula Rate (7)'!$B$27)</f>
        <v>58910.162002945508</v>
      </c>
      <c r="K76" s="28">
        <f>K74/(1+'Transmission Formula Rate (7)'!$B$27)</f>
        <v>59732.943053510069</v>
      </c>
      <c r="L76" s="28">
        <f>L74/(1+'Transmission Formula Rate (7)'!$B$27)</f>
        <v>42338.994599901816</v>
      </c>
      <c r="M76" s="28">
        <f>M74/(1+'Transmission Formula Rate (7)'!$B$27)</f>
        <v>42338.994599901816</v>
      </c>
      <c r="N76" s="124">
        <f>SUM(B76:M76)</f>
        <v>677048.7245949927</v>
      </c>
    </row>
    <row r="77" spans="1:14">
      <c r="A77" s="254" t="s">
        <v>20</v>
      </c>
      <c r="B77" s="30">
        <f>'Transmission Formula Rate (7)'!B16</f>
        <v>1.59</v>
      </c>
      <c r="C77" s="30">
        <f>'Transmission Formula Rate (7)'!C16</f>
        <v>1.59</v>
      </c>
      <c r="D77" s="30">
        <f>'Transmission Formula Rate (7)'!D16</f>
        <v>1.59</v>
      </c>
      <c r="E77" s="30">
        <f>'Transmission Formula Rate (7)'!E16</f>
        <v>1.59</v>
      </c>
      <c r="F77" s="30">
        <f>'Transmission Formula Rate (7)'!F16</f>
        <v>1.59</v>
      </c>
      <c r="G77" s="30">
        <f>'Transmission Formula Rate (7)'!G16</f>
        <v>1.59</v>
      </c>
      <c r="H77" s="30">
        <f>'Transmission Formula Rate (7)'!H16</f>
        <v>1.59</v>
      </c>
      <c r="I77" s="30">
        <f>'Transmission Formula Rate (7)'!I16</f>
        <v>1.59</v>
      </c>
      <c r="J77" s="30">
        <f>'Transmission Formula Rate (7)'!J16</f>
        <v>1.59</v>
      </c>
      <c r="K77" s="30">
        <f>'Transmission Formula Rate (7)'!K16</f>
        <v>1.59</v>
      </c>
      <c r="L77" s="30">
        <f>'Transmission Formula Rate (7)'!L16</f>
        <v>1.59</v>
      </c>
      <c r="M77" s="30">
        <f>'Transmission Formula Rate (7)'!M16</f>
        <v>1.59</v>
      </c>
      <c r="N77" s="20"/>
    </row>
    <row r="78" spans="1:14">
      <c r="A78" s="254" t="s">
        <v>17</v>
      </c>
      <c r="B78" s="21">
        <f>B74*B77</f>
        <v>100756.42697999999</v>
      </c>
      <c r="C78" s="21">
        <f t="shared" ref="C78" si="132">C74*C77</f>
        <v>95400</v>
      </c>
      <c r="D78" s="21">
        <f t="shared" ref="D78" si="133">D74*D77</f>
        <v>69905.737275000007</v>
      </c>
      <c r="E78" s="21">
        <f t="shared" ref="E78" si="134">E74*E77</f>
        <v>75271.074615000005</v>
      </c>
      <c r="F78" s="21">
        <f t="shared" ref="F78" si="135">F74*F77</f>
        <v>103439.09565</v>
      </c>
      <c r="G78" s="21">
        <f t="shared" ref="G78" si="136">G74*G77</f>
        <v>106121.76431999999</v>
      </c>
      <c r="H78" s="21">
        <f t="shared" ref="H78" si="137">H74*H77</f>
        <v>102097.76131499998</v>
      </c>
      <c r="I78" s="21">
        <f t="shared" ref="I78" si="138">I74*I77</f>
        <v>114169.77032999998</v>
      </c>
      <c r="J78" s="21">
        <f t="shared" ref="J78" si="139">J74*J77</f>
        <v>95400</v>
      </c>
      <c r="K78" s="21">
        <f t="shared" ref="K78" si="140">K74*K77</f>
        <v>96732.423975000012</v>
      </c>
      <c r="L78" s="21">
        <f t="shared" ref="L78" si="141">L74*L77</f>
        <v>68564.40294</v>
      </c>
      <c r="M78" s="21">
        <f t="shared" ref="M78" si="142">M74*M77</f>
        <v>68564.40294</v>
      </c>
      <c r="N78" s="21">
        <f>SUM(B78:M78)</f>
        <v>1096422.8603399999</v>
      </c>
    </row>
    <row r="80" spans="1:14">
      <c r="A80" s="254" t="s">
        <v>141</v>
      </c>
    </row>
    <row r="81" spans="1:14">
      <c r="A81" s="256" t="s">
        <v>297</v>
      </c>
      <c r="B81" s="239">
        <f>B74</f>
        <v>63368.821999999993</v>
      </c>
      <c r="C81" s="239">
        <f t="shared" ref="C81:M81" si="143">C74</f>
        <v>60000</v>
      </c>
      <c r="D81" s="239">
        <f t="shared" si="143"/>
        <v>43965.872499999998</v>
      </c>
      <c r="E81" s="239">
        <f t="shared" si="143"/>
        <v>47340.298499999997</v>
      </c>
      <c r="F81" s="239">
        <f t="shared" si="143"/>
        <v>65056.034999999996</v>
      </c>
      <c r="G81" s="239">
        <f t="shared" si="143"/>
        <v>66743.247999999992</v>
      </c>
      <c r="H81" s="239">
        <f t="shared" si="143"/>
        <v>64212.428499999987</v>
      </c>
      <c r="I81" s="239">
        <f t="shared" si="143"/>
        <v>71804.886999999988</v>
      </c>
      <c r="J81" s="239">
        <f t="shared" si="143"/>
        <v>60000</v>
      </c>
      <c r="K81" s="239">
        <f t="shared" si="143"/>
        <v>60838.002500000002</v>
      </c>
      <c r="L81" s="239">
        <f t="shared" si="143"/>
        <v>43122.265999999996</v>
      </c>
      <c r="M81" s="239">
        <f t="shared" si="143"/>
        <v>43122.265999999996</v>
      </c>
      <c r="N81" s="21">
        <f>SUM(B81:M81)</f>
        <v>689574.1259999997</v>
      </c>
    </row>
    <row r="82" spans="1:14">
      <c r="A82" s="256" t="s">
        <v>45</v>
      </c>
      <c r="B82" s="28">
        <f>B81-B83</f>
        <v>1151.0291674030377</v>
      </c>
      <c r="C82" s="28">
        <f t="shared" ref="C82" si="144">C81-C83</f>
        <v>1089.837997054492</v>
      </c>
      <c r="D82" s="28">
        <f t="shared" ref="D82" si="145">D81-D83</f>
        <v>798.59464040255261</v>
      </c>
      <c r="E82" s="28">
        <f t="shared" ref="E82" si="146">E81-E83</f>
        <v>859.88760162003018</v>
      </c>
      <c r="F82" s="28">
        <f t="shared" ref="F82" si="147">F81-F83</f>
        <v>1181.6756480117765</v>
      </c>
      <c r="G82" s="28">
        <f t="shared" ref="G82" si="148">G81-G83</f>
        <v>1212.3221286205153</v>
      </c>
      <c r="H82" s="28">
        <f t="shared" ref="H82" si="149">H81-H83</f>
        <v>1166.3524077074107</v>
      </c>
      <c r="I82" s="28">
        <f t="shared" ref="I82" si="150">I81-I83</f>
        <v>1304.2615704467316</v>
      </c>
      <c r="J82" s="28">
        <f t="shared" ref="J82" si="151">J81-J83</f>
        <v>1089.837997054492</v>
      </c>
      <c r="K82" s="28">
        <f t="shared" ref="K82" si="152">K81-K83</f>
        <v>1105.0594464899332</v>
      </c>
      <c r="L82" s="28">
        <f t="shared" ref="L82" si="153">L81-L83</f>
        <v>783.27140009817958</v>
      </c>
      <c r="M82" s="28">
        <f t="shared" ref="M82" si="154">M81-M83</f>
        <v>783.27140009817958</v>
      </c>
      <c r="N82" s="21">
        <f>SUM(B82:M82)</f>
        <v>12525.401405007331</v>
      </c>
    </row>
    <row r="83" spans="1:14">
      <c r="A83" s="256" t="s">
        <v>47</v>
      </c>
      <c r="B83" s="28">
        <f>B81/(1+'Transmission Formula Rate (7)'!$B$27)</f>
        <v>62217.792832596955</v>
      </c>
      <c r="C83" s="28">
        <f>C81/(1+'Transmission Formula Rate (7)'!$B$27)</f>
        <v>58910.162002945508</v>
      </c>
      <c r="D83" s="28">
        <f>D81/(1+'Transmission Formula Rate (7)'!$B$27)</f>
        <v>43167.277859597445</v>
      </c>
      <c r="E83" s="28">
        <f>E81/(1+'Transmission Formula Rate (7)'!$B$27)</f>
        <v>46480.410898379967</v>
      </c>
      <c r="F83" s="28">
        <f>F81/(1+'Transmission Formula Rate (7)'!$B$27)</f>
        <v>63874.35935198822</v>
      </c>
      <c r="G83" s="28">
        <f>G81/(1+'Transmission Formula Rate (7)'!$B$27)</f>
        <v>65530.925871379477</v>
      </c>
      <c r="H83" s="28">
        <f>H81/(1+'Transmission Formula Rate (7)'!$B$27)</f>
        <v>63046.076092292577</v>
      </c>
      <c r="I83" s="28">
        <f>I81/(1+'Transmission Formula Rate (7)'!$B$27)</f>
        <v>70500.625429553256</v>
      </c>
      <c r="J83" s="28">
        <f>J81/(1+'Transmission Formula Rate (7)'!$B$27)</f>
        <v>58910.162002945508</v>
      </c>
      <c r="K83" s="28">
        <f>K81/(1+'Transmission Formula Rate (7)'!$B$27)</f>
        <v>59732.943053510069</v>
      </c>
      <c r="L83" s="28">
        <f>L81/(1+'Transmission Formula Rate (7)'!$B$27)</f>
        <v>42338.994599901816</v>
      </c>
      <c r="M83" s="28">
        <f>M81/(1+'Transmission Formula Rate (7)'!$B$27)</f>
        <v>42338.994599901816</v>
      </c>
      <c r="N83" s="124">
        <f>SUM(B83:M83)</f>
        <v>677048.7245949927</v>
      </c>
    </row>
    <row r="84" spans="1:14">
      <c r="A84" s="254" t="s">
        <v>149</v>
      </c>
      <c r="B84" s="32">
        <f>'charges (1 &amp; 2)'!G12</f>
        <v>1.274E-2</v>
      </c>
      <c r="C84" s="32">
        <f>B84</f>
        <v>1.274E-2</v>
      </c>
      <c r="D84" s="32">
        <f t="shared" ref="D84:M84" si="155">C84</f>
        <v>1.274E-2</v>
      </c>
      <c r="E84" s="32">
        <f t="shared" si="155"/>
        <v>1.274E-2</v>
      </c>
      <c r="F84" s="32">
        <f t="shared" si="155"/>
        <v>1.274E-2</v>
      </c>
      <c r="G84" s="32">
        <f t="shared" si="155"/>
        <v>1.274E-2</v>
      </c>
      <c r="H84" s="32">
        <f t="shared" si="155"/>
        <v>1.274E-2</v>
      </c>
      <c r="I84" s="32">
        <f t="shared" si="155"/>
        <v>1.274E-2</v>
      </c>
      <c r="J84" s="32">
        <f t="shared" si="155"/>
        <v>1.274E-2</v>
      </c>
      <c r="K84" s="32">
        <f t="shared" si="155"/>
        <v>1.274E-2</v>
      </c>
      <c r="L84" s="32">
        <f t="shared" si="155"/>
        <v>1.274E-2</v>
      </c>
      <c r="M84" s="32">
        <f t="shared" si="155"/>
        <v>1.274E-2</v>
      </c>
      <c r="N84" s="20"/>
    </row>
    <row r="85" spans="1:14">
      <c r="A85" s="254" t="s">
        <v>17</v>
      </c>
      <c r="B85" s="21">
        <f>B81*B84</f>
        <v>807.31879227999991</v>
      </c>
      <c r="C85" s="21">
        <f t="shared" ref="C85" si="156">C81*C84</f>
        <v>764.4</v>
      </c>
      <c r="D85" s="21">
        <f t="shared" ref="D85" si="157">D81*D84</f>
        <v>560.12521564999997</v>
      </c>
      <c r="E85" s="21">
        <f t="shared" ref="E85" si="158">E81*E84</f>
        <v>603.11540288999993</v>
      </c>
      <c r="F85" s="21">
        <f t="shared" ref="F85" si="159">F81*F84</f>
        <v>828.81388589999995</v>
      </c>
      <c r="G85" s="21">
        <f t="shared" ref="G85" si="160">G81*G84</f>
        <v>850.30897951999987</v>
      </c>
      <c r="H85" s="21">
        <f t="shared" ref="H85" si="161">H81*H84</f>
        <v>818.06633908999981</v>
      </c>
      <c r="I85" s="21">
        <f t="shared" ref="I85" si="162">I81*I84</f>
        <v>914.79426037999986</v>
      </c>
      <c r="J85" s="21">
        <f t="shared" ref="J85" si="163">J81*J84</f>
        <v>764.4</v>
      </c>
      <c r="K85" s="21">
        <f t="shared" ref="K85" si="164">K81*K84</f>
        <v>775.07615184999997</v>
      </c>
      <c r="L85" s="21">
        <f t="shared" ref="L85" si="165">L81*L84</f>
        <v>549.37766883999996</v>
      </c>
      <c r="M85" s="21">
        <f t="shared" ref="M85" si="166">M81*M84</f>
        <v>549.37766883999996</v>
      </c>
      <c r="N85" s="21">
        <f>SUM(B85:M85)</f>
        <v>8785.17436524</v>
      </c>
    </row>
    <row r="87" spans="1:14">
      <c r="B87" s="24" t="s">
        <v>0</v>
      </c>
      <c r="C87" s="24" t="s">
        <v>1</v>
      </c>
      <c r="D87" s="24" t="s">
        <v>2</v>
      </c>
      <c r="E87" s="24" t="s">
        <v>3</v>
      </c>
      <c r="F87" s="24" t="s">
        <v>4</v>
      </c>
      <c r="G87" s="24" t="s">
        <v>5</v>
      </c>
      <c r="H87" s="24" t="s">
        <v>6</v>
      </c>
      <c r="I87" s="24" t="s">
        <v>7</v>
      </c>
      <c r="J87" s="24" t="s">
        <v>8</v>
      </c>
      <c r="K87" s="24" t="s">
        <v>9</v>
      </c>
      <c r="L87" s="24" t="s">
        <v>10</v>
      </c>
      <c r="M87" s="24" t="s">
        <v>11</v>
      </c>
      <c r="N87" s="24" t="s">
        <v>12</v>
      </c>
    </row>
    <row r="88" spans="1:14">
      <c r="A88" s="255">
        <f>A72+1</f>
        <v>2019</v>
      </c>
    </row>
    <row r="89" spans="1:14">
      <c r="A89" s="254" t="s">
        <v>37</v>
      </c>
    </row>
    <row r="90" spans="1:14">
      <c r="A90" s="256" t="s">
        <v>297</v>
      </c>
      <c r="B90" s="239">
        <f>'Winter Park Forecast'!E15</f>
        <v>63368.821999999993</v>
      </c>
      <c r="C90" s="239">
        <f>'Winter Park Forecast'!F15</f>
        <v>60000</v>
      </c>
      <c r="D90" s="239">
        <f>'Winter Park Forecast'!G15</f>
        <v>43965.872499999998</v>
      </c>
      <c r="E90" s="239">
        <f>'Winter Park Forecast'!H15</f>
        <v>47340.298499999997</v>
      </c>
      <c r="F90" s="239">
        <f>'Winter Park Forecast'!I15</f>
        <v>65056.034999999996</v>
      </c>
      <c r="G90" s="239">
        <f>'Winter Park Forecast'!J15</f>
        <v>66743.247999999992</v>
      </c>
      <c r="H90" s="239">
        <f>'Winter Park Forecast'!K15</f>
        <v>64212.428499999987</v>
      </c>
      <c r="I90" s="239">
        <f>'Winter Park Forecast'!L15</f>
        <v>71804.886999999988</v>
      </c>
      <c r="J90" s="239">
        <f>'Winter Park Forecast'!M15</f>
        <v>60000</v>
      </c>
      <c r="K90" s="239">
        <f>'Winter Park Forecast'!N15</f>
        <v>60838.002500000002</v>
      </c>
      <c r="L90" s="239">
        <f>'Winter Park Forecast'!O15</f>
        <v>43122.265999999996</v>
      </c>
      <c r="M90" s="239">
        <f>'Winter Park Forecast'!P15</f>
        <v>43122.265999999996</v>
      </c>
      <c r="N90" s="21">
        <f>SUM(B90:M90)</f>
        <v>689574.1259999997</v>
      </c>
    </row>
    <row r="91" spans="1:14">
      <c r="A91" s="256" t="s">
        <v>45</v>
      </c>
      <c r="B91" s="28">
        <f>B90-B92</f>
        <v>1151.0291674030377</v>
      </c>
      <c r="C91" s="28">
        <f t="shared" ref="C91" si="167">C90-C92</f>
        <v>1089.837997054492</v>
      </c>
      <c r="D91" s="28">
        <f t="shared" ref="D91" si="168">D90-D92</f>
        <v>798.59464040255261</v>
      </c>
      <c r="E91" s="28">
        <f t="shared" ref="E91" si="169">E90-E92</f>
        <v>859.88760162003018</v>
      </c>
      <c r="F91" s="28">
        <f t="shared" ref="F91" si="170">F90-F92</f>
        <v>1181.6756480117765</v>
      </c>
      <c r="G91" s="28">
        <f t="shared" ref="G91" si="171">G90-G92</f>
        <v>1212.3221286205153</v>
      </c>
      <c r="H91" s="28">
        <f t="shared" ref="H91" si="172">H90-H92</f>
        <v>1166.3524077074107</v>
      </c>
      <c r="I91" s="28">
        <f t="shared" ref="I91" si="173">I90-I92</f>
        <v>1304.2615704467316</v>
      </c>
      <c r="J91" s="28">
        <f t="shared" ref="J91" si="174">J90-J92</f>
        <v>1089.837997054492</v>
      </c>
      <c r="K91" s="28">
        <f t="shared" ref="K91" si="175">K90-K92</f>
        <v>1105.0594464899332</v>
      </c>
      <c r="L91" s="28">
        <f t="shared" ref="L91" si="176">L90-L92</f>
        <v>783.27140009817958</v>
      </c>
      <c r="M91" s="28">
        <f t="shared" ref="M91" si="177">M90-M92</f>
        <v>783.27140009817958</v>
      </c>
      <c r="N91" s="21">
        <f>SUM(B91:M91)</f>
        <v>12525.401405007331</v>
      </c>
    </row>
    <row r="92" spans="1:14">
      <c r="A92" s="256" t="s">
        <v>47</v>
      </c>
      <c r="B92" s="28">
        <f>B90/(1+'Transmission Formula Rate (7)'!$B$27)</f>
        <v>62217.792832596955</v>
      </c>
      <c r="C92" s="28">
        <f>C90/(1+'Transmission Formula Rate (7)'!$B$27)</f>
        <v>58910.162002945508</v>
      </c>
      <c r="D92" s="28">
        <f>D90/(1+'Transmission Formula Rate (7)'!$B$27)</f>
        <v>43167.277859597445</v>
      </c>
      <c r="E92" s="28">
        <f>E90/(1+'Transmission Formula Rate (7)'!$B$27)</f>
        <v>46480.410898379967</v>
      </c>
      <c r="F92" s="28">
        <f>F90/(1+'Transmission Formula Rate (7)'!$B$27)</f>
        <v>63874.35935198822</v>
      </c>
      <c r="G92" s="28">
        <f>G90/(1+'Transmission Formula Rate (7)'!$B$27)</f>
        <v>65530.925871379477</v>
      </c>
      <c r="H92" s="28">
        <f>H90/(1+'Transmission Formula Rate (7)'!$B$27)</f>
        <v>63046.076092292577</v>
      </c>
      <c r="I92" s="28">
        <f>I90/(1+'Transmission Formula Rate (7)'!$B$27)</f>
        <v>70500.625429553256</v>
      </c>
      <c r="J92" s="28">
        <f>J90/(1+'Transmission Formula Rate (7)'!$B$27)</f>
        <v>58910.162002945508</v>
      </c>
      <c r="K92" s="28">
        <f>K90/(1+'Transmission Formula Rate (7)'!$B$27)</f>
        <v>59732.943053510069</v>
      </c>
      <c r="L92" s="28">
        <f>L90/(1+'Transmission Formula Rate (7)'!$B$27)</f>
        <v>42338.994599901816</v>
      </c>
      <c r="M92" s="28">
        <f>M90/(1+'Transmission Formula Rate (7)'!$B$27)</f>
        <v>42338.994599901816</v>
      </c>
      <c r="N92" s="124">
        <f>SUM(B92:M92)</f>
        <v>677048.7245949927</v>
      </c>
    </row>
    <row r="93" spans="1:14">
      <c r="A93" s="254" t="s">
        <v>20</v>
      </c>
      <c r="B93" s="30">
        <f>'Transmission Formula Rate (7)'!B20</f>
        <v>1.59</v>
      </c>
      <c r="C93" s="30">
        <f>'Transmission Formula Rate (7)'!C20</f>
        <v>1.59</v>
      </c>
      <c r="D93" s="30">
        <f>'Transmission Formula Rate (7)'!D20</f>
        <v>1.59</v>
      </c>
      <c r="E93" s="30">
        <f>'Transmission Formula Rate (7)'!E20</f>
        <v>1.59</v>
      </c>
      <c r="F93" s="30">
        <f>'Transmission Formula Rate (7)'!F20</f>
        <v>1.59</v>
      </c>
      <c r="G93" s="30">
        <f>'Transmission Formula Rate (7)'!G20</f>
        <v>1.59</v>
      </c>
      <c r="H93" s="30">
        <f>'Transmission Formula Rate (7)'!H20</f>
        <v>1.59</v>
      </c>
      <c r="I93" s="30">
        <f>'Transmission Formula Rate (7)'!I20</f>
        <v>1.59</v>
      </c>
      <c r="J93" s="30">
        <f>'Transmission Formula Rate (7)'!J20</f>
        <v>1.59</v>
      </c>
      <c r="K93" s="30">
        <f>'Transmission Formula Rate (7)'!K20</f>
        <v>1.59</v>
      </c>
      <c r="L93" s="30">
        <f>'Transmission Formula Rate (7)'!L20</f>
        <v>1.59</v>
      </c>
      <c r="M93" s="30">
        <f>'Transmission Formula Rate (7)'!M20</f>
        <v>1.59</v>
      </c>
      <c r="N93" s="20"/>
    </row>
    <row r="94" spans="1:14">
      <c r="A94" s="254" t="s">
        <v>17</v>
      </c>
      <c r="B94" s="21">
        <f>B90*B93</f>
        <v>100756.42697999999</v>
      </c>
      <c r="C94" s="21">
        <f t="shared" ref="C94" si="178">C90*C93</f>
        <v>95400</v>
      </c>
      <c r="D94" s="21">
        <f t="shared" ref="D94" si="179">D90*D93</f>
        <v>69905.737275000007</v>
      </c>
      <c r="E94" s="21">
        <f t="shared" ref="E94" si="180">E90*E93</f>
        <v>75271.074615000005</v>
      </c>
      <c r="F94" s="21">
        <f t="shared" ref="F94" si="181">F90*F93</f>
        <v>103439.09565</v>
      </c>
      <c r="G94" s="21">
        <f t="shared" ref="G94" si="182">G90*G93</f>
        <v>106121.76431999999</v>
      </c>
      <c r="H94" s="21">
        <f t="shared" ref="H94" si="183">H90*H93</f>
        <v>102097.76131499998</v>
      </c>
      <c r="I94" s="21">
        <f t="shared" ref="I94" si="184">I90*I93</f>
        <v>114169.77032999998</v>
      </c>
      <c r="J94" s="21">
        <f t="shared" ref="J94" si="185">J90*J93</f>
        <v>95400</v>
      </c>
      <c r="K94" s="21">
        <f t="shared" ref="K94" si="186">K90*K93</f>
        <v>96732.423975000012</v>
      </c>
      <c r="L94" s="21">
        <f t="shared" ref="L94" si="187">L90*L93</f>
        <v>68564.40294</v>
      </c>
      <c r="M94" s="21">
        <f t="shared" ref="M94" si="188">M90*M93</f>
        <v>68564.40294</v>
      </c>
      <c r="N94" s="21">
        <f>SUM(B94:M94)</f>
        <v>1096422.8603399999</v>
      </c>
    </row>
    <row r="96" spans="1:14">
      <c r="A96" s="254" t="s">
        <v>141</v>
      </c>
    </row>
    <row r="97" spans="1:15">
      <c r="A97" s="256" t="s">
        <v>297</v>
      </c>
      <c r="B97" s="239">
        <f>B90</f>
        <v>63368.821999999993</v>
      </c>
      <c r="C97" s="239">
        <f t="shared" ref="C97:M97" si="189">C90</f>
        <v>60000</v>
      </c>
      <c r="D97" s="239">
        <f t="shared" si="189"/>
        <v>43965.872499999998</v>
      </c>
      <c r="E97" s="239">
        <f t="shared" si="189"/>
        <v>47340.298499999997</v>
      </c>
      <c r="F97" s="239">
        <f t="shared" si="189"/>
        <v>65056.034999999996</v>
      </c>
      <c r="G97" s="239">
        <f t="shared" si="189"/>
        <v>66743.247999999992</v>
      </c>
      <c r="H97" s="239">
        <f t="shared" si="189"/>
        <v>64212.428499999987</v>
      </c>
      <c r="I97" s="239">
        <f t="shared" si="189"/>
        <v>71804.886999999988</v>
      </c>
      <c r="J97" s="239">
        <f t="shared" si="189"/>
        <v>60000</v>
      </c>
      <c r="K97" s="239">
        <f t="shared" si="189"/>
        <v>60838.002500000002</v>
      </c>
      <c r="L97" s="239">
        <f t="shared" si="189"/>
        <v>43122.265999999996</v>
      </c>
      <c r="M97" s="239">
        <f t="shared" si="189"/>
        <v>43122.265999999996</v>
      </c>
      <c r="N97" s="21">
        <f>SUM(B97:M97)</f>
        <v>689574.1259999997</v>
      </c>
      <c r="O97" s="277" t="s">
        <v>424</v>
      </c>
    </row>
    <row r="98" spans="1:15">
      <c r="A98" s="256" t="s">
        <v>45</v>
      </c>
      <c r="B98" s="28">
        <f>B97-B99</f>
        <v>1151.0291674030377</v>
      </c>
      <c r="C98" s="28">
        <f t="shared" ref="C98" si="190">C97-C99</f>
        <v>1089.837997054492</v>
      </c>
      <c r="D98" s="28">
        <f t="shared" ref="D98" si="191">D97-D99</f>
        <v>798.59464040255261</v>
      </c>
      <c r="E98" s="28">
        <f t="shared" ref="E98" si="192">E97-E99</f>
        <v>859.88760162003018</v>
      </c>
      <c r="F98" s="28">
        <f t="shared" ref="F98" si="193">F97-F99</f>
        <v>1181.6756480117765</v>
      </c>
      <c r="G98" s="28">
        <f t="shared" ref="G98" si="194">G97-G99</f>
        <v>1212.3221286205153</v>
      </c>
      <c r="H98" s="28">
        <f t="shared" ref="H98" si="195">H97-H99</f>
        <v>1166.3524077074107</v>
      </c>
      <c r="I98" s="28">
        <f t="shared" ref="I98" si="196">I97-I99</f>
        <v>1304.2615704467316</v>
      </c>
      <c r="J98" s="28">
        <f t="shared" ref="J98" si="197">J97-J99</f>
        <v>1089.837997054492</v>
      </c>
      <c r="K98" s="28">
        <f t="shared" ref="K98" si="198">K97-K99</f>
        <v>1105.0594464899332</v>
      </c>
      <c r="L98" s="28">
        <f t="shared" ref="L98" si="199">L97-L99</f>
        <v>783.27140009817958</v>
      </c>
      <c r="M98" s="28">
        <f t="shared" ref="M98" si="200">M97-M99</f>
        <v>783.27140009817958</v>
      </c>
      <c r="N98" s="21">
        <f>SUM(B98:M98)</f>
        <v>12525.401405007331</v>
      </c>
    </row>
    <row r="99" spans="1:15">
      <c r="A99" s="256" t="s">
        <v>47</v>
      </c>
      <c r="B99" s="28">
        <f>B97/(1+'Transmission Formula Rate (7)'!$B$27)</f>
        <v>62217.792832596955</v>
      </c>
      <c r="C99" s="28">
        <f>C97/(1+'Transmission Formula Rate (7)'!$B$27)</f>
        <v>58910.162002945508</v>
      </c>
      <c r="D99" s="28">
        <f>D97/(1+'Transmission Formula Rate (7)'!$B$27)</f>
        <v>43167.277859597445</v>
      </c>
      <c r="E99" s="28">
        <f>E97/(1+'Transmission Formula Rate (7)'!$B$27)</f>
        <v>46480.410898379967</v>
      </c>
      <c r="F99" s="28">
        <f>F97/(1+'Transmission Formula Rate (7)'!$B$27)</f>
        <v>63874.35935198822</v>
      </c>
      <c r="G99" s="28">
        <f>G97/(1+'Transmission Formula Rate (7)'!$B$27)</f>
        <v>65530.925871379477</v>
      </c>
      <c r="H99" s="28">
        <f>H97/(1+'Transmission Formula Rate (7)'!$B$27)</f>
        <v>63046.076092292577</v>
      </c>
      <c r="I99" s="28">
        <f>I97/(1+'Transmission Formula Rate (7)'!$B$27)</f>
        <v>70500.625429553256</v>
      </c>
      <c r="J99" s="28">
        <f>J97/(1+'Transmission Formula Rate (7)'!$B$27)</f>
        <v>58910.162002945508</v>
      </c>
      <c r="K99" s="28">
        <f>K97/(1+'Transmission Formula Rate (7)'!$B$27)</f>
        <v>59732.943053510069</v>
      </c>
      <c r="L99" s="28">
        <f>L97/(1+'Transmission Formula Rate (7)'!$B$27)</f>
        <v>42338.994599901816</v>
      </c>
      <c r="M99" s="28">
        <f>M97/(1+'Transmission Formula Rate (7)'!$B$27)</f>
        <v>42338.994599901816</v>
      </c>
      <c r="N99" s="124">
        <f>SUM(B99:M99)</f>
        <v>677048.7245949927</v>
      </c>
    </row>
    <row r="100" spans="1:15">
      <c r="A100" s="254" t="s">
        <v>149</v>
      </c>
      <c r="B100" s="32">
        <f>'charges (1 &amp; 2)'!H12</f>
        <v>1.274E-2</v>
      </c>
      <c r="C100" s="32">
        <f>B100</f>
        <v>1.274E-2</v>
      </c>
      <c r="D100" s="32">
        <f t="shared" ref="D100:M100" si="201">C100</f>
        <v>1.274E-2</v>
      </c>
      <c r="E100" s="32">
        <f t="shared" si="201"/>
        <v>1.274E-2</v>
      </c>
      <c r="F100" s="32">
        <f t="shared" si="201"/>
        <v>1.274E-2</v>
      </c>
      <c r="G100" s="32">
        <f t="shared" si="201"/>
        <v>1.274E-2</v>
      </c>
      <c r="H100" s="32">
        <f t="shared" si="201"/>
        <v>1.274E-2</v>
      </c>
      <c r="I100" s="32">
        <f t="shared" si="201"/>
        <v>1.274E-2</v>
      </c>
      <c r="J100" s="32">
        <f t="shared" si="201"/>
        <v>1.274E-2</v>
      </c>
      <c r="K100" s="32">
        <f t="shared" si="201"/>
        <v>1.274E-2</v>
      </c>
      <c r="L100" s="32">
        <f t="shared" si="201"/>
        <v>1.274E-2</v>
      </c>
      <c r="M100" s="32">
        <f t="shared" si="201"/>
        <v>1.274E-2</v>
      </c>
      <c r="N100" s="20"/>
    </row>
    <row r="101" spans="1:15">
      <c r="A101" s="254" t="s">
        <v>17</v>
      </c>
      <c r="B101" s="21">
        <f>B97*B100</f>
        <v>807.31879227999991</v>
      </c>
      <c r="C101" s="21">
        <f t="shared" ref="C101" si="202">C97*C100</f>
        <v>764.4</v>
      </c>
      <c r="D101" s="21">
        <f t="shared" ref="D101" si="203">D97*D100</f>
        <v>560.12521564999997</v>
      </c>
      <c r="E101" s="21">
        <f t="shared" ref="E101" si="204">E97*E100</f>
        <v>603.11540288999993</v>
      </c>
      <c r="F101" s="21">
        <f t="shared" ref="F101" si="205">F97*F100</f>
        <v>828.81388589999995</v>
      </c>
      <c r="G101" s="21">
        <f t="shared" ref="G101" si="206">G97*G100</f>
        <v>850.30897951999987</v>
      </c>
      <c r="H101" s="21">
        <f t="shared" ref="H101" si="207">H97*H100</f>
        <v>818.06633908999981</v>
      </c>
      <c r="I101" s="21">
        <f t="shared" ref="I101" si="208">I97*I100</f>
        <v>914.79426037999986</v>
      </c>
      <c r="J101" s="21">
        <f t="shared" ref="J101" si="209">J97*J100</f>
        <v>764.4</v>
      </c>
      <c r="K101" s="21">
        <f t="shared" ref="K101" si="210">K97*K100</f>
        <v>775.07615184999997</v>
      </c>
      <c r="L101" s="21">
        <f t="shared" ref="L101" si="211">L97*L100</f>
        <v>549.37766883999996</v>
      </c>
      <c r="M101" s="21">
        <f t="shared" ref="M101" si="212">M97*M100</f>
        <v>549.37766883999996</v>
      </c>
      <c r="N101" s="21">
        <f>SUM(B101:M101)</f>
        <v>8785.17436524</v>
      </c>
    </row>
    <row r="104" spans="1:15">
      <c r="A104" s="250" t="s">
        <v>277</v>
      </c>
      <c r="B104" s="370" t="s">
        <v>299</v>
      </c>
    </row>
  </sheetData>
  <hyperlinks>
    <hyperlink ref="B104" r:id="rId1"/>
  </hyperlinks>
  <pageMargins left="0.7" right="0.7" top="0.75" bottom="0.75" header="0.3" footer="0.3"/>
  <pageSetup scale="74" orientation="landscape" r:id="rId2"/>
  <rowBreaks count="2" manualBreakCount="2">
    <brk id="36" max="16383" man="1"/>
    <brk id="7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2" sqref="B1:B2"/>
    </sheetView>
  </sheetViews>
  <sheetFormatPr defaultColWidth="9" defaultRowHeight="13.2"/>
  <cols>
    <col min="1" max="1" width="4.6640625" style="241" customWidth="1"/>
    <col min="2" max="2" width="10.88671875" style="241" customWidth="1"/>
    <col min="3" max="3" width="1.6640625" style="258" hidden="1" customWidth="1"/>
    <col min="4" max="16384" width="9" style="241"/>
  </cols>
  <sheetData>
    <row r="1" spans="2:18">
      <c r="B1" s="480" t="s">
        <v>495</v>
      </c>
    </row>
    <row r="2" spans="2:18">
      <c r="B2" s="480" t="s">
        <v>473</v>
      </c>
    </row>
    <row r="4" spans="2:18">
      <c r="B4" s="286" t="s">
        <v>295</v>
      </c>
    </row>
    <row r="5" spans="2:18">
      <c r="B5" s="241" t="s">
        <v>190</v>
      </c>
    </row>
    <row r="6" spans="2:18">
      <c r="B6" s="241" t="s">
        <v>345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/>
      <c r="E10" s="244">
        <v>1</v>
      </c>
      <c r="F10" s="244">
        <v>2</v>
      </c>
      <c r="G10" s="244">
        <v>3</v>
      </c>
      <c r="H10" s="244">
        <v>4</v>
      </c>
      <c r="I10" s="244">
        <v>5</v>
      </c>
      <c r="J10" s="244">
        <v>6</v>
      </c>
      <c r="K10" s="244">
        <v>7</v>
      </c>
      <c r="L10" s="244">
        <v>8</v>
      </c>
      <c r="M10" s="244">
        <v>9</v>
      </c>
      <c r="N10" s="244">
        <v>10</v>
      </c>
      <c r="O10" s="244">
        <v>11</v>
      </c>
      <c r="P10" s="244">
        <v>12</v>
      </c>
      <c r="Q10" s="242"/>
    </row>
    <row r="11" spans="2:18">
      <c r="D11" s="243">
        <f>2015</f>
        <v>2015</v>
      </c>
      <c r="E11" s="244">
        <f>'[12]Winter Park Transmission'!C10</f>
        <v>23000</v>
      </c>
      <c r="F11" s="244">
        <f>'[12]Winter Park Transmission'!D10</f>
        <v>26000</v>
      </c>
      <c r="G11" s="244">
        <f>'[12]Winter Park Transmission'!E10</f>
        <v>45000</v>
      </c>
      <c r="H11" s="244">
        <f>'[12]Winter Park Transmission'!F10</f>
        <v>36000</v>
      </c>
      <c r="I11" s="244">
        <f>'[12]Winter Park Transmission'!G10</f>
        <v>45000</v>
      </c>
      <c r="J11" s="244">
        <f>'[12]Winter Park Transmission'!H10</f>
        <v>54000</v>
      </c>
      <c r="K11" s="244">
        <f>'[12]Winter Park Transmission'!I10</f>
        <v>60000</v>
      </c>
      <c r="L11" s="244">
        <f>'[12]Winter Park Transmission'!J10</f>
        <v>55000</v>
      </c>
      <c r="M11" s="244">
        <f>'[12]Winter Park Transmission'!K10</f>
        <v>60000</v>
      </c>
      <c r="N11" s="244">
        <f>'[12]Winter Park Transmission'!L10</f>
        <v>60000</v>
      </c>
      <c r="O11" s="244">
        <f>'[12]Winter Park Transmission'!M10</f>
        <v>60000</v>
      </c>
      <c r="P11" s="244">
        <f>'[12]Winter Park Transmission'!N10</f>
        <v>60000</v>
      </c>
      <c r="Q11" s="242">
        <f>SUM(E11:P11)</f>
        <v>584000</v>
      </c>
      <c r="R11" s="241" t="s">
        <v>392</v>
      </c>
    </row>
    <row r="12" spans="2:18">
      <c r="D12" s="243">
        <f>1+D11</f>
        <v>2016</v>
      </c>
      <c r="E12" s="244">
        <f>'[12]Winter Park Transmission'!C11</f>
        <v>60000</v>
      </c>
      <c r="F12" s="244">
        <f>'[12]Winter Park Transmission'!D11</f>
        <v>60000</v>
      </c>
      <c r="G12" s="244">
        <f>'[12]Winter Park Transmission'!E11</f>
        <v>60000</v>
      </c>
      <c r="H12" s="244">
        <f>'[12]Winter Park Transmission'!F11</f>
        <v>60000</v>
      </c>
      <c r="I12" s="244">
        <f>'[12]Winter Park Transmission'!G11</f>
        <v>60000</v>
      </c>
      <c r="J12" s="244">
        <f>'[12]Winter Park Transmission'!H11</f>
        <v>60000</v>
      </c>
      <c r="K12" s="244">
        <f>'[12]Winter Park Transmission'!I11</f>
        <v>60000</v>
      </c>
      <c r="L12" s="244">
        <f>'[12]Winter Park Transmission'!J11</f>
        <v>60000</v>
      </c>
      <c r="M12" s="244">
        <f>'[12]Winter Park Transmission'!K11</f>
        <v>60000</v>
      </c>
      <c r="N12" s="244">
        <f>'[12]Winter Park Transmission'!L11</f>
        <v>60000</v>
      </c>
      <c r="O12" s="244">
        <f>'[12]Winter Park Transmission'!M11</f>
        <v>60000</v>
      </c>
      <c r="P12" s="244">
        <f>'[12]Winter Park Transmission'!N11</f>
        <v>60000</v>
      </c>
      <c r="Q12" s="242">
        <f>SUM(E12:P12)</f>
        <v>720000</v>
      </c>
    </row>
    <row r="13" spans="2:18">
      <c r="D13" s="243">
        <f>1+D12</f>
        <v>2017</v>
      </c>
      <c r="E13" s="244">
        <f>'[12]Winter Park Transmission'!C12</f>
        <v>60000</v>
      </c>
      <c r="F13" s="244">
        <f>'[12]Winter Park Transmission'!D12</f>
        <v>60000</v>
      </c>
      <c r="G13" s="244">
        <f>VLOOKUP(CONCATENATE($D13,G$10),'[11]Summary_NCP '!$A$99:$H$206,5,FALSE)*1000</f>
        <v>43965.872499999998</v>
      </c>
      <c r="H13" s="244">
        <f>VLOOKUP(CONCATENATE($D13,H$10),'[11]Summary_NCP '!$A$99:$H$206,5,FALSE)*1000</f>
        <v>47340.298499999997</v>
      </c>
      <c r="I13" s="244">
        <f>VLOOKUP(CONCATENATE($D13,I$10),'[11]Summary_NCP '!$A$99:$H$206,5,FALSE)*1000</f>
        <v>65056.034999999996</v>
      </c>
      <c r="J13" s="244">
        <f>VLOOKUP(CONCATENATE($D13,J$10),'[11]Summary_NCP '!$A$99:$H$206,5,FALSE)*1000</f>
        <v>66743.247999999992</v>
      </c>
      <c r="K13" s="244">
        <f>VLOOKUP(CONCATENATE($D13,K$10),'[11]Summary_NCP '!$A$99:$H$206,5,FALSE)*1000</f>
        <v>64212.428499999987</v>
      </c>
      <c r="L13" s="244">
        <f>VLOOKUP(CONCATENATE($D13,L$10),'[11]Summary_NCP '!$A$99:$H$206,5,FALSE)*1000</f>
        <v>71804.886999999988</v>
      </c>
      <c r="M13" s="244">
        <f>'[12]Winter Park Transmission'!K12</f>
        <v>60000</v>
      </c>
      <c r="N13" s="244">
        <f>VLOOKUP(CONCATENATE($D13,N$10),'[11]Summary_NCP '!$A$99:$H$206,5,FALSE)*1000</f>
        <v>60838.002500000002</v>
      </c>
      <c r="O13" s="244">
        <f>VLOOKUP(CONCATENATE($D13,O$10),'[11]Summary_NCP '!$A$99:$H$206,5,FALSE)*1000</f>
        <v>43122.265999999996</v>
      </c>
      <c r="P13" s="244">
        <f>VLOOKUP(CONCATENATE($D13,P$10),'[11]Summary_NCP '!$A$99:$H$206,5,FALSE)*1000</f>
        <v>43122.265999999996</v>
      </c>
      <c r="Q13" s="242">
        <f t="shared" ref="Q13:Q15" si="0">SUM(E13:P13)</f>
        <v>686205.30399999977</v>
      </c>
    </row>
    <row r="14" spans="2:18">
      <c r="D14" s="243">
        <f>1+D13</f>
        <v>2018</v>
      </c>
      <c r="E14" s="244">
        <f>VLOOKUP(CONCATENATE($D14,E$10),'[11]Summary_NCP '!$A$99:$H$206,5,FALSE)*1000</f>
        <v>63368.821999999993</v>
      </c>
      <c r="F14" s="244">
        <f>'[12]Winter Park Transmission'!D13</f>
        <v>60000</v>
      </c>
      <c r="G14" s="244">
        <f>VLOOKUP(CONCATENATE($D14,G$10),'[11]Summary_NCP '!$A$99:$H$206,5,FALSE)*1000</f>
        <v>43965.872499999998</v>
      </c>
      <c r="H14" s="244">
        <f>VLOOKUP(CONCATENATE($D14,H$10),'[11]Summary_NCP '!$A$99:$H$206,5,FALSE)*1000</f>
        <v>47340.298499999997</v>
      </c>
      <c r="I14" s="244">
        <f>VLOOKUP(CONCATENATE($D14,I$10),'[11]Summary_NCP '!$A$99:$H$206,5,FALSE)*1000</f>
        <v>65056.034999999996</v>
      </c>
      <c r="J14" s="244">
        <f>VLOOKUP(CONCATENATE($D14,J$10),'[11]Summary_NCP '!$A$99:$H$206,5,FALSE)*1000</f>
        <v>66743.247999999992</v>
      </c>
      <c r="K14" s="244">
        <f>VLOOKUP(CONCATENATE($D14,K$10),'[11]Summary_NCP '!$A$99:$H$206,5,FALSE)*1000</f>
        <v>64212.428499999987</v>
      </c>
      <c r="L14" s="244">
        <f>VLOOKUP(CONCATENATE($D14,L$10),'[11]Summary_NCP '!$A$99:$H$206,5,FALSE)*1000</f>
        <v>71804.886999999988</v>
      </c>
      <c r="M14" s="244">
        <f>'[12]Winter Park Transmission'!K13</f>
        <v>60000</v>
      </c>
      <c r="N14" s="244">
        <f>VLOOKUP(CONCATENATE($D14,N$10),'[11]Summary_NCP '!$A$99:$H$206,5,FALSE)*1000</f>
        <v>60838.002500000002</v>
      </c>
      <c r="O14" s="244">
        <f>VLOOKUP(CONCATENATE($D14,O$10),'[11]Summary_NCP '!$A$99:$H$206,5,FALSE)*1000</f>
        <v>43122.265999999996</v>
      </c>
      <c r="P14" s="244">
        <f>VLOOKUP(CONCATENATE($D14,P$10),'[11]Summary_NCP '!$A$99:$H$206,5,FALSE)*1000</f>
        <v>43122.265999999996</v>
      </c>
      <c r="Q14" s="242">
        <f t="shared" si="0"/>
        <v>689574.1259999997</v>
      </c>
      <c r="R14" s="344" t="s">
        <v>430</v>
      </c>
    </row>
    <row r="15" spans="2:18">
      <c r="D15" s="243">
        <f>1+D14</f>
        <v>2019</v>
      </c>
      <c r="E15" s="244">
        <f>VLOOKUP(CONCATENATE($D15,E$10),'[11]Summary_NCP '!$A$99:$H$206,5,FALSE)*1000</f>
        <v>63368.821999999993</v>
      </c>
      <c r="F15" s="244">
        <f>'[12]Winter Park Transmission'!D14</f>
        <v>60000</v>
      </c>
      <c r="G15" s="244">
        <f>VLOOKUP(CONCATENATE($D15,G$10),'[11]Summary_NCP '!$A$99:$H$206,5,FALSE)*1000</f>
        <v>43965.872499999998</v>
      </c>
      <c r="H15" s="244">
        <f>VLOOKUP(CONCATENATE($D15,H$10),'[11]Summary_NCP '!$A$99:$H$206,5,FALSE)*1000</f>
        <v>47340.298499999997</v>
      </c>
      <c r="I15" s="244">
        <f>VLOOKUP(CONCATENATE($D15,I$10),'[11]Summary_NCP '!$A$99:$H$206,5,FALSE)*1000</f>
        <v>65056.034999999996</v>
      </c>
      <c r="J15" s="244">
        <f>VLOOKUP(CONCATENATE($D15,J$10),'[11]Summary_NCP '!$A$99:$H$206,5,FALSE)*1000</f>
        <v>66743.247999999992</v>
      </c>
      <c r="K15" s="244">
        <f>VLOOKUP(CONCATENATE($D15,K$10),'[11]Summary_NCP '!$A$99:$H$206,5,FALSE)*1000</f>
        <v>64212.428499999987</v>
      </c>
      <c r="L15" s="244">
        <f>VLOOKUP(CONCATENATE($D15,L$10),'[11]Summary_NCP '!$A$99:$H$206,5,FALSE)*1000</f>
        <v>71804.886999999988</v>
      </c>
      <c r="M15" s="244">
        <f>'[12]Winter Park Transmission'!K14</f>
        <v>60000</v>
      </c>
      <c r="N15" s="244">
        <f>VLOOKUP(CONCATENATE($D15,N$10),'[11]Summary_NCP '!$A$99:$H$206,5,FALSE)*1000</f>
        <v>60838.002500000002</v>
      </c>
      <c r="O15" s="244">
        <f>VLOOKUP(CONCATENATE($D15,O$10),'[11]Summary_NCP '!$A$99:$H$206,5,FALSE)*1000</f>
        <v>43122.265999999996</v>
      </c>
      <c r="P15" s="244">
        <f>VLOOKUP(CONCATENATE($D15,P$10),'[11]Summary_NCP '!$A$99:$H$206,5,FALSE)*1000</f>
        <v>43122.265999999996</v>
      </c>
      <c r="Q15" s="242">
        <f t="shared" si="0"/>
        <v>689574.1259999997</v>
      </c>
    </row>
    <row r="16" spans="2:18">
      <c r="C16" s="259"/>
      <c r="D16" s="243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</row>
    <row r="17" spans="3:8">
      <c r="C17" s="259"/>
      <c r="D17" s="244"/>
      <c r="E17" s="244"/>
      <c r="F17" s="244"/>
      <c r="G17" s="244"/>
      <c r="H17" s="244"/>
    </row>
    <row r="18" spans="3:8">
      <c r="C18" s="259"/>
      <c r="D18" s="286" t="s">
        <v>451</v>
      </c>
      <c r="E18" s="244"/>
      <c r="F18" s="244"/>
      <c r="G18" s="244"/>
      <c r="H18" s="244"/>
    </row>
    <row r="19" spans="3:8">
      <c r="C19" s="259"/>
      <c r="D19" s="286" t="s">
        <v>440</v>
      </c>
      <c r="E19" s="244"/>
      <c r="F19" s="244"/>
      <c r="G19" s="244"/>
      <c r="H19" s="244"/>
    </row>
    <row r="20" spans="3:8">
      <c r="C20" s="259"/>
      <c r="D20" s="244"/>
      <c r="E20" s="244"/>
      <c r="F20" s="244"/>
      <c r="G20" s="244"/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16"/>
  <sheetViews>
    <sheetView zoomScaleNormal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496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445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</row>
    <row r="9" spans="1:16" s="20" customFormat="1" ht="10.199999999999999">
      <c r="A9" s="254"/>
    </row>
    <row r="10" spans="1:16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6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6">
      <c r="A14" s="256" t="s">
        <v>47</v>
      </c>
      <c r="B14" s="239">
        <f>'Quincy Forecast'!E10</f>
        <v>0</v>
      </c>
      <c r="C14" s="239">
        <f>'Quincy Forecast'!F10</f>
        <v>0</v>
      </c>
      <c r="D14" s="239">
        <f>'Quincy Forecast'!G10</f>
        <v>0</v>
      </c>
      <c r="E14" s="239">
        <f>'Quincy Forecast'!H10</f>
        <v>0</v>
      </c>
      <c r="F14" s="239">
        <f>'Quincy Forecast'!I10</f>
        <v>0</v>
      </c>
      <c r="G14" s="239">
        <f>'Quincy Forecast'!J10</f>
        <v>0</v>
      </c>
      <c r="H14" s="239">
        <f>'Quincy Forecast'!K10</f>
        <v>0</v>
      </c>
      <c r="I14" s="239">
        <f>'Quincy Forecast'!L10</f>
        <v>0</v>
      </c>
      <c r="J14" s="239">
        <f>'Quincy Forecast'!M10</f>
        <v>0</v>
      </c>
      <c r="K14" s="239">
        <f>'Quincy Forecast'!N10</f>
        <v>0</v>
      </c>
      <c r="L14" s="239">
        <f>'Quincy Forecast'!O10</f>
        <v>0</v>
      </c>
      <c r="M14" s="239">
        <f>'Quincy Forecast'!P10</f>
        <v>0</v>
      </c>
      <c r="N14" s="21">
        <f>SUM(B14:M14)</f>
        <v>0</v>
      </c>
    </row>
    <row r="15" spans="1:16">
      <c r="A15" s="256" t="s">
        <v>45</v>
      </c>
      <c r="B15" s="28">
        <f>ROUND(B14*'Transmission Formula Rate (7)'!$B$27,0)</f>
        <v>0</v>
      </c>
      <c r="C15" s="28">
        <f>ROUND(C14*'Transmission Formula Rate (7)'!$B$27,0)</f>
        <v>0</v>
      </c>
      <c r="D15" s="28">
        <f>ROUND(D14*'Transmission Formula Rate (7)'!$B$27,0)</f>
        <v>0</v>
      </c>
      <c r="E15" s="28">
        <f>ROUND(E14*'Transmission Formula Rate (7)'!$B$27,0)</f>
        <v>0</v>
      </c>
      <c r="F15" s="28">
        <f>ROUND(F14*'Transmission Formula Rate (7)'!$B$27,0)</f>
        <v>0</v>
      </c>
      <c r="G15" s="28">
        <f>ROUND(G14*'Transmission Formula Rate (7)'!$B$27,0)</f>
        <v>0</v>
      </c>
      <c r="H15" s="28">
        <f>ROUND(H14*'Transmission Formula Rate (7)'!$B$27,0)</f>
        <v>0</v>
      </c>
      <c r="I15" s="28">
        <f>ROUND(I14*'Transmission Formula Rate (7)'!$B$27,0)</f>
        <v>0</v>
      </c>
      <c r="J15" s="28">
        <f>ROUND(J14*'Transmission Formula Rate (7)'!$B$27,0)</f>
        <v>0</v>
      </c>
      <c r="K15" s="28">
        <f>ROUND(K14*'Transmission Formula Rate (7)'!$B$27,0)</f>
        <v>0</v>
      </c>
      <c r="L15" s="28">
        <f>ROUND(L14*'Transmission Formula Rate (7)'!$B$27,0)</f>
        <v>0</v>
      </c>
      <c r="M15" s="28">
        <f>ROUND(M14*'Transmission Formula Rate (7)'!$B$27,0)</f>
        <v>0</v>
      </c>
      <c r="N15" s="21">
        <f>SUM(B15:M15)</f>
        <v>0</v>
      </c>
    </row>
    <row r="16" spans="1:16">
      <c r="A16" s="256" t="s">
        <v>446</v>
      </c>
      <c r="B16" s="28">
        <f t="shared" ref="B16:M16" si="1">B14+B15</f>
        <v>0</v>
      </c>
      <c r="C16" s="28">
        <f t="shared" si="1"/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124">
        <f>SUM(B16:M16)</f>
        <v>0</v>
      </c>
    </row>
    <row r="17" spans="1:14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4">
      <c r="A18" s="254" t="s">
        <v>17</v>
      </c>
      <c r="B18" s="21">
        <f t="shared" ref="B18:M18" si="2">B16*B17</f>
        <v>0</v>
      </c>
      <c r="C18" s="21">
        <f t="shared" si="2"/>
        <v>0</v>
      </c>
      <c r="D18" s="21">
        <f t="shared" si="2"/>
        <v>0</v>
      </c>
      <c r="E18" s="21">
        <f t="shared" si="2"/>
        <v>0</v>
      </c>
      <c r="F18" s="21">
        <f t="shared" si="2"/>
        <v>0</v>
      </c>
      <c r="G18" s="21">
        <f t="shared" si="2"/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>SUM(B18:M18)</f>
        <v>0</v>
      </c>
    </row>
    <row r="19" spans="1:14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57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B21" s="24" t="s">
        <v>0</v>
      </c>
      <c r="C21" s="24" t="s">
        <v>1</v>
      </c>
      <c r="D21" s="24" t="s">
        <v>2</v>
      </c>
      <c r="E21" s="24" t="s">
        <v>3</v>
      </c>
      <c r="F21" s="24" t="s">
        <v>4</v>
      </c>
      <c r="G21" s="24" t="s">
        <v>5</v>
      </c>
      <c r="H21" s="24" t="s">
        <v>6</v>
      </c>
      <c r="I21" s="24" t="s">
        <v>7</v>
      </c>
      <c r="J21" s="24" t="s">
        <v>8</v>
      </c>
      <c r="K21" s="24" t="s">
        <v>9</v>
      </c>
      <c r="L21" s="24" t="s">
        <v>10</v>
      </c>
      <c r="M21" s="24" t="s">
        <v>11</v>
      </c>
      <c r="N21" s="24" t="s">
        <v>12</v>
      </c>
    </row>
    <row r="22" spans="1:14">
      <c r="A22" s="255">
        <f>+A12+1</f>
        <v>2015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254" t="s">
        <v>37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256" t="s">
        <v>446</v>
      </c>
      <c r="B24" s="239">
        <f>'Quincy Forecast'!E11</f>
        <v>1</v>
      </c>
      <c r="C24" s="239">
        <f>'Quincy Forecast'!F11</f>
        <v>2</v>
      </c>
      <c r="D24" s="239">
        <f>'Quincy Forecast'!G11</f>
        <v>3</v>
      </c>
      <c r="E24" s="239">
        <f>'Quincy Forecast'!H11</f>
        <v>4</v>
      </c>
      <c r="F24" s="239">
        <f>'Quincy Forecast'!I11</f>
        <v>5</v>
      </c>
      <c r="G24" s="239">
        <f>'Quincy Forecast'!J11</f>
        <v>6</v>
      </c>
      <c r="H24" s="239">
        <f>'Quincy Forecast'!K11</f>
        <v>7</v>
      </c>
      <c r="I24" s="239">
        <f>'Quincy Forecast'!L11</f>
        <v>8</v>
      </c>
      <c r="J24" s="239">
        <f>'Quincy Forecast'!M11</f>
        <v>9</v>
      </c>
      <c r="K24" s="239">
        <f>'Quincy Forecast'!N11</f>
        <v>10</v>
      </c>
      <c r="L24" s="239">
        <f>'Quincy Forecast'!O11</f>
        <v>11</v>
      </c>
      <c r="M24" s="239">
        <f>'Quincy Forecast'!P11</f>
        <v>12</v>
      </c>
      <c r="N24" s="21">
        <f>SUM(B24:M24)</f>
        <v>78</v>
      </c>
    </row>
    <row r="25" spans="1:14">
      <c r="A25" s="256" t="s">
        <v>45</v>
      </c>
      <c r="B25" s="28">
        <f>B24-B26</f>
        <v>1.81639666175748E-2</v>
      </c>
      <c r="C25" s="28">
        <f t="shared" ref="C25:M25" si="3">C24-C26</f>
        <v>3.6327933235149601E-2</v>
      </c>
      <c r="D25" s="28">
        <f t="shared" si="3"/>
        <v>5.4491899852724401E-2</v>
      </c>
      <c r="E25" s="28">
        <f t="shared" si="3"/>
        <v>7.2655866470299202E-2</v>
      </c>
      <c r="F25" s="28">
        <f t="shared" si="3"/>
        <v>9.0819833087874002E-2</v>
      </c>
      <c r="G25" s="28">
        <f t="shared" si="3"/>
        <v>0.1089837997054488</v>
      </c>
      <c r="H25" s="28">
        <f t="shared" si="3"/>
        <v>0.1271477663230236</v>
      </c>
      <c r="I25" s="28">
        <f t="shared" si="3"/>
        <v>0.1453117329405984</v>
      </c>
      <c r="J25" s="28">
        <f t="shared" si="3"/>
        <v>0.1634756995581732</v>
      </c>
      <c r="K25" s="28">
        <f t="shared" si="3"/>
        <v>0.181639666175748</v>
      </c>
      <c r="L25" s="28">
        <f t="shared" si="3"/>
        <v>0.19980363279332281</v>
      </c>
      <c r="M25" s="28">
        <f t="shared" si="3"/>
        <v>0.21796759941089761</v>
      </c>
      <c r="N25" s="21">
        <f>SUM(B25:M25)</f>
        <v>1.4167893961708344</v>
      </c>
    </row>
    <row r="26" spans="1:14">
      <c r="A26" s="256" t="s">
        <v>47</v>
      </c>
      <c r="B26" s="28">
        <f>B24/(1+'Transmission Formula Rate (7)'!$B$27)</f>
        <v>0.9818360333824252</v>
      </c>
      <c r="C26" s="28">
        <f>C24/(1+'Transmission Formula Rate (7)'!$B$27)</f>
        <v>1.9636720667648504</v>
      </c>
      <c r="D26" s="28">
        <f>D24/(1+'Transmission Formula Rate (7)'!$B$27)</f>
        <v>2.9455081001472756</v>
      </c>
      <c r="E26" s="28">
        <f>E24/(1+'Transmission Formula Rate (7)'!$B$27)</f>
        <v>3.9273441335297008</v>
      </c>
      <c r="F26" s="28">
        <f>F24/(1+'Transmission Formula Rate (7)'!$B$27)</f>
        <v>4.909180166912126</v>
      </c>
      <c r="G26" s="28">
        <f>G24/(1+'Transmission Formula Rate (7)'!$B$27)</f>
        <v>5.8910162002945512</v>
      </c>
      <c r="H26" s="28">
        <f>H24/(1+'Transmission Formula Rate (7)'!$B$27)</f>
        <v>6.8728522336769764</v>
      </c>
      <c r="I26" s="28">
        <f>I24/(1+'Transmission Formula Rate (7)'!$B$27)</f>
        <v>7.8546882670594016</v>
      </c>
      <c r="J26" s="28">
        <f>J24/(1+'Transmission Formula Rate (7)'!$B$27)</f>
        <v>8.8365243004418268</v>
      </c>
      <c r="K26" s="28">
        <f>K24/(1+'Transmission Formula Rate (7)'!$B$27)</f>
        <v>9.818360333824252</v>
      </c>
      <c r="L26" s="28">
        <f>L24/(1+'Transmission Formula Rate (7)'!$B$27)</f>
        <v>10.800196367206677</v>
      </c>
      <c r="M26" s="28">
        <f>M24/(1+'Transmission Formula Rate (7)'!$B$27)</f>
        <v>11.782032400589102</v>
      </c>
      <c r="N26" s="124">
        <f>SUM(B26:M26)</f>
        <v>76.583210603829158</v>
      </c>
    </row>
    <row r="27" spans="1:14">
      <c r="A27" s="254" t="s">
        <v>20</v>
      </c>
      <c r="B27" s="30">
        <f>'Transmission Formula Rate (7)'!B10</f>
        <v>1.59</v>
      </c>
      <c r="C27" s="30">
        <f>'Transmission Formula Rate (7)'!C10</f>
        <v>1.59</v>
      </c>
      <c r="D27" s="30">
        <f>'Transmission Formula Rate (7)'!D10</f>
        <v>1.59</v>
      </c>
      <c r="E27" s="30">
        <f>'Transmission Formula Rate (7)'!E10</f>
        <v>1.59</v>
      </c>
      <c r="F27" s="30">
        <f>'Transmission Formula Rate (7)'!F10</f>
        <v>1.59</v>
      </c>
      <c r="G27" s="30">
        <f>'Transmission Formula Rate (7)'!G10</f>
        <v>1.59</v>
      </c>
      <c r="H27" s="30">
        <f>'Transmission Formula Rate (7)'!H10</f>
        <v>1.59</v>
      </c>
      <c r="I27" s="30">
        <f>'Transmission Formula Rate (7)'!I10</f>
        <v>1.59</v>
      </c>
      <c r="J27" s="30">
        <f>'Transmission Formula Rate (7)'!J10</f>
        <v>1.59</v>
      </c>
      <c r="K27" s="30">
        <f>'Transmission Formula Rate (7)'!K10</f>
        <v>1.59</v>
      </c>
      <c r="L27" s="30">
        <f>'Transmission Formula Rate (7)'!L10</f>
        <v>1.59</v>
      </c>
      <c r="M27" s="30">
        <f>'Transmission Formula Rate (7)'!M10</f>
        <v>1.59</v>
      </c>
      <c r="N27" s="20"/>
    </row>
    <row r="28" spans="1:14">
      <c r="A28" s="254" t="s">
        <v>17</v>
      </c>
      <c r="B28" s="21">
        <f>B24*B27</f>
        <v>1.59</v>
      </c>
      <c r="C28" s="21">
        <f t="shared" ref="C28:M28" si="4">C24*C27</f>
        <v>3.18</v>
      </c>
      <c r="D28" s="21">
        <f t="shared" si="4"/>
        <v>4.7700000000000005</v>
      </c>
      <c r="E28" s="21">
        <f t="shared" si="4"/>
        <v>6.36</v>
      </c>
      <c r="F28" s="21">
        <f t="shared" si="4"/>
        <v>7.95</v>
      </c>
      <c r="G28" s="21">
        <f t="shared" si="4"/>
        <v>9.5400000000000009</v>
      </c>
      <c r="H28" s="21">
        <f t="shared" si="4"/>
        <v>11.13</v>
      </c>
      <c r="I28" s="21">
        <f t="shared" si="4"/>
        <v>12.72</v>
      </c>
      <c r="J28" s="21">
        <f t="shared" si="4"/>
        <v>14.31</v>
      </c>
      <c r="K28" s="21">
        <f t="shared" si="4"/>
        <v>15.9</v>
      </c>
      <c r="L28" s="21">
        <f t="shared" si="4"/>
        <v>17.490000000000002</v>
      </c>
      <c r="M28" s="21">
        <f t="shared" si="4"/>
        <v>19.080000000000002</v>
      </c>
      <c r="N28" s="21">
        <f>SUM(B28:M28)</f>
        <v>124.02</v>
      </c>
    </row>
    <row r="29" spans="1:14">
      <c r="A29" s="25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54" t="s">
        <v>141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56" t="s">
        <v>446</v>
      </c>
      <c r="B31" s="239">
        <f>B24</f>
        <v>1</v>
      </c>
      <c r="C31" s="239">
        <f t="shared" ref="C31:M31" si="5">C24</f>
        <v>2</v>
      </c>
      <c r="D31" s="239">
        <f t="shared" si="5"/>
        <v>3</v>
      </c>
      <c r="E31" s="239">
        <f t="shared" si="5"/>
        <v>4</v>
      </c>
      <c r="F31" s="239">
        <f t="shared" si="5"/>
        <v>5</v>
      </c>
      <c r="G31" s="239">
        <f t="shared" si="5"/>
        <v>6</v>
      </c>
      <c r="H31" s="239">
        <f t="shared" si="5"/>
        <v>7</v>
      </c>
      <c r="I31" s="239">
        <f t="shared" si="5"/>
        <v>8</v>
      </c>
      <c r="J31" s="239">
        <f t="shared" si="5"/>
        <v>9</v>
      </c>
      <c r="K31" s="239">
        <f t="shared" si="5"/>
        <v>10</v>
      </c>
      <c r="L31" s="239">
        <f t="shared" si="5"/>
        <v>11</v>
      </c>
      <c r="M31" s="239">
        <f t="shared" si="5"/>
        <v>12</v>
      </c>
      <c r="N31" s="21">
        <f>SUM(B31:M31)</f>
        <v>78</v>
      </c>
    </row>
    <row r="32" spans="1:14">
      <c r="A32" s="256" t="s">
        <v>45</v>
      </c>
      <c r="B32" s="28">
        <f>B31-B33</f>
        <v>1.81639666175748E-2</v>
      </c>
      <c r="C32" s="28">
        <f t="shared" ref="C32:M32" si="6">C31-C33</f>
        <v>3.6327933235149601E-2</v>
      </c>
      <c r="D32" s="28">
        <f t="shared" si="6"/>
        <v>5.4491899852724401E-2</v>
      </c>
      <c r="E32" s="28">
        <f t="shared" si="6"/>
        <v>7.2655866470299202E-2</v>
      </c>
      <c r="F32" s="28">
        <f t="shared" si="6"/>
        <v>9.0819833087874002E-2</v>
      </c>
      <c r="G32" s="28">
        <f t="shared" si="6"/>
        <v>0.1089837997054488</v>
      </c>
      <c r="H32" s="28">
        <f t="shared" si="6"/>
        <v>0.1271477663230236</v>
      </c>
      <c r="I32" s="28">
        <f t="shared" si="6"/>
        <v>0.1453117329405984</v>
      </c>
      <c r="J32" s="28">
        <f t="shared" si="6"/>
        <v>0.1634756995581732</v>
      </c>
      <c r="K32" s="28">
        <f t="shared" si="6"/>
        <v>0.181639666175748</v>
      </c>
      <c r="L32" s="28">
        <f t="shared" si="6"/>
        <v>0.19980363279332281</v>
      </c>
      <c r="M32" s="28">
        <f t="shared" si="6"/>
        <v>0.21796759941089761</v>
      </c>
      <c r="N32" s="21">
        <f>SUM(B32:M32)</f>
        <v>1.4167893961708344</v>
      </c>
    </row>
    <row r="33" spans="1:14">
      <c r="A33" s="256" t="s">
        <v>47</v>
      </c>
      <c r="B33" s="28">
        <f>B31/(1+'Transmission Formula Rate (7)'!$B$27)</f>
        <v>0.9818360333824252</v>
      </c>
      <c r="C33" s="28">
        <f>C31/(1+'Transmission Formula Rate (7)'!$B$27)</f>
        <v>1.9636720667648504</v>
      </c>
      <c r="D33" s="28">
        <f>D31/(1+'Transmission Formula Rate (7)'!$B$27)</f>
        <v>2.9455081001472756</v>
      </c>
      <c r="E33" s="28">
        <f>E31/(1+'Transmission Formula Rate (7)'!$B$27)</f>
        <v>3.9273441335297008</v>
      </c>
      <c r="F33" s="28">
        <f>F31/(1+'Transmission Formula Rate (7)'!$B$27)</f>
        <v>4.909180166912126</v>
      </c>
      <c r="G33" s="28">
        <f>G31/(1+'Transmission Formula Rate (7)'!$B$27)</f>
        <v>5.8910162002945512</v>
      </c>
      <c r="H33" s="28">
        <f>H31/(1+'Transmission Formula Rate (7)'!$B$27)</f>
        <v>6.8728522336769764</v>
      </c>
      <c r="I33" s="28">
        <f>I31/(1+'Transmission Formula Rate (7)'!$B$27)</f>
        <v>7.8546882670594016</v>
      </c>
      <c r="J33" s="28">
        <f>J31/(1+'Transmission Formula Rate (7)'!$B$27)</f>
        <v>8.8365243004418268</v>
      </c>
      <c r="K33" s="28">
        <f>K31/(1+'Transmission Formula Rate (7)'!$B$27)</f>
        <v>9.818360333824252</v>
      </c>
      <c r="L33" s="28">
        <f>L31/(1+'Transmission Formula Rate (7)'!$B$27)</f>
        <v>10.800196367206677</v>
      </c>
      <c r="M33" s="28">
        <f>M31/(1+'Transmission Formula Rate (7)'!$B$27)</f>
        <v>11.782032400589102</v>
      </c>
      <c r="N33" s="124">
        <f>SUM(B33:M33)</f>
        <v>76.583210603829158</v>
      </c>
    </row>
    <row r="34" spans="1:14">
      <c r="A34" s="254" t="s">
        <v>149</v>
      </c>
      <c r="B34" s="32">
        <f>'charges (1 &amp; 2)'!D12</f>
        <v>1.274E-2</v>
      </c>
      <c r="C34" s="32">
        <f>B34</f>
        <v>1.274E-2</v>
      </c>
      <c r="D34" s="32">
        <f t="shared" ref="D34:M34" si="7">C34</f>
        <v>1.274E-2</v>
      </c>
      <c r="E34" s="32">
        <f t="shared" si="7"/>
        <v>1.274E-2</v>
      </c>
      <c r="F34" s="32">
        <f t="shared" si="7"/>
        <v>1.274E-2</v>
      </c>
      <c r="G34" s="32">
        <f t="shared" si="7"/>
        <v>1.274E-2</v>
      </c>
      <c r="H34" s="32">
        <f t="shared" si="7"/>
        <v>1.274E-2</v>
      </c>
      <c r="I34" s="32">
        <f t="shared" si="7"/>
        <v>1.274E-2</v>
      </c>
      <c r="J34" s="32">
        <f t="shared" si="7"/>
        <v>1.274E-2</v>
      </c>
      <c r="K34" s="32">
        <f t="shared" si="7"/>
        <v>1.274E-2</v>
      </c>
      <c r="L34" s="32">
        <f t="shared" si="7"/>
        <v>1.274E-2</v>
      </c>
      <c r="M34" s="32">
        <f t="shared" si="7"/>
        <v>1.274E-2</v>
      </c>
      <c r="N34" s="20"/>
    </row>
    <row r="35" spans="1:14">
      <c r="A35" s="254" t="s">
        <v>17</v>
      </c>
      <c r="B35" s="21">
        <f>B31*B34</f>
        <v>1.274E-2</v>
      </c>
      <c r="C35" s="21">
        <f t="shared" ref="C35:M35" si="8">C31*C34</f>
        <v>2.5479999999999999E-2</v>
      </c>
      <c r="D35" s="21">
        <f t="shared" si="8"/>
        <v>3.8219999999999997E-2</v>
      </c>
      <c r="E35" s="21">
        <f t="shared" si="8"/>
        <v>5.0959999999999998E-2</v>
      </c>
      <c r="F35" s="21">
        <f t="shared" si="8"/>
        <v>6.3699999999999993E-2</v>
      </c>
      <c r="G35" s="21">
        <f t="shared" si="8"/>
        <v>7.6439999999999994E-2</v>
      </c>
      <c r="H35" s="21">
        <f t="shared" si="8"/>
        <v>8.9179999999999995E-2</v>
      </c>
      <c r="I35" s="21">
        <f t="shared" si="8"/>
        <v>0.10192</v>
      </c>
      <c r="J35" s="21">
        <f t="shared" si="8"/>
        <v>0.11466</v>
      </c>
      <c r="K35" s="21">
        <f t="shared" si="8"/>
        <v>0.12739999999999999</v>
      </c>
      <c r="L35" s="21">
        <f t="shared" si="8"/>
        <v>0.14013999999999999</v>
      </c>
      <c r="M35" s="21">
        <f t="shared" si="8"/>
        <v>0.15287999999999999</v>
      </c>
      <c r="N35" s="21">
        <f>SUM(B35:M35)</f>
        <v>0.99372000000000005</v>
      </c>
    </row>
    <row r="36" spans="1:14">
      <c r="A36" s="25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5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B38" s="24" t="s">
        <v>0</v>
      </c>
      <c r="C38" s="24" t="s">
        <v>1</v>
      </c>
      <c r="D38" s="24" t="s">
        <v>2</v>
      </c>
      <c r="E38" s="24" t="s">
        <v>3</v>
      </c>
      <c r="F38" s="24" t="s">
        <v>4</v>
      </c>
      <c r="G38" s="24" t="s">
        <v>5</v>
      </c>
      <c r="H38" s="24" t="s">
        <v>6</v>
      </c>
      <c r="I38" s="24" t="s">
        <v>7</v>
      </c>
      <c r="J38" s="24" t="s">
        <v>8</v>
      </c>
      <c r="K38" s="24" t="s">
        <v>9</v>
      </c>
      <c r="L38" s="24" t="s">
        <v>10</v>
      </c>
      <c r="M38" s="24" t="s">
        <v>11</v>
      </c>
      <c r="N38" s="24" t="s">
        <v>12</v>
      </c>
    </row>
    <row r="39" spans="1:14">
      <c r="A39" s="255">
        <f>+A22+1</f>
        <v>2016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>
      <c r="A40" s="254" t="s">
        <v>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56" t="s">
        <v>446</v>
      </c>
      <c r="B41" s="239">
        <f>'Quincy Forecast'!E12</f>
        <v>19000</v>
      </c>
      <c r="C41" s="239">
        <f>'Quincy Forecast'!F12</f>
        <v>23774.31</v>
      </c>
      <c r="D41" s="239">
        <f>'Quincy Forecast'!G12</f>
        <v>21764.7</v>
      </c>
      <c r="E41" s="239">
        <f>'Quincy Forecast'!H12</f>
        <v>19516.95</v>
      </c>
      <c r="F41" s="239">
        <f>'Quincy Forecast'!I12</f>
        <v>23055.84</v>
      </c>
      <c r="G41" s="239">
        <f>'Quincy Forecast'!J12</f>
        <v>27682.560000000001</v>
      </c>
      <c r="H41" s="239">
        <f>'Quincy Forecast'!K12</f>
        <v>27365.040000000001</v>
      </c>
      <c r="I41" s="239">
        <f>'Quincy Forecast'!L12</f>
        <v>19000</v>
      </c>
      <c r="J41" s="239">
        <f>'Quincy Forecast'!M12</f>
        <v>25281.72</v>
      </c>
      <c r="K41" s="239">
        <f>'Quincy Forecast'!N12</f>
        <v>22275</v>
      </c>
      <c r="L41" s="239">
        <f>'Quincy Forecast'!O12</f>
        <v>25632.45</v>
      </c>
      <c r="M41" s="239">
        <f>'Quincy Forecast'!P12</f>
        <v>23033.97</v>
      </c>
      <c r="N41" s="21">
        <f>SUM(B41:M41)</f>
        <v>277382.54000000004</v>
      </c>
    </row>
    <row r="42" spans="1:14">
      <c r="A42" s="256" t="s">
        <v>45</v>
      </c>
      <c r="B42" s="28">
        <f>B41-B43</f>
        <v>345.11536573392004</v>
      </c>
      <c r="C42" s="28">
        <f t="shared" ref="C42:M42" si="9">C41-C43</f>
        <v>431.83577319587494</v>
      </c>
      <c r="D42" s="28">
        <f t="shared" si="9"/>
        <v>395.33328424152933</v>
      </c>
      <c r="E42" s="28">
        <f t="shared" si="9"/>
        <v>354.50522827687746</v>
      </c>
      <c r="F42" s="28">
        <f t="shared" si="9"/>
        <v>418.78550810014713</v>
      </c>
      <c r="G42" s="28">
        <f t="shared" si="9"/>
        <v>502.82509572901108</v>
      </c>
      <c r="H42" s="28">
        <f t="shared" si="9"/>
        <v>497.0576730485991</v>
      </c>
      <c r="I42" s="28">
        <f t="shared" si="9"/>
        <v>345.11536573392004</v>
      </c>
      <c r="J42" s="28">
        <f t="shared" si="9"/>
        <v>459.21631811487532</v>
      </c>
      <c r="K42" s="28">
        <f t="shared" si="9"/>
        <v>404.60235640647807</v>
      </c>
      <c r="L42" s="28">
        <f t="shared" si="9"/>
        <v>465.58696612665517</v>
      </c>
      <c r="M42" s="28">
        <f t="shared" si="9"/>
        <v>418.38826215021982</v>
      </c>
      <c r="N42" s="21">
        <f>SUM(B42:M42)</f>
        <v>5038.3671968581075</v>
      </c>
    </row>
    <row r="43" spans="1:14">
      <c r="A43" s="256" t="s">
        <v>47</v>
      </c>
      <c r="B43" s="28">
        <f>B41/(1+'Transmission Formula Rate (7)'!$B$27)</f>
        <v>18654.88463426608</v>
      </c>
      <c r="C43" s="28">
        <f>C41/(1+'Transmission Formula Rate (7)'!$B$27)</f>
        <v>23342.474226804126</v>
      </c>
      <c r="D43" s="28">
        <f>D41/(1+'Transmission Formula Rate (7)'!$B$27)</f>
        <v>21369.366715758471</v>
      </c>
      <c r="E43" s="28">
        <f>E41/(1+'Transmission Formula Rate (7)'!$B$27)</f>
        <v>19162.444771723123</v>
      </c>
      <c r="F43" s="28">
        <f>F41/(1+'Transmission Formula Rate (7)'!$B$27)</f>
        <v>22637.054491899853</v>
      </c>
      <c r="G43" s="28">
        <f>G41/(1+'Transmission Formula Rate (7)'!$B$27)</f>
        <v>27179.73490427099</v>
      </c>
      <c r="H43" s="28">
        <f>H41/(1+'Transmission Formula Rate (7)'!$B$27)</f>
        <v>26867.982326951402</v>
      </c>
      <c r="I43" s="28">
        <f>I41/(1+'Transmission Formula Rate (7)'!$B$27)</f>
        <v>18654.88463426608</v>
      </c>
      <c r="J43" s="28">
        <f>J41/(1+'Transmission Formula Rate (7)'!$B$27)</f>
        <v>24822.503681885126</v>
      </c>
      <c r="K43" s="28">
        <f>K41/(1+'Transmission Formula Rate (7)'!$B$27)</f>
        <v>21870.397643593522</v>
      </c>
      <c r="L43" s="28">
        <f>L41/(1+'Transmission Formula Rate (7)'!$B$27)</f>
        <v>25166.863033873346</v>
      </c>
      <c r="M43" s="28">
        <f>M41/(1+'Transmission Formula Rate (7)'!$B$27)</f>
        <v>22615.581737849781</v>
      </c>
      <c r="N43" s="124">
        <f>SUM(B43:M43)</f>
        <v>272344.17280314193</v>
      </c>
    </row>
    <row r="44" spans="1:14">
      <c r="A44" s="254" t="s">
        <v>20</v>
      </c>
      <c r="B44" s="30">
        <f>'Transmission Formula Rate (7)'!B12</f>
        <v>1.59</v>
      </c>
      <c r="C44" s="30">
        <f>'Transmission Formula Rate (7)'!C12</f>
        <v>1.59</v>
      </c>
      <c r="D44" s="30">
        <f>'Transmission Formula Rate (7)'!D12</f>
        <v>1.59</v>
      </c>
      <c r="E44" s="30">
        <f>'Transmission Formula Rate (7)'!E12</f>
        <v>1.59</v>
      </c>
      <c r="F44" s="30">
        <f>'Transmission Formula Rate (7)'!F12</f>
        <v>1.59</v>
      </c>
      <c r="G44" s="30">
        <f>'Transmission Formula Rate (7)'!G12</f>
        <v>1.59</v>
      </c>
      <c r="H44" s="30">
        <f>'Transmission Formula Rate (7)'!H12</f>
        <v>1.59</v>
      </c>
      <c r="I44" s="30">
        <f>'Transmission Formula Rate (7)'!I12</f>
        <v>1.59</v>
      </c>
      <c r="J44" s="30">
        <f>'Transmission Formula Rate (7)'!J12</f>
        <v>1.59</v>
      </c>
      <c r="K44" s="30">
        <f>'Transmission Formula Rate (7)'!K12</f>
        <v>1.59</v>
      </c>
      <c r="L44" s="30">
        <f>'Transmission Formula Rate (7)'!L12</f>
        <v>1.59</v>
      </c>
      <c r="M44" s="30">
        <f>'Transmission Formula Rate (7)'!M12</f>
        <v>1.59</v>
      </c>
      <c r="N44" s="20"/>
    </row>
    <row r="45" spans="1:14">
      <c r="A45" s="254" t="s">
        <v>17</v>
      </c>
      <c r="B45" s="21">
        <f>B41*B44</f>
        <v>30210</v>
      </c>
      <c r="C45" s="21">
        <f t="shared" ref="C45:M45" si="10">C41*C44</f>
        <v>37801.152900000001</v>
      </c>
      <c r="D45" s="21">
        <f t="shared" si="10"/>
        <v>34605.873</v>
      </c>
      <c r="E45" s="21">
        <f t="shared" si="10"/>
        <v>31031.950500000003</v>
      </c>
      <c r="F45" s="21">
        <f t="shared" si="10"/>
        <v>36658.785600000003</v>
      </c>
      <c r="G45" s="21">
        <f t="shared" si="10"/>
        <v>44015.270400000001</v>
      </c>
      <c r="H45" s="21">
        <f t="shared" si="10"/>
        <v>43510.413600000007</v>
      </c>
      <c r="I45" s="21">
        <f t="shared" si="10"/>
        <v>30210</v>
      </c>
      <c r="J45" s="21">
        <f t="shared" si="10"/>
        <v>40197.934800000003</v>
      </c>
      <c r="K45" s="21">
        <f t="shared" si="10"/>
        <v>35417.25</v>
      </c>
      <c r="L45" s="21">
        <f t="shared" si="10"/>
        <v>40755.595500000003</v>
      </c>
      <c r="M45" s="21">
        <f t="shared" si="10"/>
        <v>36624.012300000002</v>
      </c>
      <c r="N45" s="21">
        <f>SUM(B45:M45)</f>
        <v>441038.23859999998</v>
      </c>
    </row>
    <row r="47" spans="1:14">
      <c r="A47" s="254" t="s">
        <v>141</v>
      </c>
    </row>
    <row r="48" spans="1:14">
      <c r="A48" s="256" t="s">
        <v>446</v>
      </c>
      <c r="B48" s="239">
        <f>B41</f>
        <v>19000</v>
      </c>
      <c r="C48" s="239">
        <f t="shared" ref="C48:M48" si="11">C41</f>
        <v>23774.31</v>
      </c>
      <c r="D48" s="239">
        <f t="shared" si="11"/>
        <v>21764.7</v>
      </c>
      <c r="E48" s="239">
        <f t="shared" si="11"/>
        <v>19516.95</v>
      </c>
      <c r="F48" s="239">
        <f t="shared" si="11"/>
        <v>23055.84</v>
      </c>
      <c r="G48" s="239">
        <f t="shared" si="11"/>
        <v>27682.560000000001</v>
      </c>
      <c r="H48" s="239">
        <f t="shared" si="11"/>
        <v>27365.040000000001</v>
      </c>
      <c r="I48" s="239">
        <f t="shared" si="11"/>
        <v>19000</v>
      </c>
      <c r="J48" s="239">
        <f t="shared" si="11"/>
        <v>25281.72</v>
      </c>
      <c r="K48" s="239">
        <f t="shared" si="11"/>
        <v>22275</v>
      </c>
      <c r="L48" s="239">
        <f t="shared" si="11"/>
        <v>25632.45</v>
      </c>
      <c r="M48" s="239">
        <f t="shared" si="11"/>
        <v>23033.97</v>
      </c>
      <c r="N48" s="21">
        <f>SUM(B48:M48)</f>
        <v>277382.54000000004</v>
      </c>
    </row>
    <row r="49" spans="1:15">
      <c r="A49" s="256" t="s">
        <v>45</v>
      </c>
      <c r="B49" s="28">
        <f>B48-B50</f>
        <v>345.11536573392004</v>
      </c>
      <c r="C49" s="28">
        <f t="shared" ref="C49:M49" si="12">C48-C50</f>
        <v>431.83577319587494</v>
      </c>
      <c r="D49" s="28">
        <f t="shared" si="12"/>
        <v>395.33328424152933</v>
      </c>
      <c r="E49" s="28">
        <f t="shared" si="12"/>
        <v>354.50522827687746</v>
      </c>
      <c r="F49" s="28">
        <f t="shared" si="12"/>
        <v>418.78550810014713</v>
      </c>
      <c r="G49" s="28">
        <f t="shared" si="12"/>
        <v>502.82509572901108</v>
      </c>
      <c r="H49" s="28">
        <f t="shared" si="12"/>
        <v>497.0576730485991</v>
      </c>
      <c r="I49" s="28">
        <f t="shared" si="12"/>
        <v>345.11536573392004</v>
      </c>
      <c r="J49" s="28">
        <f t="shared" si="12"/>
        <v>459.21631811487532</v>
      </c>
      <c r="K49" s="28">
        <f t="shared" si="12"/>
        <v>404.60235640647807</v>
      </c>
      <c r="L49" s="28">
        <f t="shared" si="12"/>
        <v>465.58696612665517</v>
      </c>
      <c r="M49" s="28">
        <f t="shared" si="12"/>
        <v>418.38826215021982</v>
      </c>
      <c r="N49" s="21">
        <f>SUM(B49:M49)</f>
        <v>5038.3671968581075</v>
      </c>
    </row>
    <row r="50" spans="1:15">
      <c r="A50" s="256" t="s">
        <v>47</v>
      </c>
      <c r="B50" s="28">
        <f>B48/(1+'Transmission Formula Rate (7)'!$B$27)</f>
        <v>18654.88463426608</v>
      </c>
      <c r="C50" s="28">
        <f>C48/(1+'Transmission Formula Rate (7)'!$B$27)</f>
        <v>23342.474226804126</v>
      </c>
      <c r="D50" s="28">
        <f>D48/(1+'Transmission Formula Rate (7)'!$B$27)</f>
        <v>21369.366715758471</v>
      </c>
      <c r="E50" s="28">
        <f>E48/(1+'Transmission Formula Rate (7)'!$B$27)</f>
        <v>19162.444771723123</v>
      </c>
      <c r="F50" s="28">
        <f>F48/(1+'Transmission Formula Rate (7)'!$B$27)</f>
        <v>22637.054491899853</v>
      </c>
      <c r="G50" s="28">
        <f>G48/(1+'Transmission Formula Rate (7)'!$B$27)</f>
        <v>27179.73490427099</v>
      </c>
      <c r="H50" s="28">
        <f>H48/(1+'Transmission Formula Rate (7)'!$B$27)</f>
        <v>26867.982326951402</v>
      </c>
      <c r="I50" s="28">
        <f>I48/(1+'Transmission Formula Rate (7)'!$B$27)</f>
        <v>18654.88463426608</v>
      </c>
      <c r="J50" s="28">
        <f>J48/(1+'Transmission Formula Rate (7)'!$B$27)</f>
        <v>24822.503681885126</v>
      </c>
      <c r="K50" s="28">
        <f>K48/(1+'Transmission Formula Rate (7)'!$B$27)</f>
        <v>21870.397643593522</v>
      </c>
      <c r="L50" s="28">
        <f>L48/(1+'Transmission Formula Rate (7)'!$B$27)</f>
        <v>25166.863033873346</v>
      </c>
      <c r="M50" s="28">
        <f>M48/(1+'Transmission Formula Rate (7)'!$B$27)</f>
        <v>22615.581737849781</v>
      </c>
      <c r="N50" s="124">
        <f>SUM(B50:M50)</f>
        <v>272344.17280314193</v>
      </c>
    </row>
    <row r="51" spans="1:15">
      <c r="A51" s="254" t="s">
        <v>149</v>
      </c>
      <c r="B51" s="32">
        <f>'charges (1 &amp; 2)'!E12</f>
        <v>1.274E-2</v>
      </c>
      <c r="C51" s="32">
        <f>B51</f>
        <v>1.274E-2</v>
      </c>
      <c r="D51" s="32">
        <f t="shared" ref="D51:M51" si="13">C51</f>
        <v>1.274E-2</v>
      </c>
      <c r="E51" s="32">
        <f t="shared" si="13"/>
        <v>1.274E-2</v>
      </c>
      <c r="F51" s="32">
        <f t="shared" si="13"/>
        <v>1.274E-2</v>
      </c>
      <c r="G51" s="32">
        <f t="shared" si="13"/>
        <v>1.274E-2</v>
      </c>
      <c r="H51" s="32">
        <f t="shared" si="13"/>
        <v>1.274E-2</v>
      </c>
      <c r="I51" s="32">
        <f t="shared" si="13"/>
        <v>1.274E-2</v>
      </c>
      <c r="J51" s="32">
        <f t="shared" si="13"/>
        <v>1.274E-2</v>
      </c>
      <c r="K51" s="32">
        <f t="shared" si="13"/>
        <v>1.274E-2</v>
      </c>
      <c r="L51" s="32">
        <f t="shared" si="13"/>
        <v>1.274E-2</v>
      </c>
      <c r="M51" s="32">
        <f t="shared" si="13"/>
        <v>1.274E-2</v>
      </c>
      <c r="N51" s="20"/>
    </row>
    <row r="52" spans="1:15">
      <c r="A52" s="254" t="s">
        <v>17</v>
      </c>
      <c r="B52" s="21">
        <f>B48*B51</f>
        <v>242.06</v>
      </c>
      <c r="C52" s="21">
        <f t="shared" ref="C52:M52" si="14">C48*C51</f>
        <v>302.88470940000002</v>
      </c>
      <c r="D52" s="21">
        <f t="shared" si="14"/>
        <v>277.28227800000002</v>
      </c>
      <c r="E52" s="21">
        <f t="shared" si="14"/>
        <v>248.64594299999999</v>
      </c>
      <c r="F52" s="21">
        <f t="shared" si="14"/>
        <v>293.73140159999997</v>
      </c>
      <c r="G52" s="21">
        <f t="shared" si="14"/>
        <v>352.67581439999998</v>
      </c>
      <c r="H52" s="21">
        <f t="shared" si="14"/>
        <v>348.63060960000001</v>
      </c>
      <c r="I52" s="21">
        <f t="shared" si="14"/>
        <v>242.06</v>
      </c>
      <c r="J52" s="21">
        <f t="shared" si="14"/>
        <v>322.08911280000001</v>
      </c>
      <c r="K52" s="21">
        <f t="shared" si="14"/>
        <v>283.7835</v>
      </c>
      <c r="L52" s="21">
        <f t="shared" si="14"/>
        <v>326.557413</v>
      </c>
      <c r="M52" s="21">
        <f t="shared" si="14"/>
        <v>293.45277779999998</v>
      </c>
      <c r="N52" s="21">
        <f>SUM(B52:M52)</f>
        <v>3533.8535595999997</v>
      </c>
    </row>
    <row r="55" spans="1:15">
      <c r="B55" s="24" t="s">
        <v>0</v>
      </c>
      <c r="C55" s="24" t="s">
        <v>1</v>
      </c>
      <c r="D55" s="24" t="s">
        <v>2</v>
      </c>
      <c r="E55" s="24" t="s">
        <v>3</v>
      </c>
      <c r="F55" s="24" t="s">
        <v>4</v>
      </c>
      <c r="G55" s="24" t="s">
        <v>5</v>
      </c>
      <c r="H55" s="24" t="s">
        <v>6</v>
      </c>
      <c r="I55" s="24" t="s">
        <v>7</v>
      </c>
      <c r="J55" s="24" t="s">
        <v>8</v>
      </c>
      <c r="K55" s="24" t="s">
        <v>9</v>
      </c>
      <c r="L55" s="24" t="s">
        <v>10</v>
      </c>
      <c r="M55" s="24" t="s">
        <v>11</v>
      </c>
      <c r="N55" s="24" t="s">
        <v>12</v>
      </c>
    </row>
    <row r="56" spans="1:15">
      <c r="A56" s="255">
        <f>+A39+1</f>
        <v>2017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5">
      <c r="A57" s="254" t="s">
        <v>37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5">
      <c r="A58" s="256" t="s">
        <v>446</v>
      </c>
      <c r="B58" s="239">
        <f>'Quincy Forecast'!E13</f>
        <v>19000</v>
      </c>
      <c r="C58" s="239">
        <f>'Quincy Forecast'!F13</f>
        <v>23774.31</v>
      </c>
      <c r="D58" s="239">
        <f>'Quincy Forecast'!G13</f>
        <v>21764.7</v>
      </c>
      <c r="E58" s="239">
        <f>'Quincy Forecast'!H13</f>
        <v>19516.95</v>
      </c>
      <c r="F58" s="239">
        <f>'Quincy Forecast'!I13</f>
        <v>23055.84</v>
      </c>
      <c r="G58" s="239">
        <f>'Quincy Forecast'!J13</f>
        <v>27682.560000000001</v>
      </c>
      <c r="H58" s="239">
        <f>'Quincy Forecast'!K13</f>
        <v>27365.040000000001</v>
      </c>
      <c r="I58" s="239">
        <f>'Quincy Forecast'!L13</f>
        <v>19000</v>
      </c>
      <c r="J58" s="239">
        <f>'Quincy Forecast'!M13</f>
        <v>25281.72</v>
      </c>
      <c r="K58" s="239">
        <f>'Quincy Forecast'!N13</f>
        <v>22275</v>
      </c>
      <c r="L58" s="239">
        <f>'Quincy Forecast'!O13</f>
        <v>25632.45</v>
      </c>
      <c r="M58" s="239">
        <f>'Quincy Forecast'!P13</f>
        <v>23033.97</v>
      </c>
      <c r="N58" s="21">
        <f>SUM(B58:M58)</f>
        <v>277382.54000000004</v>
      </c>
    </row>
    <row r="59" spans="1:15">
      <c r="A59" s="256" t="s">
        <v>45</v>
      </c>
      <c r="B59" s="28">
        <f>B58-B60</f>
        <v>345.11536573392004</v>
      </c>
      <c r="C59" s="28">
        <f t="shared" ref="C59:M59" si="15">C58-C60</f>
        <v>431.83577319587494</v>
      </c>
      <c r="D59" s="28">
        <f t="shared" si="15"/>
        <v>395.33328424152933</v>
      </c>
      <c r="E59" s="28">
        <f t="shared" si="15"/>
        <v>354.50522827687746</v>
      </c>
      <c r="F59" s="28">
        <f t="shared" si="15"/>
        <v>418.78550810014713</v>
      </c>
      <c r="G59" s="28">
        <f t="shared" si="15"/>
        <v>502.82509572901108</v>
      </c>
      <c r="H59" s="28">
        <f t="shared" si="15"/>
        <v>497.0576730485991</v>
      </c>
      <c r="I59" s="28">
        <f t="shared" si="15"/>
        <v>345.11536573392004</v>
      </c>
      <c r="J59" s="28">
        <f t="shared" si="15"/>
        <v>459.21631811487532</v>
      </c>
      <c r="K59" s="28">
        <f t="shared" si="15"/>
        <v>404.60235640647807</v>
      </c>
      <c r="L59" s="28">
        <f t="shared" si="15"/>
        <v>465.58696612665517</v>
      </c>
      <c r="M59" s="28">
        <f t="shared" si="15"/>
        <v>418.38826215021982</v>
      </c>
      <c r="N59" s="21">
        <f>SUM(B59:M59)</f>
        <v>5038.3671968581075</v>
      </c>
    </row>
    <row r="60" spans="1:15">
      <c r="A60" s="256" t="s">
        <v>47</v>
      </c>
      <c r="B60" s="28">
        <f>B58/(1+'Transmission Formula Rate (7)'!$B$27)</f>
        <v>18654.88463426608</v>
      </c>
      <c r="C60" s="28">
        <f>C58/(1+'Transmission Formula Rate (7)'!$B$27)</f>
        <v>23342.474226804126</v>
      </c>
      <c r="D60" s="28">
        <f>D58/(1+'Transmission Formula Rate (7)'!$B$27)</f>
        <v>21369.366715758471</v>
      </c>
      <c r="E60" s="28">
        <f>E58/(1+'Transmission Formula Rate (7)'!$B$27)</f>
        <v>19162.444771723123</v>
      </c>
      <c r="F60" s="28">
        <f>F58/(1+'Transmission Formula Rate (7)'!$B$27)</f>
        <v>22637.054491899853</v>
      </c>
      <c r="G60" s="28">
        <f>G58/(1+'Transmission Formula Rate (7)'!$B$27)</f>
        <v>27179.73490427099</v>
      </c>
      <c r="H60" s="28">
        <f>H58/(1+'Transmission Formula Rate (7)'!$B$27)</f>
        <v>26867.982326951402</v>
      </c>
      <c r="I60" s="28">
        <f>I58/(1+'Transmission Formula Rate (7)'!$B$27)</f>
        <v>18654.88463426608</v>
      </c>
      <c r="J60" s="28">
        <f>J58/(1+'Transmission Formula Rate (7)'!$B$27)</f>
        <v>24822.503681885126</v>
      </c>
      <c r="K60" s="28">
        <f>K58/(1+'Transmission Formula Rate (7)'!$B$27)</f>
        <v>21870.397643593522</v>
      </c>
      <c r="L60" s="28">
        <f>L58/(1+'Transmission Formula Rate (7)'!$B$27)</f>
        <v>25166.863033873346</v>
      </c>
      <c r="M60" s="28">
        <f>M58/(1+'Transmission Formula Rate (7)'!$B$27)</f>
        <v>22615.581737849781</v>
      </c>
      <c r="N60" s="124">
        <f>SUM(B60:M60)</f>
        <v>272344.17280314193</v>
      </c>
    </row>
    <row r="61" spans="1:15">
      <c r="A61" s="254" t="s">
        <v>20</v>
      </c>
      <c r="B61" s="30">
        <f>'Transmission Formula Rate (7)'!B14</f>
        <v>1.59</v>
      </c>
      <c r="C61" s="30">
        <f>'Transmission Formula Rate (7)'!C14</f>
        <v>1.59</v>
      </c>
      <c r="D61" s="30">
        <f>'Transmission Formula Rate (7)'!D14</f>
        <v>1.59</v>
      </c>
      <c r="E61" s="30">
        <f>'Transmission Formula Rate (7)'!E14</f>
        <v>1.59</v>
      </c>
      <c r="F61" s="30">
        <f>'Transmission Formula Rate (7)'!F14</f>
        <v>1.59</v>
      </c>
      <c r="G61" s="30">
        <f>'Transmission Formula Rate (7)'!G14</f>
        <v>1.59</v>
      </c>
      <c r="H61" s="30">
        <f>'Transmission Formula Rate (7)'!H14</f>
        <v>1.59</v>
      </c>
      <c r="I61" s="30">
        <f>'Transmission Formula Rate (7)'!I14</f>
        <v>1.59</v>
      </c>
      <c r="J61" s="30">
        <f>'Transmission Formula Rate (7)'!J14</f>
        <v>1.59</v>
      </c>
      <c r="K61" s="30">
        <f>'Transmission Formula Rate (7)'!K14</f>
        <v>1.59</v>
      </c>
      <c r="L61" s="30">
        <f>'Transmission Formula Rate (7)'!L14</f>
        <v>1.59</v>
      </c>
      <c r="M61" s="30">
        <f>'Transmission Formula Rate (7)'!M14</f>
        <v>1.59</v>
      </c>
      <c r="N61" s="20"/>
      <c r="O61" s="277"/>
    </row>
    <row r="62" spans="1:15">
      <c r="A62" s="254" t="s">
        <v>17</v>
      </c>
      <c r="B62" s="21">
        <f>B58*B61</f>
        <v>30210</v>
      </c>
      <c r="C62" s="21">
        <f t="shared" ref="C62:M62" si="16">C58*C61</f>
        <v>37801.152900000001</v>
      </c>
      <c r="D62" s="21">
        <f t="shared" si="16"/>
        <v>34605.873</v>
      </c>
      <c r="E62" s="21">
        <f t="shared" si="16"/>
        <v>31031.950500000003</v>
      </c>
      <c r="F62" s="21">
        <f t="shared" si="16"/>
        <v>36658.785600000003</v>
      </c>
      <c r="G62" s="21">
        <f t="shared" si="16"/>
        <v>44015.270400000001</v>
      </c>
      <c r="H62" s="21">
        <f t="shared" si="16"/>
        <v>43510.413600000007</v>
      </c>
      <c r="I62" s="21">
        <f t="shared" si="16"/>
        <v>30210</v>
      </c>
      <c r="J62" s="21">
        <f t="shared" si="16"/>
        <v>40197.934800000003</v>
      </c>
      <c r="K62" s="21">
        <f t="shared" si="16"/>
        <v>35417.25</v>
      </c>
      <c r="L62" s="21">
        <f t="shared" si="16"/>
        <v>40755.595500000003</v>
      </c>
      <c r="M62" s="21">
        <f t="shared" si="16"/>
        <v>36624.012300000002</v>
      </c>
      <c r="N62" s="21">
        <f>SUM(B62:M62)</f>
        <v>441038.23859999998</v>
      </c>
    </row>
    <row r="64" spans="1:15">
      <c r="A64" s="254" t="s">
        <v>141</v>
      </c>
    </row>
    <row r="65" spans="1:14">
      <c r="A65" s="256" t="s">
        <v>446</v>
      </c>
      <c r="B65" s="239">
        <f>B58</f>
        <v>19000</v>
      </c>
      <c r="C65" s="239">
        <f t="shared" ref="C65:M65" si="17">C58</f>
        <v>23774.31</v>
      </c>
      <c r="D65" s="239">
        <f t="shared" si="17"/>
        <v>21764.7</v>
      </c>
      <c r="E65" s="239">
        <f t="shared" si="17"/>
        <v>19516.95</v>
      </c>
      <c r="F65" s="239">
        <f t="shared" si="17"/>
        <v>23055.84</v>
      </c>
      <c r="G65" s="239">
        <f t="shared" si="17"/>
        <v>27682.560000000001</v>
      </c>
      <c r="H65" s="239">
        <f t="shared" si="17"/>
        <v>27365.040000000001</v>
      </c>
      <c r="I65" s="239">
        <f t="shared" si="17"/>
        <v>19000</v>
      </c>
      <c r="J65" s="239">
        <f t="shared" si="17"/>
        <v>25281.72</v>
      </c>
      <c r="K65" s="239">
        <f t="shared" si="17"/>
        <v>22275</v>
      </c>
      <c r="L65" s="239">
        <f t="shared" si="17"/>
        <v>25632.45</v>
      </c>
      <c r="M65" s="239">
        <f t="shared" si="17"/>
        <v>23033.97</v>
      </c>
      <c r="N65" s="21">
        <f>SUM(B65:M65)</f>
        <v>277382.54000000004</v>
      </c>
    </row>
    <row r="66" spans="1:14">
      <c r="A66" s="256" t="s">
        <v>45</v>
      </c>
      <c r="B66" s="28">
        <f>B65-B67</f>
        <v>345.11536573392004</v>
      </c>
      <c r="C66" s="28">
        <f t="shared" ref="C66:M66" si="18">C65-C67</f>
        <v>431.83577319587494</v>
      </c>
      <c r="D66" s="28">
        <f t="shared" si="18"/>
        <v>395.33328424152933</v>
      </c>
      <c r="E66" s="28">
        <f t="shared" si="18"/>
        <v>354.50522827687746</v>
      </c>
      <c r="F66" s="28">
        <f t="shared" si="18"/>
        <v>418.78550810014713</v>
      </c>
      <c r="G66" s="28">
        <f t="shared" si="18"/>
        <v>502.82509572901108</v>
      </c>
      <c r="H66" s="28">
        <f t="shared" si="18"/>
        <v>497.0576730485991</v>
      </c>
      <c r="I66" s="28">
        <f t="shared" si="18"/>
        <v>345.11536573392004</v>
      </c>
      <c r="J66" s="28">
        <f t="shared" si="18"/>
        <v>459.21631811487532</v>
      </c>
      <c r="K66" s="28">
        <f t="shared" si="18"/>
        <v>404.60235640647807</v>
      </c>
      <c r="L66" s="28">
        <f t="shared" si="18"/>
        <v>465.58696612665517</v>
      </c>
      <c r="M66" s="28">
        <f t="shared" si="18"/>
        <v>418.38826215021982</v>
      </c>
      <c r="N66" s="21">
        <f>SUM(B66:M66)</f>
        <v>5038.3671968581075</v>
      </c>
    </row>
    <row r="67" spans="1:14">
      <c r="A67" s="256" t="s">
        <v>47</v>
      </c>
      <c r="B67" s="28">
        <f>B65/(1+'Transmission Formula Rate (7)'!$B$27)</f>
        <v>18654.88463426608</v>
      </c>
      <c r="C67" s="28">
        <f>C65/(1+'Transmission Formula Rate (7)'!$B$27)</f>
        <v>23342.474226804126</v>
      </c>
      <c r="D67" s="28">
        <f>D65/(1+'Transmission Formula Rate (7)'!$B$27)</f>
        <v>21369.366715758471</v>
      </c>
      <c r="E67" s="28">
        <f>E65/(1+'Transmission Formula Rate (7)'!$B$27)</f>
        <v>19162.444771723123</v>
      </c>
      <c r="F67" s="28">
        <f>F65/(1+'Transmission Formula Rate (7)'!$B$27)</f>
        <v>22637.054491899853</v>
      </c>
      <c r="G67" s="28">
        <f>G65/(1+'Transmission Formula Rate (7)'!$B$27)</f>
        <v>27179.73490427099</v>
      </c>
      <c r="H67" s="28">
        <f>H65/(1+'Transmission Formula Rate (7)'!$B$27)</f>
        <v>26867.982326951402</v>
      </c>
      <c r="I67" s="28">
        <f>I65/(1+'Transmission Formula Rate (7)'!$B$27)</f>
        <v>18654.88463426608</v>
      </c>
      <c r="J67" s="28">
        <f>J65/(1+'Transmission Formula Rate (7)'!$B$27)</f>
        <v>24822.503681885126</v>
      </c>
      <c r="K67" s="28">
        <f>K65/(1+'Transmission Formula Rate (7)'!$B$27)</f>
        <v>21870.397643593522</v>
      </c>
      <c r="L67" s="28">
        <f>L65/(1+'Transmission Formula Rate (7)'!$B$27)</f>
        <v>25166.863033873346</v>
      </c>
      <c r="M67" s="28">
        <f>M65/(1+'Transmission Formula Rate (7)'!$B$27)</f>
        <v>22615.581737849781</v>
      </c>
      <c r="N67" s="124">
        <f>SUM(B67:M67)</f>
        <v>272344.17280314193</v>
      </c>
    </row>
    <row r="68" spans="1:14">
      <c r="A68" s="254" t="s">
        <v>149</v>
      </c>
      <c r="B68" s="32">
        <f>'charges (1 &amp; 2)'!F12</f>
        <v>1.274E-2</v>
      </c>
      <c r="C68" s="32">
        <f>B68</f>
        <v>1.274E-2</v>
      </c>
      <c r="D68" s="32">
        <f t="shared" ref="D68:M68" si="19">C68</f>
        <v>1.274E-2</v>
      </c>
      <c r="E68" s="32">
        <f t="shared" si="19"/>
        <v>1.274E-2</v>
      </c>
      <c r="F68" s="32">
        <f t="shared" si="19"/>
        <v>1.274E-2</v>
      </c>
      <c r="G68" s="32">
        <f t="shared" si="19"/>
        <v>1.274E-2</v>
      </c>
      <c r="H68" s="32">
        <f t="shared" si="19"/>
        <v>1.274E-2</v>
      </c>
      <c r="I68" s="32">
        <f t="shared" si="19"/>
        <v>1.274E-2</v>
      </c>
      <c r="J68" s="32">
        <f t="shared" si="19"/>
        <v>1.274E-2</v>
      </c>
      <c r="K68" s="32">
        <f t="shared" si="19"/>
        <v>1.274E-2</v>
      </c>
      <c r="L68" s="32">
        <f t="shared" si="19"/>
        <v>1.274E-2</v>
      </c>
      <c r="M68" s="32">
        <f t="shared" si="19"/>
        <v>1.274E-2</v>
      </c>
      <c r="N68" s="20"/>
    </row>
    <row r="69" spans="1:14">
      <c r="A69" s="254" t="s">
        <v>17</v>
      </c>
      <c r="B69" s="21">
        <f>B65*B68</f>
        <v>242.06</v>
      </c>
      <c r="C69" s="21">
        <f t="shared" ref="C69:M69" si="20">C65*C68</f>
        <v>302.88470940000002</v>
      </c>
      <c r="D69" s="21">
        <f t="shared" si="20"/>
        <v>277.28227800000002</v>
      </c>
      <c r="E69" s="21">
        <f t="shared" si="20"/>
        <v>248.64594299999999</v>
      </c>
      <c r="F69" s="21">
        <f t="shared" si="20"/>
        <v>293.73140159999997</v>
      </c>
      <c r="G69" s="21">
        <f t="shared" si="20"/>
        <v>352.67581439999998</v>
      </c>
      <c r="H69" s="21">
        <f t="shared" si="20"/>
        <v>348.63060960000001</v>
      </c>
      <c r="I69" s="21">
        <f t="shared" si="20"/>
        <v>242.06</v>
      </c>
      <c r="J69" s="21">
        <f t="shared" si="20"/>
        <v>322.08911280000001</v>
      </c>
      <c r="K69" s="21">
        <f t="shared" si="20"/>
        <v>283.7835</v>
      </c>
      <c r="L69" s="21">
        <f t="shared" si="20"/>
        <v>326.557413</v>
      </c>
      <c r="M69" s="21">
        <f t="shared" si="20"/>
        <v>293.45277779999998</v>
      </c>
      <c r="N69" s="21">
        <f>SUM(B69:M69)</f>
        <v>3533.8535595999997</v>
      </c>
    </row>
    <row r="71" spans="1:14">
      <c r="B71" s="24" t="s">
        <v>0</v>
      </c>
      <c r="C71" s="24" t="s">
        <v>1</v>
      </c>
      <c r="D71" s="24" t="s">
        <v>2</v>
      </c>
      <c r="E71" s="24" t="s">
        <v>3</v>
      </c>
      <c r="F71" s="24" t="s">
        <v>4</v>
      </c>
      <c r="G71" s="24" t="s">
        <v>5</v>
      </c>
      <c r="H71" s="24" t="s">
        <v>6</v>
      </c>
      <c r="I71" s="24" t="s">
        <v>7</v>
      </c>
      <c r="J71" s="24" t="s">
        <v>8</v>
      </c>
      <c r="K71" s="24" t="s">
        <v>9</v>
      </c>
      <c r="L71" s="24" t="s">
        <v>10</v>
      </c>
      <c r="M71" s="24" t="s">
        <v>11</v>
      </c>
      <c r="N71" s="24" t="s">
        <v>12</v>
      </c>
    </row>
    <row r="72" spans="1:14">
      <c r="A72" s="255">
        <f>A56+1</f>
        <v>2018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1:14">
      <c r="A73" s="254" t="s">
        <v>37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256" t="s">
        <v>446</v>
      </c>
      <c r="B74" s="239">
        <f>'Quincy Forecast'!E14</f>
        <v>19000</v>
      </c>
      <c r="C74" s="239">
        <f>'Quincy Forecast'!F14</f>
        <v>23774.31</v>
      </c>
      <c r="D74" s="239">
        <f>'Quincy Forecast'!G14</f>
        <v>21764.7</v>
      </c>
      <c r="E74" s="239">
        <f>'Quincy Forecast'!H14</f>
        <v>19516.95</v>
      </c>
      <c r="F74" s="239">
        <f>'Quincy Forecast'!I14</f>
        <v>23055.84</v>
      </c>
      <c r="G74" s="239">
        <f>'Quincy Forecast'!J14</f>
        <v>27682.560000000001</v>
      </c>
      <c r="H74" s="239">
        <f>'Quincy Forecast'!K14</f>
        <v>27365.040000000001</v>
      </c>
      <c r="I74" s="239">
        <f>'Quincy Forecast'!L14</f>
        <v>19000</v>
      </c>
      <c r="J74" s="239">
        <f>'Quincy Forecast'!M14</f>
        <v>25281.72</v>
      </c>
      <c r="K74" s="239">
        <f>'Quincy Forecast'!N14</f>
        <v>22275</v>
      </c>
      <c r="L74" s="239">
        <f>'Quincy Forecast'!O14</f>
        <v>25632.45</v>
      </c>
      <c r="M74" s="239">
        <f>'Quincy Forecast'!P14</f>
        <v>23033.97</v>
      </c>
      <c r="N74" s="21">
        <f>SUM(B74:M74)</f>
        <v>277382.54000000004</v>
      </c>
    </row>
    <row r="75" spans="1:14">
      <c r="A75" s="256" t="s">
        <v>45</v>
      </c>
      <c r="B75" s="28">
        <f>B74-B76</f>
        <v>345.11536573392004</v>
      </c>
      <c r="C75" s="28">
        <f t="shared" ref="C75:M75" si="21">C74-C76</f>
        <v>431.83577319587494</v>
      </c>
      <c r="D75" s="28">
        <f t="shared" si="21"/>
        <v>395.33328424152933</v>
      </c>
      <c r="E75" s="28">
        <f t="shared" si="21"/>
        <v>354.50522827687746</v>
      </c>
      <c r="F75" s="28">
        <f t="shared" si="21"/>
        <v>418.78550810014713</v>
      </c>
      <c r="G75" s="28">
        <f t="shared" si="21"/>
        <v>502.82509572901108</v>
      </c>
      <c r="H75" s="28">
        <f t="shared" si="21"/>
        <v>497.0576730485991</v>
      </c>
      <c r="I75" s="28">
        <f t="shared" si="21"/>
        <v>345.11536573392004</v>
      </c>
      <c r="J75" s="28">
        <f t="shared" si="21"/>
        <v>459.21631811487532</v>
      </c>
      <c r="K75" s="28">
        <f t="shared" si="21"/>
        <v>404.60235640647807</v>
      </c>
      <c r="L75" s="28">
        <f t="shared" si="21"/>
        <v>465.58696612665517</v>
      </c>
      <c r="M75" s="28">
        <f t="shared" si="21"/>
        <v>418.38826215021982</v>
      </c>
      <c r="N75" s="21">
        <f>SUM(B75:M75)</f>
        <v>5038.3671968581075</v>
      </c>
    </row>
    <row r="76" spans="1:14">
      <c r="A76" s="256" t="s">
        <v>47</v>
      </c>
      <c r="B76" s="28">
        <f>B74/(1+'Transmission Formula Rate (7)'!$B$27)</f>
        <v>18654.88463426608</v>
      </c>
      <c r="C76" s="28">
        <f>C74/(1+'Transmission Formula Rate (7)'!$B$27)</f>
        <v>23342.474226804126</v>
      </c>
      <c r="D76" s="28">
        <f>D74/(1+'Transmission Formula Rate (7)'!$B$27)</f>
        <v>21369.366715758471</v>
      </c>
      <c r="E76" s="28">
        <f>E74/(1+'Transmission Formula Rate (7)'!$B$27)</f>
        <v>19162.444771723123</v>
      </c>
      <c r="F76" s="28">
        <f>F74/(1+'Transmission Formula Rate (7)'!$B$27)</f>
        <v>22637.054491899853</v>
      </c>
      <c r="G76" s="28">
        <f>G74/(1+'Transmission Formula Rate (7)'!$B$27)</f>
        <v>27179.73490427099</v>
      </c>
      <c r="H76" s="28">
        <f>H74/(1+'Transmission Formula Rate (7)'!$B$27)</f>
        <v>26867.982326951402</v>
      </c>
      <c r="I76" s="28">
        <f>I74/(1+'Transmission Formula Rate (7)'!$B$27)</f>
        <v>18654.88463426608</v>
      </c>
      <c r="J76" s="28">
        <f>J74/(1+'Transmission Formula Rate (7)'!$B$27)</f>
        <v>24822.503681885126</v>
      </c>
      <c r="K76" s="28">
        <f>K74/(1+'Transmission Formula Rate (7)'!$B$27)</f>
        <v>21870.397643593522</v>
      </c>
      <c r="L76" s="28">
        <f>L74/(1+'Transmission Formula Rate (7)'!$B$27)</f>
        <v>25166.863033873346</v>
      </c>
      <c r="M76" s="28">
        <f>M74/(1+'Transmission Formula Rate (7)'!$B$27)</f>
        <v>22615.581737849781</v>
      </c>
      <c r="N76" s="124">
        <f>SUM(B76:M76)</f>
        <v>272344.17280314193</v>
      </c>
    </row>
    <row r="77" spans="1:14">
      <c r="A77" s="254" t="s">
        <v>20</v>
      </c>
      <c r="B77" s="30">
        <f>'Transmission Formula Rate (7)'!B16</f>
        <v>1.59</v>
      </c>
      <c r="C77" s="30">
        <f>'Transmission Formula Rate (7)'!C16</f>
        <v>1.59</v>
      </c>
      <c r="D77" s="30">
        <f>'Transmission Formula Rate (7)'!D16</f>
        <v>1.59</v>
      </c>
      <c r="E77" s="30">
        <f>'Transmission Formula Rate (7)'!E16</f>
        <v>1.59</v>
      </c>
      <c r="F77" s="30">
        <f>'Transmission Formula Rate (7)'!F16</f>
        <v>1.59</v>
      </c>
      <c r="G77" s="30">
        <f>'Transmission Formula Rate (7)'!G16</f>
        <v>1.59</v>
      </c>
      <c r="H77" s="30">
        <f>'Transmission Formula Rate (7)'!H16</f>
        <v>1.59</v>
      </c>
      <c r="I77" s="30">
        <f>'Transmission Formula Rate (7)'!I16</f>
        <v>1.59</v>
      </c>
      <c r="J77" s="30">
        <f>'Transmission Formula Rate (7)'!J16</f>
        <v>1.59</v>
      </c>
      <c r="K77" s="30">
        <f>'Transmission Formula Rate (7)'!K16</f>
        <v>1.59</v>
      </c>
      <c r="L77" s="30">
        <f>'Transmission Formula Rate (7)'!L16</f>
        <v>1.59</v>
      </c>
      <c r="M77" s="30">
        <f>'Transmission Formula Rate (7)'!M16</f>
        <v>1.59</v>
      </c>
      <c r="N77" s="20"/>
    </row>
    <row r="78" spans="1:14">
      <c r="A78" s="254" t="s">
        <v>17</v>
      </c>
      <c r="B78" s="21">
        <f>B74*B77</f>
        <v>30210</v>
      </c>
      <c r="C78" s="21">
        <f t="shared" ref="C78:M78" si="22">C74*C77</f>
        <v>37801.152900000001</v>
      </c>
      <c r="D78" s="21">
        <f t="shared" si="22"/>
        <v>34605.873</v>
      </c>
      <c r="E78" s="21">
        <f t="shared" si="22"/>
        <v>31031.950500000003</v>
      </c>
      <c r="F78" s="21">
        <f t="shared" si="22"/>
        <v>36658.785600000003</v>
      </c>
      <c r="G78" s="21">
        <f t="shared" si="22"/>
        <v>44015.270400000001</v>
      </c>
      <c r="H78" s="21">
        <f t="shared" si="22"/>
        <v>43510.413600000007</v>
      </c>
      <c r="I78" s="21">
        <f t="shared" si="22"/>
        <v>30210</v>
      </c>
      <c r="J78" s="21">
        <f t="shared" si="22"/>
        <v>40197.934800000003</v>
      </c>
      <c r="K78" s="21">
        <f t="shared" si="22"/>
        <v>35417.25</v>
      </c>
      <c r="L78" s="21">
        <f t="shared" si="22"/>
        <v>40755.595500000003</v>
      </c>
      <c r="M78" s="21">
        <f t="shared" si="22"/>
        <v>36624.012300000002</v>
      </c>
      <c r="N78" s="21">
        <f>SUM(B78:M78)</f>
        <v>441038.23859999998</v>
      </c>
    </row>
    <row r="80" spans="1:14">
      <c r="A80" s="254" t="s">
        <v>141</v>
      </c>
    </row>
    <row r="81" spans="1:14">
      <c r="A81" s="256" t="s">
        <v>446</v>
      </c>
      <c r="B81" s="239">
        <f>B74</f>
        <v>19000</v>
      </c>
      <c r="C81" s="239">
        <f t="shared" ref="C81:M81" si="23">C74</f>
        <v>23774.31</v>
      </c>
      <c r="D81" s="239">
        <f t="shared" si="23"/>
        <v>21764.7</v>
      </c>
      <c r="E81" s="239">
        <f t="shared" si="23"/>
        <v>19516.95</v>
      </c>
      <c r="F81" s="239">
        <f t="shared" si="23"/>
        <v>23055.84</v>
      </c>
      <c r="G81" s="239">
        <f t="shared" si="23"/>
        <v>27682.560000000001</v>
      </c>
      <c r="H81" s="239">
        <f t="shared" si="23"/>
        <v>27365.040000000001</v>
      </c>
      <c r="I81" s="239">
        <f t="shared" si="23"/>
        <v>19000</v>
      </c>
      <c r="J81" s="239">
        <f t="shared" si="23"/>
        <v>25281.72</v>
      </c>
      <c r="K81" s="239">
        <f t="shared" si="23"/>
        <v>22275</v>
      </c>
      <c r="L81" s="239">
        <f t="shared" si="23"/>
        <v>25632.45</v>
      </c>
      <c r="M81" s="239">
        <f t="shared" si="23"/>
        <v>23033.97</v>
      </c>
      <c r="N81" s="21">
        <f>SUM(B81:M81)</f>
        <v>277382.54000000004</v>
      </c>
    </row>
    <row r="82" spans="1:14">
      <c r="A82" s="256" t="s">
        <v>45</v>
      </c>
      <c r="B82" s="28">
        <f>B81-B83</f>
        <v>345.11536573392004</v>
      </c>
      <c r="C82" s="28">
        <f t="shared" ref="C82:M82" si="24">C81-C83</f>
        <v>431.83577319587494</v>
      </c>
      <c r="D82" s="28">
        <f t="shared" si="24"/>
        <v>395.33328424152933</v>
      </c>
      <c r="E82" s="28">
        <f t="shared" si="24"/>
        <v>354.50522827687746</v>
      </c>
      <c r="F82" s="28">
        <f t="shared" si="24"/>
        <v>418.78550810014713</v>
      </c>
      <c r="G82" s="28">
        <f t="shared" si="24"/>
        <v>502.82509572901108</v>
      </c>
      <c r="H82" s="28">
        <f t="shared" si="24"/>
        <v>497.0576730485991</v>
      </c>
      <c r="I82" s="28">
        <f t="shared" si="24"/>
        <v>345.11536573392004</v>
      </c>
      <c r="J82" s="28">
        <f t="shared" si="24"/>
        <v>459.21631811487532</v>
      </c>
      <c r="K82" s="28">
        <f t="shared" si="24"/>
        <v>404.60235640647807</v>
      </c>
      <c r="L82" s="28">
        <f t="shared" si="24"/>
        <v>465.58696612665517</v>
      </c>
      <c r="M82" s="28">
        <f t="shared" si="24"/>
        <v>418.38826215021982</v>
      </c>
      <c r="N82" s="21">
        <f>SUM(B82:M82)</f>
        <v>5038.3671968581075</v>
      </c>
    </row>
    <row r="83" spans="1:14">
      <c r="A83" s="256" t="s">
        <v>47</v>
      </c>
      <c r="B83" s="28">
        <f>B81/(1+'Transmission Formula Rate (7)'!$B$27)</f>
        <v>18654.88463426608</v>
      </c>
      <c r="C83" s="28">
        <f>C81/(1+'Transmission Formula Rate (7)'!$B$27)</f>
        <v>23342.474226804126</v>
      </c>
      <c r="D83" s="28">
        <f>D81/(1+'Transmission Formula Rate (7)'!$B$27)</f>
        <v>21369.366715758471</v>
      </c>
      <c r="E83" s="28">
        <f>E81/(1+'Transmission Formula Rate (7)'!$B$27)</f>
        <v>19162.444771723123</v>
      </c>
      <c r="F83" s="28">
        <f>F81/(1+'Transmission Formula Rate (7)'!$B$27)</f>
        <v>22637.054491899853</v>
      </c>
      <c r="G83" s="28">
        <f>G81/(1+'Transmission Formula Rate (7)'!$B$27)</f>
        <v>27179.73490427099</v>
      </c>
      <c r="H83" s="28">
        <f>H81/(1+'Transmission Formula Rate (7)'!$B$27)</f>
        <v>26867.982326951402</v>
      </c>
      <c r="I83" s="28">
        <f>I81/(1+'Transmission Formula Rate (7)'!$B$27)</f>
        <v>18654.88463426608</v>
      </c>
      <c r="J83" s="28">
        <f>J81/(1+'Transmission Formula Rate (7)'!$B$27)</f>
        <v>24822.503681885126</v>
      </c>
      <c r="K83" s="28">
        <f>K81/(1+'Transmission Formula Rate (7)'!$B$27)</f>
        <v>21870.397643593522</v>
      </c>
      <c r="L83" s="28">
        <f>L81/(1+'Transmission Formula Rate (7)'!$B$27)</f>
        <v>25166.863033873346</v>
      </c>
      <c r="M83" s="28">
        <f>M81/(1+'Transmission Formula Rate (7)'!$B$27)</f>
        <v>22615.581737849781</v>
      </c>
      <c r="N83" s="124">
        <f>SUM(B83:M83)</f>
        <v>272344.17280314193</v>
      </c>
    </row>
    <row r="84" spans="1:14">
      <c r="A84" s="254" t="s">
        <v>149</v>
      </c>
      <c r="B84" s="32">
        <f>'charges (1 &amp; 2)'!G12</f>
        <v>1.274E-2</v>
      </c>
      <c r="C84" s="32">
        <f>B84</f>
        <v>1.274E-2</v>
      </c>
      <c r="D84" s="32">
        <f t="shared" ref="D84:M84" si="25">C84</f>
        <v>1.274E-2</v>
      </c>
      <c r="E84" s="32">
        <f t="shared" si="25"/>
        <v>1.274E-2</v>
      </c>
      <c r="F84" s="32">
        <f t="shared" si="25"/>
        <v>1.274E-2</v>
      </c>
      <c r="G84" s="32">
        <f t="shared" si="25"/>
        <v>1.274E-2</v>
      </c>
      <c r="H84" s="32">
        <f t="shared" si="25"/>
        <v>1.274E-2</v>
      </c>
      <c r="I84" s="32">
        <f t="shared" si="25"/>
        <v>1.274E-2</v>
      </c>
      <c r="J84" s="32">
        <f t="shared" si="25"/>
        <v>1.274E-2</v>
      </c>
      <c r="K84" s="32">
        <f t="shared" si="25"/>
        <v>1.274E-2</v>
      </c>
      <c r="L84" s="32">
        <f t="shared" si="25"/>
        <v>1.274E-2</v>
      </c>
      <c r="M84" s="32">
        <f t="shared" si="25"/>
        <v>1.274E-2</v>
      </c>
      <c r="N84" s="20"/>
    </row>
    <row r="85" spans="1:14">
      <c r="A85" s="254" t="s">
        <v>17</v>
      </c>
      <c r="B85" s="21">
        <f>B81*B84</f>
        <v>242.06</v>
      </c>
      <c r="C85" s="21">
        <f t="shared" ref="C85:M85" si="26">C81*C84</f>
        <v>302.88470940000002</v>
      </c>
      <c r="D85" s="21">
        <f t="shared" si="26"/>
        <v>277.28227800000002</v>
      </c>
      <c r="E85" s="21">
        <f t="shared" si="26"/>
        <v>248.64594299999999</v>
      </c>
      <c r="F85" s="21">
        <f t="shared" si="26"/>
        <v>293.73140159999997</v>
      </c>
      <c r="G85" s="21">
        <f t="shared" si="26"/>
        <v>352.67581439999998</v>
      </c>
      <c r="H85" s="21">
        <f t="shared" si="26"/>
        <v>348.63060960000001</v>
      </c>
      <c r="I85" s="21">
        <f t="shared" si="26"/>
        <v>242.06</v>
      </c>
      <c r="J85" s="21">
        <f t="shared" si="26"/>
        <v>322.08911280000001</v>
      </c>
      <c r="K85" s="21">
        <f t="shared" si="26"/>
        <v>283.7835</v>
      </c>
      <c r="L85" s="21">
        <f t="shared" si="26"/>
        <v>326.557413</v>
      </c>
      <c r="M85" s="21">
        <f t="shared" si="26"/>
        <v>293.45277779999998</v>
      </c>
      <c r="N85" s="21">
        <f>SUM(B85:M85)</f>
        <v>3533.8535595999997</v>
      </c>
    </row>
    <row r="87" spans="1:14">
      <c r="B87" s="24" t="s">
        <v>0</v>
      </c>
      <c r="C87" s="24" t="s">
        <v>1</v>
      </c>
      <c r="D87" s="24" t="s">
        <v>2</v>
      </c>
      <c r="E87" s="24" t="s">
        <v>3</v>
      </c>
      <c r="F87" s="24" t="s">
        <v>4</v>
      </c>
      <c r="G87" s="24" t="s">
        <v>5</v>
      </c>
      <c r="H87" s="24" t="s">
        <v>6</v>
      </c>
      <c r="I87" s="24" t="s">
        <v>7</v>
      </c>
      <c r="J87" s="24" t="s">
        <v>8</v>
      </c>
      <c r="K87" s="24" t="s">
        <v>9</v>
      </c>
      <c r="L87" s="24" t="s">
        <v>10</v>
      </c>
      <c r="M87" s="24" t="s">
        <v>11</v>
      </c>
      <c r="N87" s="24" t="s">
        <v>12</v>
      </c>
    </row>
    <row r="88" spans="1:14">
      <c r="A88" s="255">
        <f>A72+1</f>
        <v>2019</v>
      </c>
    </row>
    <row r="89" spans="1:14">
      <c r="A89" s="254" t="s">
        <v>37</v>
      </c>
    </row>
    <row r="90" spans="1:14">
      <c r="A90" s="256" t="s">
        <v>446</v>
      </c>
      <c r="B90" s="239">
        <f>'Quincy Forecast'!E15</f>
        <v>19000</v>
      </c>
      <c r="C90" s="239">
        <f>'Quincy Forecast'!F15</f>
        <v>23774.31</v>
      </c>
      <c r="D90" s="239">
        <f>'Quincy Forecast'!G15</f>
        <v>21764.7</v>
      </c>
      <c r="E90" s="239">
        <f>'Quincy Forecast'!H15</f>
        <v>19516.95</v>
      </c>
      <c r="F90" s="239">
        <f>'Quincy Forecast'!I15</f>
        <v>23055.84</v>
      </c>
      <c r="G90" s="239">
        <f>'Quincy Forecast'!J15</f>
        <v>27682.560000000001</v>
      </c>
      <c r="H90" s="239">
        <f>'Quincy Forecast'!K15</f>
        <v>27365.040000000001</v>
      </c>
      <c r="I90" s="239">
        <f>'Quincy Forecast'!L15</f>
        <v>19000</v>
      </c>
      <c r="J90" s="239">
        <f>'Quincy Forecast'!M15</f>
        <v>25281.72</v>
      </c>
      <c r="K90" s="239">
        <f>'Quincy Forecast'!N15</f>
        <v>22275</v>
      </c>
      <c r="L90" s="239">
        <f>'Quincy Forecast'!O15</f>
        <v>25632.45</v>
      </c>
      <c r="M90" s="239">
        <f>'Quincy Forecast'!P15</f>
        <v>23033.97</v>
      </c>
      <c r="N90" s="21">
        <f>SUM(B90:M90)</f>
        <v>277382.54000000004</v>
      </c>
    </row>
    <row r="91" spans="1:14">
      <c r="A91" s="256" t="s">
        <v>45</v>
      </c>
      <c r="B91" s="28">
        <f>B90-B92</f>
        <v>345.11536573392004</v>
      </c>
      <c r="C91" s="28">
        <f t="shared" ref="C91:M91" si="27">C90-C92</f>
        <v>431.83577319587494</v>
      </c>
      <c r="D91" s="28">
        <f t="shared" si="27"/>
        <v>395.33328424152933</v>
      </c>
      <c r="E91" s="28">
        <f t="shared" si="27"/>
        <v>354.50522827687746</v>
      </c>
      <c r="F91" s="28">
        <f t="shared" si="27"/>
        <v>418.78550810014713</v>
      </c>
      <c r="G91" s="28">
        <f t="shared" si="27"/>
        <v>502.82509572901108</v>
      </c>
      <c r="H91" s="28">
        <f t="shared" si="27"/>
        <v>497.0576730485991</v>
      </c>
      <c r="I91" s="28">
        <f t="shared" si="27"/>
        <v>345.11536573392004</v>
      </c>
      <c r="J91" s="28">
        <f t="shared" si="27"/>
        <v>459.21631811487532</v>
      </c>
      <c r="K91" s="28">
        <f t="shared" si="27"/>
        <v>404.60235640647807</v>
      </c>
      <c r="L91" s="28">
        <f t="shared" si="27"/>
        <v>465.58696612665517</v>
      </c>
      <c r="M91" s="28">
        <f t="shared" si="27"/>
        <v>418.38826215021982</v>
      </c>
      <c r="N91" s="21">
        <f>SUM(B91:M91)</f>
        <v>5038.3671968581075</v>
      </c>
    </row>
    <row r="92" spans="1:14">
      <c r="A92" s="256" t="s">
        <v>47</v>
      </c>
      <c r="B92" s="28">
        <f>B90/(1+'Transmission Formula Rate (7)'!$B$27)</f>
        <v>18654.88463426608</v>
      </c>
      <c r="C92" s="28">
        <f>C90/(1+'Transmission Formula Rate (7)'!$B$27)</f>
        <v>23342.474226804126</v>
      </c>
      <c r="D92" s="28">
        <f>D90/(1+'Transmission Formula Rate (7)'!$B$27)</f>
        <v>21369.366715758471</v>
      </c>
      <c r="E92" s="28">
        <f>E90/(1+'Transmission Formula Rate (7)'!$B$27)</f>
        <v>19162.444771723123</v>
      </c>
      <c r="F92" s="28">
        <f>F90/(1+'Transmission Formula Rate (7)'!$B$27)</f>
        <v>22637.054491899853</v>
      </c>
      <c r="G92" s="28">
        <f>G90/(1+'Transmission Formula Rate (7)'!$B$27)</f>
        <v>27179.73490427099</v>
      </c>
      <c r="H92" s="28">
        <f>H90/(1+'Transmission Formula Rate (7)'!$B$27)</f>
        <v>26867.982326951402</v>
      </c>
      <c r="I92" s="28">
        <f>I90/(1+'Transmission Formula Rate (7)'!$B$27)</f>
        <v>18654.88463426608</v>
      </c>
      <c r="J92" s="28">
        <f>J90/(1+'Transmission Formula Rate (7)'!$B$27)</f>
        <v>24822.503681885126</v>
      </c>
      <c r="K92" s="28">
        <f>K90/(1+'Transmission Formula Rate (7)'!$B$27)</f>
        <v>21870.397643593522</v>
      </c>
      <c r="L92" s="28">
        <f>L90/(1+'Transmission Formula Rate (7)'!$B$27)</f>
        <v>25166.863033873346</v>
      </c>
      <c r="M92" s="28">
        <f>M90/(1+'Transmission Formula Rate (7)'!$B$27)</f>
        <v>22615.581737849781</v>
      </c>
      <c r="N92" s="124">
        <f>SUM(B92:M92)</f>
        <v>272344.17280314193</v>
      </c>
    </row>
    <row r="93" spans="1:14">
      <c r="A93" s="254" t="s">
        <v>20</v>
      </c>
      <c r="B93" s="30">
        <f>'Transmission Formula Rate (7)'!B20</f>
        <v>1.59</v>
      </c>
      <c r="C93" s="30">
        <f>'Transmission Formula Rate (7)'!C20</f>
        <v>1.59</v>
      </c>
      <c r="D93" s="30">
        <f>'Transmission Formula Rate (7)'!D20</f>
        <v>1.59</v>
      </c>
      <c r="E93" s="30">
        <f>'Transmission Formula Rate (7)'!E20</f>
        <v>1.59</v>
      </c>
      <c r="F93" s="30">
        <f>'Transmission Formula Rate (7)'!F20</f>
        <v>1.59</v>
      </c>
      <c r="G93" s="30">
        <f>'Transmission Formula Rate (7)'!G20</f>
        <v>1.59</v>
      </c>
      <c r="H93" s="30">
        <f>'Transmission Formula Rate (7)'!H20</f>
        <v>1.59</v>
      </c>
      <c r="I93" s="30">
        <f>'Transmission Formula Rate (7)'!I20</f>
        <v>1.59</v>
      </c>
      <c r="J93" s="30">
        <f>'Transmission Formula Rate (7)'!J20</f>
        <v>1.59</v>
      </c>
      <c r="K93" s="30">
        <f>'Transmission Formula Rate (7)'!K20</f>
        <v>1.59</v>
      </c>
      <c r="L93" s="30">
        <f>'Transmission Formula Rate (7)'!L20</f>
        <v>1.59</v>
      </c>
      <c r="M93" s="30">
        <f>'Transmission Formula Rate (7)'!M20</f>
        <v>1.59</v>
      </c>
      <c r="N93" s="20"/>
    </row>
    <row r="94" spans="1:14">
      <c r="A94" s="254" t="s">
        <v>17</v>
      </c>
      <c r="B94" s="21">
        <f>B90*B93</f>
        <v>30210</v>
      </c>
      <c r="C94" s="21">
        <f t="shared" ref="C94:M94" si="28">C90*C93</f>
        <v>37801.152900000001</v>
      </c>
      <c r="D94" s="21">
        <f t="shared" si="28"/>
        <v>34605.873</v>
      </c>
      <c r="E94" s="21">
        <f t="shared" si="28"/>
        <v>31031.950500000003</v>
      </c>
      <c r="F94" s="21">
        <f t="shared" si="28"/>
        <v>36658.785600000003</v>
      </c>
      <c r="G94" s="21">
        <f t="shared" si="28"/>
        <v>44015.270400000001</v>
      </c>
      <c r="H94" s="21">
        <f t="shared" si="28"/>
        <v>43510.413600000007</v>
      </c>
      <c r="I94" s="21">
        <f t="shared" si="28"/>
        <v>30210</v>
      </c>
      <c r="J94" s="21">
        <f t="shared" si="28"/>
        <v>40197.934800000003</v>
      </c>
      <c r="K94" s="21">
        <f t="shared" si="28"/>
        <v>35417.25</v>
      </c>
      <c r="L94" s="21">
        <f t="shared" si="28"/>
        <v>40755.595500000003</v>
      </c>
      <c r="M94" s="21">
        <f t="shared" si="28"/>
        <v>36624.012300000002</v>
      </c>
      <c r="N94" s="21">
        <f>SUM(B94:M94)</f>
        <v>441038.23859999998</v>
      </c>
    </row>
    <row r="96" spans="1:14">
      <c r="A96" s="254" t="s">
        <v>141</v>
      </c>
    </row>
    <row r="97" spans="1:15">
      <c r="A97" s="256" t="s">
        <v>446</v>
      </c>
      <c r="B97" s="239">
        <f>B90</f>
        <v>19000</v>
      </c>
      <c r="C97" s="239">
        <f t="shared" ref="C97:M97" si="29">C90</f>
        <v>23774.31</v>
      </c>
      <c r="D97" s="239">
        <f t="shared" si="29"/>
        <v>21764.7</v>
      </c>
      <c r="E97" s="239">
        <f t="shared" si="29"/>
        <v>19516.95</v>
      </c>
      <c r="F97" s="239">
        <f t="shared" si="29"/>
        <v>23055.84</v>
      </c>
      <c r="G97" s="239">
        <f t="shared" si="29"/>
        <v>27682.560000000001</v>
      </c>
      <c r="H97" s="239">
        <f t="shared" si="29"/>
        <v>27365.040000000001</v>
      </c>
      <c r="I97" s="239">
        <f t="shared" si="29"/>
        <v>19000</v>
      </c>
      <c r="J97" s="239">
        <f t="shared" si="29"/>
        <v>25281.72</v>
      </c>
      <c r="K97" s="239">
        <f t="shared" si="29"/>
        <v>22275</v>
      </c>
      <c r="L97" s="239">
        <f t="shared" si="29"/>
        <v>25632.45</v>
      </c>
      <c r="M97" s="239">
        <f t="shared" si="29"/>
        <v>23033.97</v>
      </c>
      <c r="N97" s="21">
        <f>SUM(B97:M97)</f>
        <v>277382.54000000004</v>
      </c>
      <c r="O97" s="277" t="s">
        <v>447</v>
      </c>
    </row>
    <row r="98" spans="1:15">
      <c r="A98" s="256" t="s">
        <v>45</v>
      </c>
      <c r="B98" s="28">
        <f>B97-B99</f>
        <v>345.11536573392004</v>
      </c>
      <c r="C98" s="28">
        <f t="shared" ref="C98:M98" si="30">C97-C99</f>
        <v>431.83577319587494</v>
      </c>
      <c r="D98" s="28">
        <f t="shared" si="30"/>
        <v>395.33328424152933</v>
      </c>
      <c r="E98" s="28">
        <f t="shared" si="30"/>
        <v>354.50522827687746</v>
      </c>
      <c r="F98" s="28">
        <f t="shared" si="30"/>
        <v>418.78550810014713</v>
      </c>
      <c r="G98" s="28">
        <f t="shared" si="30"/>
        <v>502.82509572901108</v>
      </c>
      <c r="H98" s="28">
        <f t="shared" si="30"/>
        <v>497.0576730485991</v>
      </c>
      <c r="I98" s="28">
        <f t="shared" si="30"/>
        <v>345.11536573392004</v>
      </c>
      <c r="J98" s="28">
        <f t="shared" si="30"/>
        <v>459.21631811487532</v>
      </c>
      <c r="K98" s="28">
        <f t="shared" si="30"/>
        <v>404.60235640647807</v>
      </c>
      <c r="L98" s="28">
        <f t="shared" si="30"/>
        <v>465.58696612665517</v>
      </c>
      <c r="M98" s="28">
        <f t="shared" si="30"/>
        <v>418.38826215021982</v>
      </c>
      <c r="N98" s="21">
        <f>SUM(B98:M98)</f>
        <v>5038.3671968581075</v>
      </c>
    </row>
    <row r="99" spans="1:15">
      <c r="A99" s="256" t="s">
        <v>47</v>
      </c>
      <c r="B99" s="28">
        <f>B97/(1+'Transmission Formula Rate (7)'!$B$27)</f>
        <v>18654.88463426608</v>
      </c>
      <c r="C99" s="28">
        <f>C97/(1+'Transmission Formula Rate (7)'!$B$27)</f>
        <v>23342.474226804126</v>
      </c>
      <c r="D99" s="28">
        <f>D97/(1+'Transmission Formula Rate (7)'!$B$27)</f>
        <v>21369.366715758471</v>
      </c>
      <c r="E99" s="28">
        <f>E97/(1+'Transmission Formula Rate (7)'!$B$27)</f>
        <v>19162.444771723123</v>
      </c>
      <c r="F99" s="28">
        <f>F97/(1+'Transmission Formula Rate (7)'!$B$27)</f>
        <v>22637.054491899853</v>
      </c>
      <c r="G99" s="28">
        <f>G97/(1+'Transmission Formula Rate (7)'!$B$27)</f>
        <v>27179.73490427099</v>
      </c>
      <c r="H99" s="28">
        <f>H97/(1+'Transmission Formula Rate (7)'!$B$27)</f>
        <v>26867.982326951402</v>
      </c>
      <c r="I99" s="28">
        <f>I97/(1+'Transmission Formula Rate (7)'!$B$27)</f>
        <v>18654.88463426608</v>
      </c>
      <c r="J99" s="28">
        <f>J97/(1+'Transmission Formula Rate (7)'!$B$27)</f>
        <v>24822.503681885126</v>
      </c>
      <c r="K99" s="28">
        <f>K97/(1+'Transmission Formula Rate (7)'!$B$27)</f>
        <v>21870.397643593522</v>
      </c>
      <c r="L99" s="28">
        <f>L97/(1+'Transmission Formula Rate (7)'!$B$27)</f>
        <v>25166.863033873346</v>
      </c>
      <c r="M99" s="28">
        <f>M97/(1+'Transmission Formula Rate (7)'!$B$27)</f>
        <v>22615.581737849781</v>
      </c>
      <c r="N99" s="124">
        <f>SUM(B99:M99)</f>
        <v>272344.17280314193</v>
      </c>
    </row>
    <row r="100" spans="1:15">
      <c r="A100" s="254" t="s">
        <v>149</v>
      </c>
      <c r="B100" s="32">
        <f>'charges (1 &amp; 2)'!H12</f>
        <v>1.274E-2</v>
      </c>
      <c r="C100" s="32">
        <f>B100</f>
        <v>1.274E-2</v>
      </c>
      <c r="D100" s="32">
        <f t="shared" ref="D100:M100" si="31">C100</f>
        <v>1.274E-2</v>
      </c>
      <c r="E100" s="32">
        <f t="shared" si="31"/>
        <v>1.274E-2</v>
      </c>
      <c r="F100" s="32">
        <f t="shared" si="31"/>
        <v>1.274E-2</v>
      </c>
      <c r="G100" s="32">
        <f t="shared" si="31"/>
        <v>1.274E-2</v>
      </c>
      <c r="H100" s="32">
        <f t="shared" si="31"/>
        <v>1.274E-2</v>
      </c>
      <c r="I100" s="32">
        <f t="shared" si="31"/>
        <v>1.274E-2</v>
      </c>
      <c r="J100" s="32">
        <f t="shared" si="31"/>
        <v>1.274E-2</v>
      </c>
      <c r="K100" s="32">
        <f t="shared" si="31"/>
        <v>1.274E-2</v>
      </c>
      <c r="L100" s="32">
        <f t="shared" si="31"/>
        <v>1.274E-2</v>
      </c>
      <c r="M100" s="32">
        <f t="shared" si="31"/>
        <v>1.274E-2</v>
      </c>
      <c r="N100" s="20"/>
    </row>
    <row r="101" spans="1:15">
      <c r="A101" s="254" t="s">
        <v>17</v>
      </c>
      <c r="B101" s="21">
        <f>B97*B100</f>
        <v>242.06</v>
      </c>
      <c r="C101" s="21">
        <f t="shared" ref="C101:M101" si="32">C97*C100</f>
        <v>302.88470940000002</v>
      </c>
      <c r="D101" s="21">
        <f t="shared" si="32"/>
        <v>277.28227800000002</v>
      </c>
      <c r="E101" s="21">
        <f t="shared" si="32"/>
        <v>248.64594299999999</v>
      </c>
      <c r="F101" s="21">
        <f t="shared" si="32"/>
        <v>293.73140159999997</v>
      </c>
      <c r="G101" s="21">
        <f t="shared" si="32"/>
        <v>352.67581439999998</v>
      </c>
      <c r="H101" s="21">
        <f t="shared" si="32"/>
        <v>348.63060960000001</v>
      </c>
      <c r="I101" s="21">
        <f t="shared" si="32"/>
        <v>242.06</v>
      </c>
      <c r="J101" s="21">
        <f t="shared" si="32"/>
        <v>322.08911280000001</v>
      </c>
      <c r="K101" s="21">
        <f t="shared" si="32"/>
        <v>283.7835</v>
      </c>
      <c r="L101" s="21">
        <f t="shared" si="32"/>
        <v>326.557413</v>
      </c>
      <c r="M101" s="21">
        <f t="shared" si="32"/>
        <v>293.45277779999998</v>
      </c>
      <c r="N101" s="21">
        <f>SUM(B101:M101)</f>
        <v>3533.8535595999997</v>
      </c>
    </row>
    <row r="103" spans="1:15">
      <c r="A103" s="255">
        <f>A88+1</f>
        <v>2020</v>
      </c>
    </row>
    <row r="104" spans="1:15">
      <c r="A104" s="254" t="s">
        <v>37</v>
      </c>
    </row>
    <row r="105" spans="1:15">
      <c r="A105" s="256" t="s">
        <v>446</v>
      </c>
      <c r="B105" s="239">
        <f>'Quincy Forecast'!E16</f>
        <v>19000</v>
      </c>
      <c r="C105" s="239">
        <f>'Quincy Forecast'!F16</f>
        <v>23774.31</v>
      </c>
      <c r="D105" s="239">
        <f>'Quincy Forecast'!G16</f>
        <v>21764.7</v>
      </c>
      <c r="E105" s="239">
        <f>'Quincy Forecast'!H16</f>
        <v>19516.95</v>
      </c>
      <c r="F105" s="239">
        <f>'Quincy Forecast'!I16</f>
        <v>23055.84</v>
      </c>
      <c r="G105" s="239">
        <f>'Quincy Forecast'!J16</f>
        <v>27682.560000000001</v>
      </c>
      <c r="H105" s="239">
        <f>'Quincy Forecast'!K16</f>
        <v>27365.040000000001</v>
      </c>
      <c r="I105" s="239">
        <f>'Quincy Forecast'!L16</f>
        <v>19000</v>
      </c>
      <c r="J105" s="239">
        <f>'Quincy Forecast'!M16</f>
        <v>25281.72</v>
      </c>
      <c r="K105" s="239">
        <f>'Quincy Forecast'!N16</f>
        <v>22275</v>
      </c>
      <c r="L105" s="239">
        <f>'Quincy Forecast'!O16</f>
        <v>25632.45</v>
      </c>
      <c r="M105" s="239">
        <f>'Quincy Forecast'!P16</f>
        <v>23033.97</v>
      </c>
      <c r="N105" s="21">
        <f>SUM(B105:M105)</f>
        <v>277382.54000000004</v>
      </c>
    </row>
    <row r="106" spans="1:15">
      <c r="A106" s="256" t="s">
        <v>45</v>
      </c>
      <c r="B106" s="28">
        <f>B105-B107</f>
        <v>345.11536573392004</v>
      </c>
      <c r="C106" s="28">
        <f t="shared" ref="C106" si="33">C105-C107</f>
        <v>431.83577319587494</v>
      </c>
      <c r="D106" s="28">
        <f t="shared" ref="D106" si="34">D105-D107</f>
        <v>395.33328424152933</v>
      </c>
      <c r="E106" s="28">
        <f t="shared" ref="E106" si="35">E105-E107</f>
        <v>354.50522827687746</v>
      </c>
      <c r="F106" s="28">
        <f t="shared" ref="F106" si="36">F105-F107</f>
        <v>418.78550810014713</v>
      </c>
      <c r="G106" s="28">
        <f t="shared" ref="G106" si="37">G105-G107</f>
        <v>502.82509572901108</v>
      </c>
      <c r="H106" s="28">
        <f t="shared" ref="H106" si="38">H105-H107</f>
        <v>497.0576730485991</v>
      </c>
      <c r="I106" s="28">
        <f t="shared" ref="I106" si="39">I105-I107</f>
        <v>345.11536573392004</v>
      </c>
      <c r="J106" s="28">
        <f t="shared" ref="J106" si="40">J105-J107</f>
        <v>459.21631811487532</v>
      </c>
      <c r="K106" s="28">
        <f t="shared" ref="K106" si="41">K105-K107</f>
        <v>404.60235640647807</v>
      </c>
      <c r="L106" s="28">
        <f t="shared" ref="L106" si="42">L105-L107</f>
        <v>465.58696612665517</v>
      </c>
      <c r="M106" s="28">
        <f t="shared" ref="M106" si="43">M105-M107</f>
        <v>418.38826215021982</v>
      </c>
      <c r="N106" s="21">
        <f>SUM(B106:M106)</f>
        <v>5038.3671968581075</v>
      </c>
    </row>
    <row r="107" spans="1:15">
      <c r="A107" s="256" t="s">
        <v>47</v>
      </c>
      <c r="B107" s="28">
        <f>B105/(1+'Transmission Formula Rate (7)'!$B$27)</f>
        <v>18654.88463426608</v>
      </c>
      <c r="C107" s="28">
        <f>C105/(1+'Transmission Formula Rate (7)'!$B$27)</f>
        <v>23342.474226804126</v>
      </c>
      <c r="D107" s="28">
        <f>D105/(1+'Transmission Formula Rate (7)'!$B$27)</f>
        <v>21369.366715758471</v>
      </c>
      <c r="E107" s="28">
        <f>E105/(1+'Transmission Formula Rate (7)'!$B$27)</f>
        <v>19162.444771723123</v>
      </c>
      <c r="F107" s="28">
        <f>F105/(1+'Transmission Formula Rate (7)'!$B$27)</f>
        <v>22637.054491899853</v>
      </c>
      <c r="G107" s="28">
        <f>G105/(1+'Transmission Formula Rate (7)'!$B$27)</f>
        <v>27179.73490427099</v>
      </c>
      <c r="H107" s="28">
        <f>H105/(1+'Transmission Formula Rate (7)'!$B$27)</f>
        <v>26867.982326951402</v>
      </c>
      <c r="I107" s="28">
        <f>I105/(1+'Transmission Formula Rate (7)'!$B$27)</f>
        <v>18654.88463426608</v>
      </c>
      <c r="J107" s="28">
        <f>J105/(1+'Transmission Formula Rate (7)'!$B$27)</f>
        <v>24822.503681885126</v>
      </c>
      <c r="K107" s="28">
        <f>K105/(1+'Transmission Formula Rate (7)'!$B$27)</f>
        <v>21870.397643593522</v>
      </c>
      <c r="L107" s="28">
        <f>L105/(1+'Transmission Formula Rate (7)'!$B$27)</f>
        <v>25166.863033873346</v>
      </c>
      <c r="M107" s="28">
        <f>M105/(1+'Transmission Formula Rate (7)'!$B$27)</f>
        <v>22615.581737849781</v>
      </c>
      <c r="N107" s="124">
        <f>SUM(B107:M107)</f>
        <v>272344.17280314193</v>
      </c>
    </row>
    <row r="108" spans="1:15">
      <c r="A108" s="254" t="s">
        <v>20</v>
      </c>
      <c r="B108" s="30">
        <f>'Transmission Formula Rate (7)'!B22</f>
        <v>1.59</v>
      </c>
      <c r="C108" s="30">
        <f>'Transmission Formula Rate (7)'!C22</f>
        <v>1.59</v>
      </c>
      <c r="D108" s="30">
        <f>'Transmission Formula Rate (7)'!D22</f>
        <v>1.59</v>
      </c>
      <c r="E108" s="30">
        <f>'Transmission Formula Rate (7)'!E22</f>
        <v>1.59</v>
      </c>
      <c r="F108" s="30">
        <f>'Transmission Formula Rate (7)'!F22</f>
        <v>1.59</v>
      </c>
      <c r="G108" s="30">
        <f>'Transmission Formula Rate (7)'!G22</f>
        <v>1.59</v>
      </c>
      <c r="H108" s="30">
        <f>'Transmission Formula Rate (7)'!H22</f>
        <v>1.59</v>
      </c>
      <c r="I108" s="30">
        <f>'Transmission Formula Rate (7)'!I22</f>
        <v>1.59</v>
      </c>
      <c r="J108" s="30">
        <f>'Transmission Formula Rate (7)'!J22</f>
        <v>1.59</v>
      </c>
      <c r="K108" s="30">
        <f>'Transmission Formula Rate (7)'!K22</f>
        <v>1.59</v>
      </c>
      <c r="L108" s="30">
        <f>'Transmission Formula Rate (7)'!L22</f>
        <v>1.59</v>
      </c>
      <c r="M108" s="30">
        <f>'Transmission Formula Rate (7)'!M22</f>
        <v>1.59</v>
      </c>
      <c r="N108" s="20"/>
    </row>
    <row r="109" spans="1:15">
      <c r="A109" s="254" t="s">
        <v>17</v>
      </c>
      <c r="B109" s="21">
        <f>B105*B108</f>
        <v>30210</v>
      </c>
      <c r="C109" s="21">
        <f t="shared" ref="C109" si="44">C105*C108</f>
        <v>37801.152900000001</v>
      </c>
      <c r="D109" s="21">
        <f t="shared" ref="D109" si="45">D105*D108</f>
        <v>34605.873</v>
      </c>
      <c r="E109" s="21">
        <f t="shared" ref="E109" si="46">E105*E108</f>
        <v>31031.950500000003</v>
      </c>
      <c r="F109" s="21">
        <f t="shared" ref="F109" si="47">F105*F108</f>
        <v>36658.785600000003</v>
      </c>
      <c r="G109" s="21">
        <f t="shared" ref="G109" si="48">G105*G108</f>
        <v>44015.270400000001</v>
      </c>
      <c r="H109" s="21">
        <f t="shared" ref="H109" si="49">H105*H108</f>
        <v>43510.413600000007</v>
      </c>
      <c r="I109" s="21">
        <f t="shared" ref="I109" si="50">I105*I108</f>
        <v>30210</v>
      </c>
      <c r="J109" s="21">
        <f t="shared" ref="J109" si="51">J105*J108</f>
        <v>40197.934800000003</v>
      </c>
      <c r="K109" s="21">
        <f t="shared" ref="K109" si="52">K105*K108</f>
        <v>35417.25</v>
      </c>
      <c r="L109" s="21">
        <f t="shared" ref="L109" si="53">L105*L108</f>
        <v>40755.595500000003</v>
      </c>
      <c r="M109" s="21">
        <f t="shared" ref="M109" si="54">M105*M108</f>
        <v>36624.012300000002</v>
      </c>
      <c r="N109" s="21">
        <f>SUM(B109:M109)</f>
        <v>441038.23859999998</v>
      </c>
    </row>
    <row r="111" spans="1:15">
      <c r="A111" s="254" t="s">
        <v>141</v>
      </c>
    </row>
    <row r="112" spans="1:15">
      <c r="A112" s="256" t="s">
        <v>446</v>
      </c>
      <c r="B112" s="239">
        <f>B105</f>
        <v>19000</v>
      </c>
      <c r="C112" s="239">
        <f t="shared" ref="C112:M112" si="55">C105</f>
        <v>23774.31</v>
      </c>
      <c r="D112" s="239">
        <f t="shared" si="55"/>
        <v>21764.7</v>
      </c>
      <c r="E112" s="239">
        <f t="shared" si="55"/>
        <v>19516.95</v>
      </c>
      <c r="F112" s="239">
        <f t="shared" si="55"/>
        <v>23055.84</v>
      </c>
      <c r="G112" s="239">
        <f t="shared" si="55"/>
        <v>27682.560000000001</v>
      </c>
      <c r="H112" s="239">
        <f t="shared" si="55"/>
        <v>27365.040000000001</v>
      </c>
      <c r="I112" s="239">
        <f t="shared" si="55"/>
        <v>19000</v>
      </c>
      <c r="J112" s="239">
        <f t="shared" si="55"/>
        <v>25281.72</v>
      </c>
      <c r="K112" s="239">
        <f t="shared" si="55"/>
        <v>22275</v>
      </c>
      <c r="L112" s="239">
        <f t="shared" si="55"/>
        <v>25632.45</v>
      </c>
      <c r="M112" s="239">
        <f t="shared" si="55"/>
        <v>23033.97</v>
      </c>
      <c r="N112" s="21">
        <f>SUM(B112:M112)</f>
        <v>277382.54000000004</v>
      </c>
    </row>
    <row r="113" spans="1:14">
      <c r="A113" s="256" t="s">
        <v>45</v>
      </c>
      <c r="B113" s="28">
        <f>B112-B114</f>
        <v>345.11536573392004</v>
      </c>
      <c r="C113" s="28">
        <f t="shared" ref="C113" si="56">C112-C114</f>
        <v>431.83577319587494</v>
      </c>
      <c r="D113" s="28">
        <f t="shared" ref="D113" si="57">D112-D114</f>
        <v>395.33328424152933</v>
      </c>
      <c r="E113" s="28">
        <f t="shared" ref="E113" si="58">E112-E114</f>
        <v>354.50522827687746</v>
      </c>
      <c r="F113" s="28">
        <f t="shared" ref="F113" si="59">F112-F114</f>
        <v>418.78550810014713</v>
      </c>
      <c r="G113" s="28">
        <f t="shared" ref="G113" si="60">G112-G114</f>
        <v>502.82509572901108</v>
      </c>
      <c r="H113" s="28">
        <f t="shared" ref="H113" si="61">H112-H114</f>
        <v>497.0576730485991</v>
      </c>
      <c r="I113" s="28">
        <f t="shared" ref="I113" si="62">I112-I114</f>
        <v>345.11536573392004</v>
      </c>
      <c r="J113" s="28">
        <f t="shared" ref="J113" si="63">J112-J114</f>
        <v>459.21631811487532</v>
      </c>
      <c r="K113" s="28">
        <f t="shared" ref="K113" si="64">K112-K114</f>
        <v>404.60235640647807</v>
      </c>
      <c r="L113" s="28">
        <f t="shared" ref="L113" si="65">L112-L114</f>
        <v>465.58696612665517</v>
      </c>
      <c r="M113" s="28">
        <f t="shared" ref="M113" si="66">M112-M114</f>
        <v>418.38826215021982</v>
      </c>
      <c r="N113" s="21">
        <f>SUM(B113:M113)</f>
        <v>5038.3671968581075</v>
      </c>
    </row>
    <row r="114" spans="1:14">
      <c r="A114" s="256" t="s">
        <v>47</v>
      </c>
      <c r="B114" s="28">
        <f>B112/(1+'Transmission Formula Rate (7)'!$B$27)</f>
        <v>18654.88463426608</v>
      </c>
      <c r="C114" s="28">
        <f>C112/(1+'Transmission Formula Rate (7)'!$B$27)</f>
        <v>23342.474226804126</v>
      </c>
      <c r="D114" s="28">
        <f>D112/(1+'Transmission Formula Rate (7)'!$B$27)</f>
        <v>21369.366715758471</v>
      </c>
      <c r="E114" s="28">
        <f>E112/(1+'Transmission Formula Rate (7)'!$B$27)</f>
        <v>19162.444771723123</v>
      </c>
      <c r="F114" s="28">
        <f>F112/(1+'Transmission Formula Rate (7)'!$B$27)</f>
        <v>22637.054491899853</v>
      </c>
      <c r="G114" s="28">
        <f>G112/(1+'Transmission Formula Rate (7)'!$B$27)</f>
        <v>27179.73490427099</v>
      </c>
      <c r="H114" s="28">
        <f>H112/(1+'Transmission Formula Rate (7)'!$B$27)</f>
        <v>26867.982326951402</v>
      </c>
      <c r="I114" s="28">
        <f>I112/(1+'Transmission Formula Rate (7)'!$B$27)</f>
        <v>18654.88463426608</v>
      </c>
      <c r="J114" s="28">
        <f>J112/(1+'Transmission Formula Rate (7)'!$B$27)</f>
        <v>24822.503681885126</v>
      </c>
      <c r="K114" s="28">
        <f>K112/(1+'Transmission Formula Rate (7)'!$B$27)</f>
        <v>21870.397643593522</v>
      </c>
      <c r="L114" s="28">
        <f>L112/(1+'Transmission Formula Rate (7)'!$B$27)</f>
        <v>25166.863033873346</v>
      </c>
      <c r="M114" s="28">
        <f>M112/(1+'Transmission Formula Rate (7)'!$B$27)</f>
        <v>22615.581737849781</v>
      </c>
      <c r="N114" s="124">
        <f>SUM(B114:M114)</f>
        <v>272344.17280314193</v>
      </c>
    </row>
    <row r="115" spans="1:14">
      <c r="A115" s="254" t="s">
        <v>149</v>
      </c>
      <c r="B115" s="32">
        <f>'charges (1 &amp; 2)'!I12</f>
        <v>1.274E-2</v>
      </c>
      <c r="C115" s="32">
        <f>B115</f>
        <v>1.274E-2</v>
      </c>
      <c r="D115" s="32">
        <f t="shared" ref="D115:M115" si="67">C115</f>
        <v>1.274E-2</v>
      </c>
      <c r="E115" s="32">
        <f t="shared" si="67"/>
        <v>1.274E-2</v>
      </c>
      <c r="F115" s="32">
        <f t="shared" si="67"/>
        <v>1.274E-2</v>
      </c>
      <c r="G115" s="32">
        <f t="shared" si="67"/>
        <v>1.274E-2</v>
      </c>
      <c r="H115" s="32">
        <f t="shared" si="67"/>
        <v>1.274E-2</v>
      </c>
      <c r="I115" s="32">
        <f t="shared" si="67"/>
        <v>1.274E-2</v>
      </c>
      <c r="J115" s="32">
        <f t="shared" si="67"/>
        <v>1.274E-2</v>
      </c>
      <c r="K115" s="32">
        <f t="shared" si="67"/>
        <v>1.274E-2</v>
      </c>
      <c r="L115" s="32">
        <f t="shared" si="67"/>
        <v>1.274E-2</v>
      </c>
      <c r="M115" s="32">
        <f t="shared" si="67"/>
        <v>1.274E-2</v>
      </c>
      <c r="N115" s="20"/>
    </row>
    <row r="116" spans="1:14">
      <c r="A116" s="254" t="s">
        <v>17</v>
      </c>
      <c r="B116" s="21">
        <f>B112*B115</f>
        <v>242.06</v>
      </c>
      <c r="C116" s="21">
        <f t="shared" ref="C116" si="68">C112*C115</f>
        <v>302.88470940000002</v>
      </c>
      <c r="D116" s="21">
        <f t="shared" ref="D116" si="69">D112*D115</f>
        <v>277.28227800000002</v>
      </c>
      <c r="E116" s="21">
        <f t="shared" ref="E116" si="70">E112*E115</f>
        <v>248.64594299999999</v>
      </c>
      <c r="F116" s="21">
        <f t="shared" ref="F116" si="71">F112*F115</f>
        <v>293.73140159999997</v>
      </c>
      <c r="G116" s="21">
        <f t="shared" ref="G116" si="72">G112*G115</f>
        <v>352.67581439999998</v>
      </c>
      <c r="H116" s="21">
        <f t="shared" ref="H116" si="73">H112*H115</f>
        <v>348.63060960000001</v>
      </c>
      <c r="I116" s="21">
        <f t="shared" ref="I116" si="74">I112*I115</f>
        <v>242.06</v>
      </c>
      <c r="J116" s="21">
        <f t="shared" ref="J116" si="75">J112*J115</f>
        <v>322.08911280000001</v>
      </c>
      <c r="K116" s="21">
        <f t="shared" ref="K116" si="76">K112*K115</f>
        <v>283.7835</v>
      </c>
      <c r="L116" s="21">
        <f t="shared" ref="L116" si="77">L112*L115</f>
        <v>326.557413</v>
      </c>
      <c r="M116" s="21">
        <f t="shared" ref="M116" si="78">M112*M115</f>
        <v>293.45277779999998</v>
      </c>
      <c r="N116" s="21">
        <f>SUM(B116:M116)</f>
        <v>3533.8535595999997</v>
      </c>
    </row>
  </sheetData>
  <pageMargins left="0.7" right="0.7" top="0.75" bottom="0.75" header="0.3" footer="0.3"/>
  <pageSetup scale="74" orientation="landscape" r:id="rId1"/>
  <rowBreaks count="2" manualBreakCount="2">
    <brk id="36" max="16383" man="1"/>
    <brk id="70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2" sqref="B1:B2"/>
    </sheetView>
  </sheetViews>
  <sheetFormatPr defaultColWidth="9" defaultRowHeight="13.2"/>
  <cols>
    <col min="1" max="1" width="4.6640625" style="241" customWidth="1"/>
    <col min="2" max="2" width="10.88671875" style="241" customWidth="1"/>
    <col min="3" max="3" width="1.6640625" style="258" hidden="1" customWidth="1"/>
    <col min="4" max="16384" width="9" style="241"/>
  </cols>
  <sheetData>
    <row r="1" spans="2:18">
      <c r="B1" s="480" t="s">
        <v>497</v>
      </c>
    </row>
    <row r="2" spans="2:18">
      <c r="B2" s="480" t="s">
        <v>473</v>
      </c>
    </row>
    <row r="4" spans="2:18">
      <c r="B4" s="286" t="s">
        <v>444</v>
      </c>
    </row>
    <row r="5" spans="2:18">
      <c r="B5" s="241" t="s">
        <v>442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2"/>
    </row>
    <row r="11" spans="2:18">
      <c r="D11" s="243"/>
      <c r="E11" s="244">
        <v>1</v>
      </c>
      <c r="F11" s="244">
        <v>2</v>
      </c>
      <c r="G11" s="244">
        <v>3</v>
      </c>
      <c r="H11" s="244">
        <v>4</v>
      </c>
      <c r="I11" s="244">
        <v>5</v>
      </c>
      <c r="J11" s="244">
        <v>6</v>
      </c>
      <c r="K11" s="244">
        <v>7</v>
      </c>
      <c r="L11" s="244">
        <v>8</v>
      </c>
      <c r="M11" s="244">
        <v>9</v>
      </c>
      <c r="N11" s="244">
        <v>10</v>
      </c>
      <c r="O11" s="244">
        <v>11</v>
      </c>
      <c r="P11" s="244">
        <v>12</v>
      </c>
      <c r="Q11" s="242"/>
    </row>
    <row r="12" spans="2:18">
      <c r="D12" s="243">
        <f>2016</f>
        <v>2016</v>
      </c>
      <c r="E12" s="244">
        <f>[10]Summary_CP!$M$99*1000</f>
        <v>19000</v>
      </c>
      <c r="F12" s="244">
        <f>VLOOKUP(CONCATENATE($D12,F$11),'[11]Summary_NCP '!$A$99:$H$206,7,FALSE)*1000</f>
        <v>23774.31</v>
      </c>
      <c r="G12" s="244">
        <f>VLOOKUP(CONCATENATE($D12,G$11),'[11]Summary_NCP '!$A$99:$H$206,7,FALSE)*1000</f>
        <v>21764.7</v>
      </c>
      <c r="H12" s="244">
        <f>VLOOKUP(CONCATENATE($D12,H$11),'[11]Summary_NCP '!$A$99:$H$206,7,FALSE)*1000</f>
        <v>19516.95</v>
      </c>
      <c r="I12" s="244">
        <f>VLOOKUP(CONCATENATE($D12,I$11),'[11]Summary_NCP '!$A$99:$H$206,7,FALSE)*1000</f>
        <v>23055.84</v>
      </c>
      <c r="J12" s="244">
        <f>VLOOKUP(CONCATENATE($D12,J$11),'[11]Summary_NCP '!$A$99:$H$206,7,FALSE)*1000</f>
        <v>27682.560000000001</v>
      </c>
      <c r="K12" s="244">
        <f>VLOOKUP(CONCATENATE($D12,K$11),'[11]Summary_NCP '!$A$99:$H$206,7,FALSE)*1000</f>
        <v>27365.040000000001</v>
      </c>
      <c r="L12" s="244">
        <f>[10]Summary_CP!$M$106*1000</f>
        <v>19000</v>
      </c>
      <c r="M12" s="244">
        <f>VLOOKUP(CONCATENATE($D12,M$11),'[11]Summary_NCP '!$A$99:$H$206,7,FALSE)*1000</f>
        <v>25281.72</v>
      </c>
      <c r="N12" s="244">
        <f>VLOOKUP(CONCATENATE($D12,N$11),'[11]Summary_NCP '!$A$99:$H$206,7,FALSE)*1000</f>
        <v>22275</v>
      </c>
      <c r="O12" s="244">
        <f>VLOOKUP(CONCATENATE($D12,O$11),'[11]Summary_NCP '!$A$99:$H$206,7,FALSE)*1000</f>
        <v>25632.45</v>
      </c>
      <c r="P12" s="244">
        <f>VLOOKUP(CONCATENATE($D12,P$11),'[11]Summary_NCP '!$A$99:$H$206,7,FALSE)*1000</f>
        <v>23033.97</v>
      </c>
      <c r="Q12" s="242">
        <f>SUM(E12:P12)</f>
        <v>277382.54000000004</v>
      </c>
    </row>
    <row r="13" spans="2:18">
      <c r="D13" s="243">
        <f>1+D12</f>
        <v>2017</v>
      </c>
      <c r="E13" s="244">
        <f>[10]Summary_CP!$M$111*1000</f>
        <v>19000</v>
      </c>
      <c r="F13" s="244">
        <f>VLOOKUP(CONCATENATE($D13,F$11),'[11]Summary_NCP '!$A$99:$H$206,7,FALSE)*1000</f>
        <v>23774.31</v>
      </c>
      <c r="G13" s="244">
        <f>VLOOKUP(CONCATENATE($D13,G$11),'[11]Summary_NCP '!$A$99:$H$206,7,FALSE)*1000</f>
        <v>21764.7</v>
      </c>
      <c r="H13" s="244">
        <f>VLOOKUP(CONCATENATE($D13,H$11),'[11]Summary_NCP '!$A$99:$H$206,7,FALSE)*1000</f>
        <v>19516.95</v>
      </c>
      <c r="I13" s="244">
        <f>VLOOKUP(CONCATENATE($D13,I$11),'[11]Summary_NCP '!$A$99:$H$206,7,FALSE)*1000</f>
        <v>23055.84</v>
      </c>
      <c r="J13" s="244">
        <f>VLOOKUP(CONCATENATE($D13,J$11),'[11]Summary_NCP '!$A$99:$H$206,7,FALSE)*1000</f>
        <v>27682.560000000001</v>
      </c>
      <c r="K13" s="244">
        <f>VLOOKUP(CONCATENATE($D13,K$11),'[11]Summary_NCP '!$A$99:$H$206,7,FALSE)*1000</f>
        <v>27365.040000000001</v>
      </c>
      <c r="L13" s="244">
        <f>[10]Summary_CP!$M$118*1000</f>
        <v>19000</v>
      </c>
      <c r="M13" s="244">
        <f>VLOOKUP(CONCATENATE($D13,M$11),'[11]Summary_NCP '!$A$99:$H$206,7,FALSE)*1000</f>
        <v>25281.72</v>
      </c>
      <c r="N13" s="244">
        <f>VLOOKUP(CONCATENATE($D13,N$11),'[11]Summary_NCP '!$A$99:$H$206,7,FALSE)*1000</f>
        <v>22275</v>
      </c>
      <c r="O13" s="244">
        <f>VLOOKUP(CONCATENATE($D13,O$11),'[11]Summary_NCP '!$A$99:$H$206,7,FALSE)*1000</f>
        <v>25632.45</v>
      </c>
      <c r="P13" s="244">
        <f>VLOOKUP(CONCATENATE($D13,P$11),'[11]Summary_NCP '!$A$99:$H$206,7,FALSE)*1000</f>
        <v>23033.97</v>
      </c>
      <c r="Q13" s="242">
        <f t="shared" ref="Q13:Q15" si="0">SUM(E13:P13)</f>
        <v>277382.54000000004</v>
      </c>
    </row>
    <row r="14" spans="2:18">
      <c r="D14" s="243">
        <f>1+D13</f>
        <v>2018</v>
      </c>
      <c r="E14" s="244">
        <f>[10]Summary_CP!$M$123*1000</f>
        <v>19000</v>
      </c>
      <c r="F14" s="244">
        <f>VLOOKUP(CONCATENATE($D14,F$11),'[11]Summary_NCP '!$A$99:$H$206,7,FALSE)*1000</f>
        <v>23774.31</v>
      </c>
      <c r="G14" s="244">
        <f>VLOOKUP(CONCATENATE($D14,G$11),'[11]Summary_NCP '!$A$99:$H$206,7,FALSE)*1000</f>
        <v>21764.7</v>
      </c>
      <c r="H14" s="244">
        <f>VLOOKUP(CONCATENATE($D14,H$11),'[11]Summary_NCP '!$A$99:$H$206,7,FALSE)*1000</f>
        <v>19516.95</v>
      </c>
      <c r="I14" s="244">
        <f>VLOOKUP(CONCATENATE($D14,I$11),'[11]Summary_NCP '!$A$99:$H$206,7,FALSE)*1000</f>
        <v>23055.84</v>
      </c>
      <c r="J14" s="244">
        <f>VLOOKUP(CONCATENATE($D14,J$11),'[11]Summary_NCP '!$A$99:$H$206,7,FALSE)*1000</f>
        <v>27682.560000000001</v>
      </c>
      <c r="K14" s="244">
        <f>VLOOKUP(CONCATENATE($D14,K$11),'[11]Summary_NCP '!$A$99:$H$206,7,FALSE)*1000</f>
        <v>27365.040000000001</v>
      </c>
      <c r="L14" s="244">
        <f>[10]Summary_CP!$M$130*1000</f>
        <v>19000</v>
      </c>
      <c r="M14" s="244">
        <f>VLOOKUP(CONCATENATE($D14,M$11),'[11]Summary_NCP '!$A$99:$H$206,7,FALSE)*1000</f>
        <v>25281.72</v>
      </c>
      <c r="N14" s="244">
        <f>VLOOKUP(CONCATENATE($D14,N$11),'[11]Summary_NCP '!$A$99:$H$206,7,FALSE)*1000</f>
        <v>22275</v>
      </c>
      <c r="O14" s="244">
        <f>VLOOKUP(CONCATENATE($D14,O$11),'[11]Summary_NCP '!$A$99:$H$206,7,FALSE)*1000</f>
        <v>25632.45</v>
      </c>
      <c r="P14" s="244">
        <f>VLOOKUP(CONCATENATE($D14,P$11),'[11]Summary_NCP '!$A$99:$H$206,7,FALSE)*1000</f>
        <v>23033.97</v>
      </c>
      <c r="Q14" s="242">
        <f t="shared" si="0"/>
        <v>277382.54000000004</v>
      </c>
      <c r="R14" s="344" t="s">
        <v>441</v>
      </c>
    </row>
    <row r="15" spans="2:18">
      <c r="D15" s="243">
        <f>1+D14</f>
        <v>2019</v>
      </c>
      <c r="E15" s="244">
        <f>[10]Summary_CP!$M$135*1000</f>
        <v>19000</v>
      </c>
      <c r="F15" s="244">
        <f>VLOOKUP(CONCATENATE($D15,F$11),'[11]Summary_NCP '!$A$99:$H$206,7,FALSE)*1000</f>
        <v>23774.31</v>
      </c>
      <c r="G15" s="244">
        <f>VLOOKUP(CONCATENATE($D15,G$11),'[11]Summary_NCP '!$A$99:$H$206,7,FALSE)*1000</f>
        <v>21764.7</v>
      </c>
      <c r="H15" s="244">
        <f>VLOOKUP(CONCATENATE($D15,H$11),'[11]Summary_NCP '!$A$99:$H$206,7,FALSE)*1000</f>
        <v>19516.95</v>
      </c>
      <c r="I15" s="244">
        <f>VLOOKUP(CONCATENATE($D15,I$11),'[11]Summary_NCP '!$A$99:$H$206,7,FALSE)*1000</f>
        <v>23055.84</v>
      </c>
      <c r="J15" s="244">
        <f>VLOOKUP(CONCATENATE($D15,J$11),'[11]Summary_NCP '!$A$99:$H$206,7,FALSE)*1000</f>
        <v>27682.560000000001</v>
      </c>
      <c r="K15" s="244">
        <f>VLOOKUP(CONCATENATE($D15,K$11),'[11]Summary_NCP '!$A$99:$H$206,7,FALSE)*1000</f>
        <v>27365.040000000001</v>
      </c>
      <c r="L15" s="244">
        <f>[10]Summary_CP!$M$142*1000</f>
        <v>19000</v>
      </c>
      <c r="M15" s="244">
        <f>VLOOKUP(CONCATENATE($D15,M$11),'[11]Summary_NCP '!$A$99:$H$206,7,FALSE)*1000</f>
        <v>25281.72</v>
      </c>
      <c r="N15" s="244">
        <f>VLOOKUP(CONCATENATE($D15,N$11),'[11]Summary_NCP '!$A$99:$H$206,7,FALSE)*1000</f>
        <v>22275</v>
      </c>
      <c r="O15" s="244">
        <f>VLOOKUP(CONCATENATE($D15,O$11),'[11]Summary_NCP '!$A$99:$H$206,7,FALSE)*1000</f>
        <v>25632.45</v>
      </c>
      <c r="P15" s="244">
        <f>VLOOKUP(CONCATENATE($D15,P$11),'[11]Summary_NCP '!$A$99:$H$206,7,FALSE)*1000</f>
        <v>23033.97</v>
      </c>
      <c r="Q15" s="242">
        <f t="shared" si="0"/>
        <v>277382.54000000004</v>
      </c>
    </row>
    <row r="16" spans="2:18">
      <c r="C16" s="259"/>
      <c r="D16" s="243">
        <f t="shared" ref="D16" si="1">1+D15</f>
        <v>2020</v>
      </c>
      <c r="E16" s="244">
        <f>[10]Summary_CP!$M$147*1000</f>
        <v>19000</v>
      </c>
      <c r="F16" s="244">
        <f>VLOOKUP(CONCATENATE($D16,F$11),'[11]Summary_NCP '!$A$99:$H$206,7,FALSE)*1000</f>
        <v>23774.31</v>
      </c>
      <c r="G16" s="244">
        <f>VLOOKUP(CONCATENATE($D16,G$11),'[11]Summary_NCP '!$A$99:$H$206,7,FALSE)*1000</f>
        <v>21764.7</v>
      </c>
      <c r="H16" s="244">
        <f>VLOOKUP(CONCATENATE($D16,H$11),'[11]Summary_NCP '!$A$99:$H$206,7,FALSE)*1000</f>
        <v>19516.95</v>
      </c>
      <c r="I16" s="244">
        <f>VLOOKUP(CONCATENATE($D16,I$11),'[11]Summary_NCP '!$A$99:$H$206,7,FALSE)*1000</f>
        <v>23055.84</v>
      </c>
      <c r="J16" s="244">
        <f>VLOOKUP(CONCATENATE($D16,J$11),'[11]Summary_NCP '!$A$99:$H$206,7,FALSE)*1000</f>
        <v>27682.560000000001</v>
      </c>
      <c r="K16" s="244">
        <f>VLOOKUP(CONCATENATE($D16,K$11),'[11]Summary_NCP '!$A$99:$H$206,7,FALSE)*1000</f>
        <v>27365.040000000001</v>
      </c>
      <c r="L16" s="244">
        <f>[10]Summary_CP!$M$154*1000</f>
        <v>19000</v>
      </c>
      <c r="M16" s="244">
        <f>VLOOKUP(CONCATENATE($D16,M$11),'[11]Summary_NCP '!$A$99:$H$206,7,FALSE)*1000</f>
        <v>25281.72</v>
      </c>
      <c r="N16" s="244">
        <f>VLOOKUP(CONCATENATE($D16,N$11),'[11]Summary_NCP '!$A$99:$H$206,7,FALSE)*1000</f>
        <v>22275</v>
      </c>
      <c r="O16" s="244">
        <f>VLOOKUP(CONCATENATE($D16,O$11),'[11]Summary_NCP '!$A$99:$H$206,7,FALSE)*1000</f>
        <v>25632.45</v>
      </c>
      <c r="P16" s="244">
        <f>VLOOKUP(CONCATENATE($D16,P$11),'[11]Summary_NCP '!$A$99:$H$206,7,FALSE)*1000</f>
        <v>23033.97</v>
      </c>
    </row>
    <row r="17" spans="3:8">
      <c r="C17" s="259"/>
      <c r="D17" s="243"/>
      <c r="E17" s="244"/>
      <c r="F17" s="244"/>
      <c r="G17" s="244"/>
      <c r="H17" s="244"/>
    </row>
    <row r="18" spans="3:8">
      <c r="C18" s="259"/>
      <c r="D18" s="286" t="s">
        <v>439</v>
      </c>
      <c r="E18" s="244"/>
      <c r="F18" s="244"/>
      <c r="G18" s="244"/>
      <c r="H18" s="244"/>
    </row>
    <row r="19" spans="3:8">
      <c r="C19" s="259"/>
      <c r="D19" s="286" t="s">
        <v>440</v>
      </c>
      <c r="E19" s="244"/>
      <c r="F19" s="244"/>
      <c r="G19" s="244"/>
      <c r="H19" s="244"/>
    </row>
    <row r="20" spans="3:8">
      <c r="C20" s="259"/>
      <c r="D20" s="244"/>
      <c r="E20" s="244"/>
      <c r="F20" s="244"/>
      <c r="G20" s="244"/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Q127"/>
  <sheetViews>
    <sheetView zoomScale="85" zoomScaleNormal="85" zoomScaleSheetLayoutView="100" workbookViewId="0">
      <pane xSplit="1" ySplit="9" topLeftCell="B10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2"/>
  <cols>
    <col min="1" max="1" width="16.44140625" style="22" customWidth="1"/>
    <col min="2" max="2" width="11.21875" style="22" customWidth="1"/>
    <col min="3" max="3" width="9.77734375" style="22" customWidth="1"/>
    <col min="4" max="4" width="8.88671875" style="22" customWidth="1"/>
    <col min="5" max="5" width="9" style="22" customWidth="1"/>
    <col min="6" max="6" width="8.77734375" style="22" customWidth="1"/>
    <col min="7" max="7" width="9.21875" style="22" customWidth="1"/>
    <col min="8" max="8" width="9.33203125" style="22" customWidth="1"/>
    <col min="9" max="9" width="9" style="22" customWidth="1"/>
    <col min="10" max="10" width="9.21875" style="22" customWidth="1"/>
    <col min="11" max="11" width="11.21875" style="22" customWidth="1"/>
    <col min="12" max="12" width="9.109375" style="22" customWidth="1"/>
    <col min="13" max="13" width="9" style="22" customWidth="1"/>
    <col min="14" max="14" width="9.77734375" style="22" customWidth="1"/>
    <col min="15" max="16384" width="9" style="22"/>
  </cols>
  <sheetData>
    <row r="1" spans="1:16" ht="13.2">
      <c r="A1" s="480" t="s">
        <v>498</v>
      </c>
    </row>
    <row r="2" spans="1:16" ht="13.2">
      <c r="A2" s="480" t="s">
        <v>473</v>
      </c>
    </row>
    <row r="4" spans="1:16" s="16" customFormat="1" ht="13.8">
      <c r="A4" s="22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N5" s="15"/>
      <c r="O5" s="15"/>
      <c r="P5" s="15"/>
    </row>
    <row r="6" spans="1:16" s="16" customFormat="1" ht="13.8">
      <c r="A6" s="34" t="s">
        <v>188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6" s="20" customFormat="1" ht="10.199999999999999">
      <c r="A9" s="26"/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8</v>
      </c>
      <c r="K9" s="24" t="s">
        <v>9</v>
      </c>
      <c r="L9" s="24" t="s">
        <v>10</v>
      </c>
      <c r="M9" s="24" t="s">
        <v>11</v>
      </c>
      <c r="N9" s="24" t="s">
        <v>12</v>
      </c>
    </row>
    <row r="10" spans="1:16" s="20" customFormat="1" ht="10.199999999999999">
      <c r="A10" s="25">
        <v>2014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20" customFormat="1" ht="10.199999999999999">
      <c r="A11" s="26" t="s">
        <v>37</v>
      </c>
    </row>
    <row r="12" spans="1:16" s="29" customFormat="1" ht="10.199999999999999">
      <c r="A12" s="27" t="s">
        <v>47</v>
      </c>
      <c r="B12" s="273">
        <f>'LCEC Forecast'!D8</f>
        <v>180000</v>
      </c>
      <c r="C12" s="273">
        <f>'LCEC Forecast'!D9</f>
        <v>760000</v>
      </c>
      <c r="D12" s="273">
        <f>'LCEC Forecast'!D10</f>
        <v>556000</v>
      </c>
      <c r="E12" s="273">
        <f>'LCEC Forecast'!D11</f>
        <v>586000</v>
      </c>
      <c r="F12" s="273">
        <f>'LCEC Forecast'!D12</f>
        <v>711000</v>
      </c>
      <c r="G12" s="273">
        <f>'LCEC Forecast'!D13</f>
        <v>728000</v>
      </c>
      <c r="H12" s="273">
        <f>'LCEC Forecast'!D14</f>
        <v>781000</v>
      </c>
      <c r="I12" s="273">
        <f>'LCEC Forecast'!D15</f>
        <v>725000</v>
      </c>
      <c r="J12" s="273">
        <f>'LCEC Forecast'!D16</f>
        <v>829000</v>
      </c>
      <c r="K12" s="273">
        <f>'LCEC Forecast'!D17</f>
        <v>701000</v>
      </c>
      <c r="L12" s="273">
        <f>'LCEC Forecast'!D18</f>
        <v>760000</v>
      </c>
      <c r="M12" s="273">
        <f>'LCEC Forecast'!D19</f>
        <v>598000</v>
      </c>
      <c r="N12" s="21">
        <f>SUM(B12:M12)</f>
        <v>7915000</v>
      </c>
    </row>
    <row r="13" spans="1:16" s="29" customFormat="1" ht="10.199999999999999">
      <c r="A13" s="27" t="s">
        <v>45</v>
      </c>
      <c r="B13" s="28">
        <f>ROUND(B12*'Transmission Formula Rate (7)'!$B$27,0)</f>
        <v>3330</v>
      </c>
      <c r="C13" s="28">
        <f>ROUND(C12*'Transmission Formula Rate (7)'!$B$27,0)</f>
        <v>14060</v>
      </c>
      <c r="D13" s="28">
        <f>ROUND(D12*'Transmission Formula Rate (7)'!$B$27,0)</f>
        <v>10286</v>
      </c>
      <c r="E13" s="28">
        <f>ROUND(E12*'Transmission Formula Rate (7)'!$B$27,0)</f>
        <v>10841</v>
      </c>
      <c r="F13" s="28">
        <f>ROUND(F12*'Transmission Formula Rate (7)'!$B$27,0)</f>
        <v>13154</v>
      </c>
      <c r="G13" s="28">
        <f>ROUND(G12*'Transmission Formula Rate (7)'!$B$27,0)</f>
        <v>13468</v>
      </c>
      <c r="H13" s="28">
        <f>ROUND(H12*'Transmission Formula Rate (7)'!$B$27,0)</f>
        <v>14449</v>
      </c>
      <c r="I13" s="28">
        <f>ROUND(I12*'Transmission Formula Rate (7)'!$B$27,0)</f>
        <v>13413</v>
      </c>
      <c r="J13" s="28">
        <f>ROUND(J12*'Transmission Formula Rate (7)'!$B$27,0)</f>
        <v>15337</v>
      </c>
      <c r="K13" s="28">
        <f>ROUND(K12*'Transmission Formula Rate (7)'!$B$27,0)</f>
        <v>12969</v>
      </c>
      <c r="L13" s="28">
        <f>ROUND(L12*'Transmission Formula Rate (7)'!$B$27,0)</f>
        <v>14060</v>
      </c>
      <c r="M13" s="28">
        <f>ROUND(M12*'Transmission Formula Rate (7)'!$B$27,0)</f>
        <v>11063</v>
      </c>
      <c r="N13" s="21">
        <f>SUM(B13:M13)</f>
        <v>146430</v>
      </c>
    </row>
    <row r="14" spans="1:16" s="29" customFormat="1" ht="10.199999999999999">
      <c r="A14" s="27" t="s">
        <v>82</v>
      </c>
      <c r="B14" s="28">
        <f>B12+B13</f>
        <v>183330</v>
      </c>
      <c r="C14" s="28">
        <f t="shared" ref="C14:L14" si="1">C12+C13</f>
        <v>774060</v>
      </c>
      <c r="D14" s="28">
        <f t="shared" si="1"/>
        <v>566286</v>
      </c>
      <c r="E14" s="28">
        <f t="shared" si="1"/>
        <v>596841</v>
      </c>
      <c r="F14" s="28">
        <f t="shared" si="1"/>
        <v>724154</v>
      </c>
      <c r="G14" s="28">
        <f t="shared" si="1"/>
        <v>741468</v>
      </c>
      <c r="H14" s="28">
        <f t="shared" si="1"/>
        <v>795449</v>
      </c>
      <c r="I14" s="28">
        <f t="shared" si="1"/>
        <v>738413</v>
      </c>
      <c r="J14" s="28">
        <f t="shared" si="1"/>
        <v>844337</v>
      </c>
      <c r="K14" s="28">
        <f t="shared" si="1"/>
        <v>713969</v>
      </c>
      <c r="L14" s="28">
        <f t="shared" si="1"/>
        <v>774060</v>
      </c>
      <c r="M14" s="28">
        <f>M12+M13</f>
        <v>609063</v>
      </c>
      <c r="N14" s="124">
        <f>SUM(B14:M14)</f>
        <v>8061430</v>
      </c>
    </row>
    <row r="15" spans="1:16" s="20" customFormat="1" ht="10.199999999999999">
      <c r="A15" s="26" t="s">
        <v>20</v>
      </c>
      <c r="B15" s="30">
        <f>'Transmission Formula Rate (7)'!B8</f>
        <v>1.59</v>
      </c>
      <c r="C15" s="30">
        <f>'Transmission Formula Rate (7)'!C8</f>
        <v>1.59</v>
      </c>
      <c r="D15" s="30">
        <f>'Transmission Formula Rate (7)'!D8</f>
        <v>1.59</v>
      </c>
      <c r="E15" s="30">
        <f>'Transmission Formula Rate (7)'!E8</f>
        <v>1.59</v>
      </c>
      <c r="F15" s="30">
        <f>'Transmission Formula Rate (7)'!F8</f>
        <v>1.59</v>
      </c>
      <c r="G15" s="30">
        <f>'Transmission Formula Rate (7)'!G8</f>
        <v>1.59</v>
      </c>
      <c r="H15" s="30">
        <f>'Transmission Formula Rate (7)'!H8</f>
        <v>1.59</v>
      </c>
      <c r="I15" s="30">
        <f>'Transmission Formula Rate (7)'!I8</f>
        <v>1.59</v>
      </c>
      <c r="J15" s="30">
        <f>'Transmission Formula Rate (7)'!J8</f>
        <v>1.59</v>
      </c>
      <c r="K15" s="30">
        <f>'Transmission Formula Rate (7)'!K8</f>
        <v>1.59</v>
      </c>
      <c r="L15" s="30">
        <f>'Transmission Formula Rate (7)'!L8</f>
        <v>1.59</v>
      </c>
      <c r="M15" s="30">
        <f>'Transmission Formula Rate (7)'!M8</f>
        <v>1.59</v>
      </c>
    </row>
    <row r="16" spans="1:16" s="20" customFormat="1" ht="10.199999999999999">
      <c r="A16" s="26" t="s">
        <v>17</v>
      </c>
      <c r="B16" s="21">
        <f t="shared" ref="B16:M16" si="2">B14*B15</f>
        <v>291494.7</v>
      </c>
      <c r="C16" s="21">
        <f t="shared" si="2"/>
        <v>1230755.4000000001</v>
      </c>
      <c r="D16" s="21">
        <f t="shared" si="2"/>
        <v>900394.74</v>
      </c>
      <c r="E16" s="21">
        <f t="shared" si="2"/>
        <v>948977.19000000006</v>
      </c>
      <c r="F16" s="21">
        <f t="shared" si="2"/>
        <v>1151404.8600000001</v>
      </c>
      <c r="G16" s="21">
        <f t="shared" si="2"/>
        <v>1178934.1200000001</v>
      </c>
      <c r="H16" s="21">
        <f t="shared" si="2"/>
        <v>1264763.9100000001</v>
      </c>
      <c r="I16" s="21">
        <f t="shared" si="2"/>
        <v>1174076.6700000002</v>
      </c>
      <c r="J16" s="21">
        <f t="shared" si="2"/>
        <v>1342495.83</v>
      </c>
      <c r="K16" s="21">
        <f t="shared" si="2"/>
        <v>1135210.71</v>
      </c>
      <c r="L16" s="21">
        <f t="shared" si="2"/>
        <v>1230755.4000000001</v>
      </c>
      <c r="M16" s="21">
        <f t="shared" si="2"/>
        <v>968410.17</v>
      </c>
      <c r="N16" s="21">
        <f>SUM(B16:M16)</f>
        <v>12817673.699999999</v>
      </c>
    </row>
    <row r="17" spans="1:17" s="20" customFormat="1" ht="10.199999999999999">
      <c r="O17" s="276"/>
    </row>
    <row r="18" spans="1:17" s="20" customFormat="1" ht="10.199999999999999">
      <c r="A18" s="26"/>
      <c r="B18" s="24" t="s">
        <v>0</v>
      </c>
      <c r="C18" s="24" t="s">
        <v>1</v>
      </c>
      <c r="D18" s="24" t="s">
        <v>2</v>
      </c>
      <c r="E18" s="24" t="s">
        <v>3</v>
      </c>
      <c r="F18" s="24" t="s">
        <v>4</v>
      </c>
      <c r="G18" s="24" t="s">
        <v>5</v>
      </c>
      <c r="H18" s="24" t="s">
        <v>6</v>
      </c>
      <c r="I18" s="24" t="s">
        <v>7</v>
      </c>
      <c r="J18" s="24" t="s">
        <v>8</v>
      </c>
      <c r="K18" s="24" t="s">
        <v>9</v>
      </c>
      <c r="L18" s="24" t="s">
        <v>10</v>
      </c>
      <c r="M18" s="24" t="s">
        <v>11</v>
      </c>
      <c r="N18" s="24" t="s">
        <v>12</v>
      </c>
      <c r="Q18" s="274"/>
    </row>
    <row r="19" spans="1:17" s="20" customFormat="1" ht="10.199999999999999">
      <c r="A19" s="2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7" s="20" customFormat="1" ht="10.199999999999999">
      <c r="A20" s="26" t="s">
        <v>141</v>
      </c>
    </row>
    <row r="21" spans="1:17" s="20" customFormat="1" ht="10.199999999999999">
      <c r="A21" s="27" t="s">
        <v>47</v>
      </c>
      <c r="B21" s="273">
        <f>B12</f>
        <v>180000</v>
      </c>
      <c r="C21" s="273">
        <f t="shared" ref="C21:M21" si="3">C12</f>
        <v>760000</v>
      </c>
      <c r="D21" s="273">
        <f t="shared" si="3"/>
        <v>556000</v>
      </c>
      <c r="E21" s="273">
        <f t="shared" si="3"/>
        <v>586000</v>
      </c>
      <c r="F21" s="273">
        <f t="shared" si="3"/>
        <v>711000</v>
      </c>
      <c r="G21" s="273">
        <f t="shared" si="3"/>
        <v>728000</v>
      </c>
      <c r="H21" s="273">
        <f t="shared" si="3"/>
        <v>781000</v>
      </c>
      <c r="I21" s="273">
        <f t="shared" si="3"/>
        <v>725000</v>
      </c>
      <c r="J21" s="273">
        <f t="shared" si="3"/>
        <v>829000</v>
      </c>
      <c r="K21" s="273">
        <f t="shared" si="3"/>
        <v>701000</v>
      </c>
      <c r="L21" s="273">
        <f t="shared" si="3"/>
        <v>760000</v>
      </c>
      <c r="M21" s="273">
        <f t="shared" si="3"/>
        <v>598000</v>
      </c>
      <c r="N21" s="21">
        <f>SUM(B21:M21)</f>
        <v>7915000</v>
      </c>
    </row>
    <row r="22" spans="1:17" s="20" customFormat="1" ht="10.199999999999999">
      <c r="A22" s="27" t="s">
        <v>45</v>
      </c>
      <c r="B22" s="28">
        <f>ROUND(B21*'Transmission Formula Rate (7)'!$B$27,0)</f>
        <v>3330</v>
      </c>
      <c r="C22" s="28">
        <f>ROUND(C21*'Transmission Formula Rate (7)'!$B$27,0)</f>
        <v>14060</v>
      </c>
      <c r="D22" s="28">
        <f>ROUND(D21*'Transmission Formula Rate (7)'!$B$27,0)</f>
        <v>10286</v>
      </c>
      <c r="E22" s="28">
        <f>ROUND(E21*'Transmission Formula Rate (7)'!$B$27,0)</f>
        <v>10841</v>
      </c>
      <c r="F22" s="28">
        <f>ROUND(F21*'Transmission Formula Rate (7)'!$B$27,0)</f>
        <v>13154</v>
      </c>
      <c r="G22" s="28">
        <f>ROUND(G21*'Transmission Formula Rate (7)'!$B$27,0)</f>
        <v>13468</v>
      </c>
      <c r="H22" s="28">
        <f>ROUND(H21*'Transmission Formula Rate (7)'!$B$27,0)</f>
        <v>14449</v>
      </c>
      <c r="I22" s="28">
        <f>ROUND(I21*'Transmission Formula Rate (7)'!$B$27,0)</f>
        <v>13413</v>
      </c>
      <c r="J22" s="28">
        <f>ROUND(J21*'Transmission Formula Rate (7)'!$B$27,0)</f>
        <v>15337</v>
      </c>
      <c r="K22" s="28">
        <f>ROUND(K21*'Transmission Formula Rate (7)'!$B$27,0)</f>
        <v>12969</v>
      </c>
      <c r="L22" s="28">
        <f>ROUND(L21*'Transmission Formula Rate (7)'!$B$27,0)</f>
        <v>14060</v>
      </c>
      <c r="M22" s="28">
        <f>ROUND(M21*'Transmission Formula Rate (7)'!$B$27,0)</f>
        <v>11063</v>
      </c>
      <c r="N22" s="21">
        <f>SUM(B22:M22)</f>
        <v>146430</v>
      </c>
    </row>
    <row r="23" spans="1:17" s="20" customFormat="1" ht="10.199999999999999">
      <c r="A23" s="27" t="s">
        <v>82</v>
      </c>
      <c r="B23" s="28">
        <f t="shared" ref="B23:M23" si="4">B21+B22</f>
        <v>183330</v>
      </c>
      <c r="C23" s="28">
        <f t="shared" si="4"/>
        <v>774060</v>
      </c>
      <c r="D23" s="28">
        <f t="shared" si="4"/>
        <v>566286</v>
      </c>
      <c r="E23" s="28">
        <f t="shared" si="4"/>
        <v>596841</v>
      </c>
      <c r="F23" s="28">
        <f t="shared" si="4"/>
        <v>724154</v>
      </c>
      <c r="G23" s="28">
        <f t="shared" si="4"/>
        <v>741468</v>
      </c>
      <c r="H23" s="28">
        <f t="shared" si="4"/>
        <v>795449</v>
      </c>
      <c r="I23" s="28">
        <f t="shared" si="4"/>
        <v>738413</v>
      </c>
      <c r="J23" s="28">
        <f t="shared" si="4"/>
        <v>844337</v>
      </c>
      <c r="K23" s="28">
        <f t="shared" si="4"/>
        <v>713969</v>
      </c>
      <c r="L23" s="28">
        <f t="shared" si="4"/>
        <v>774060</v>
      </c>
      <c r="M23" s="28">
        <f t="shared" si="4"/>
        <v>609063</v>
      </c>
      <c r="N23" s="124">
        <f>SUM(B23:M23)</f>
        <v>8061430</v>
      </c>
    </row>
    <row r="24" spans="1:17" s="20" customFormat="1" ht="10.199999999999999">
      <c r="A24" s="26" t="s">
        <v>149</v>
      </c>
      <c r="B24" s="32">
        <f>'charges (1 &amp; 2)'!$D$33</f>
        <v>1.274E-2</v>
      </c>
      <c r="C24" s="32">
        <f>'charges (1 &amp; 2)'!$D$33</f>
        <v>1.274E-2</v>
      </c>
      <c r="D24" s="32">
        <f>'charges (1 &amp; 2)'!$D$33</f>
        <v>1.274E-2</v>
      </c>
      <c r="E24" s="32">
        <f>'charges (1 &amp; 2)'!$D$33</f>
        <v>1.274E-2</v>
      </c>
      <c r="F24" s="32">
        <f>'charges (1 &amp; 2)'!$D$33</f>
        <v>1.274E-2</v>
      </c>
      <c r="G24" s="32">
        <f>'charges (1 &amp; 2)'!$D$33</f>
        <v>1.274E-2</v>
      </c>
      <c r="H24" s="32">
        <f>'charges (1 &amp; 2)'!$D$33</f>
        <v>1.274E-2</v>
      </c>
      <c r="I24" s="32">
        <f>'charges (1 &amp; 2)'!$D$33</f>
        <v>1.274E-2</v>
      </c>
      <c r="J24" s="32">
        <f>'charges (1 &amp; 2)'!$D$33</f>
        <v>1.274E-2</v>
      </c>
      <c r="K24" s="32">
        <f>'charges (1 &amp; 2)'!$D$33</f>
        <v>1.274E-2</v>
      </c>
      <c r="L24" s="32">
        <f>'charges (1 &amp; 2)'!$D$33</f>
        <v>1.274E-2</v>
      </c>
      <c r="M24" s="32">
        <f>'charges (1 &amp; 2)'!$D$33</f>
        <v>1.274E-2</v>
      </c>
    </row>
    <row r="25" spans="1:17" s="20" customFormat="1" ht="10.199999999999999">
      <c r="A25" s="26" t="s">
        <v>17</v>
      </c>
      <c r="B25" s="21">
        <f t="shared" ref="B25:M25" si="5">B23*B24</f>
        <v>2335.6241999999997</v>
      </c>
      <c r="C25" s="21">
        <f t="shared" si="5"/>
        <v>9861.5244000000002</v>
      </c>
      <c r="D25" s="21">
        <f t="shared" si="5"/>
        <v>7214.4836399999995</v>
      </c>
      <c r="E25" s="21">
        <f t="shared" si="5"/>
        <v>7603.7543399999995</v>
      </c>
      <c r="F25" s="21">
        <f t="shared" si="5"/>
        <v>9225.7219599999989</v>
      </c>
      <c r="G25" s="21">
        <f t="shared" si="5"/>
        <v>9446.3023199999989</v>
      </c>
      <c r="H25" s="21">
        <f t="shared" si="5"/>
        <v>10134.020259999999</v>
      </c>
      <c r="I25" s="21">
        <f t="shared" si="5"/>
        <v>9407.3816200000001</v>
      </c>
      <c r="J25" s="21">
        <f t="shared" si="5"/>
        <v>10756.85338</v>
      </c>
      <c r="K25" s="21">
        <f t="shared" si="5"/>
        <v>9095.9650600000004</v>
      </c>
      <c r="L25" s="21">
        <f t="shared" si="5"/>
        <v>9861.5244000000002</v>
      </c>
      <c r="M25" s="21">
        <f t="shared" si="5"/>
        <v>7759.4626199999993</v>
      </c>
      <c r="N25" s="21">
        <f>SUM(B25:M25)</f>
        <v>102702.61820000001</v>
      </c>
    </row>
    <row r="26" spans="1:17" s="20" customFormat="1" ht="10.199999999999999"/>
    <row r="27" spans="1:17" s="20" customFormat="1" ht="10.199999999999999">
      <c r="A27" s="2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7" s="20" customFormat="1" ht="10.199999999999999">
      <c r="A28" s="26"/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7" s="20" customFormat="1" ht="10.199999999999999">
      <c r="A29" s="25">
        <f>+A10+1</f>
        <v>2015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7" s="20" customFormat="1" ht="10.199999999999999">
      <c r="A30" s="26" t="s">
        <v>37</v>
      </c>
    </row>
    <row r="31" spans="1:17" s="29" customFormat="1" ht="10.199999999999999">
      <c r="A31" s="27" t="s">
        <v>82</v>
      </c>
      <c r="B31" s="273">
        <f>'LCEC Forecast'!E8</f>
        <v>557000</v>
      </c>
      <c r="C31" s="273">
        <f>'LCEC Forecast'!E9</f>
        <v>586000</v>
      </c>
      <c r="D31" s="273">
        <f>'LCEC Forecast'!E10</f>
        <v>907000</v>
      </c>
      <c r="E31" s="273">
        <f>'LCEC Forecast'!E11</f>
        <v>688000</v>
      </c>
      <c r="F31" s="273">
        <f>'LCEC Forecast'!E12</f>
        <v>787000</v>
      </c>
      <c r="G31" s="273">
        <f>'LCEC Forecast'!E13</f>
        <v>761000</v>
      </c>
      <c r="H31" s="273">
        <f>'LCEC Forecast'!E14</f>
        <v>836000</v>
      </c>
      <c r="I31" s="273">
        <f>'LCEC Forecast'!E15</f>
        <v>746000</v>
      </c>
      <c r="J31" s="273">
        <f>'LCEC Forecast'!E16</f>
        <v>768413.22194028518</v>
      </c>
      <c r="K31" s="273">
        <f>'LCEC Forecast'!E17</f>
        <v>659508.4951388113</v>
      </c>
      <c r="L31" s="273">
        <f>'LCEC Forecast'!E18</f>
        <v>681279.73337934481</v>
      </c>
      <c r="M31" s="273">
        <f>'LCEC Forecast'!E19</f>
        <v>607859.771666824</v>
      </c>
      <c r="N31" s="21">
        <f>SUM(B31:M31)</f>
        <v>8585061.2221252657</v>
      </c>
    </row>
    <row r="32" spans="1:17" s="29" customFormat="1" ht="10.199999999999999">
      <c r="A32" s="27" t="s">
        <v>45</v>
      </c>
      <c r="B32" s="28">
        <f>B31-B33</f>
        <v>10117.329405989149</v>
      </c>
      <c r="C32" s="28">
        <f t="shared" ref="C32:M32" si="6">C31-C33</f>
        <v>10644.084437898826</v>
      </c>
      <c r="D32" s="28">
        <f t="shared" si="6"/>
        <v>16474.717722140369</v>
      </c>
      <c r="E32" s="28">
        <f t="shared" si="6"/>
        <v>12496.809032891528</v>
      </c>
      <c r="F32" s="28">
        <f t="shared" si="6"/>
        <v>14295.041728031356</v>
      </c>
      <c r="G32" s="28">
        <f t="shared" si="6"/>
        <v>13822.778595974436</v>
      </c>
      <c r="H32" s="28">
        <f t="shared" si="6"/>
        <v>15185.076092292555</v>
      </c>
      <c r="I32" s="28">
        <f t="shared" si="6"/>
        <v>13550.319096710766</v>
      </c>
      <c r="J32" s="28">
        <f t="shared" si="6"/>
        <v>13957.432111826492</v>
      </c>
      <c r="K32" s="28">
        <f t="shared" si="6"/>
        <v>11979.290289708413</v>
      </c>
      <c r="L32" s="28">
        <f t="shared" si="6"/>
        <v>12374.742334332666</v>
      </c>
      <c r="M32" s="28">
        <f t="shared" si="6"/>
        <v>11041.144600722822</v>
      </c>
      <c r="N32" s="21">
        <f>SUM(B32:M32)</f>
        <v>155938.76544851938</v>
      </c>
    </row>
    <row r="33" spans="1:14" s="29" customFormat="1" ht="10.199999999999999">
      <c r="A33" s="27" t="s">
        <v>47</v>
      </c>
      <c r="B33" s="28">
        <f>B31/(1+'Transmission Formula Rate (7)'!$B$27)</f>
        <v>546882.67059401085</v>
      </c>
      <c r="C33" s="28">
        <f>C31/(1+'Transmission Formula Rate (7)'!$B$27)</f>
        <v>575355.91556210117</v>
      </c>
      <c r="D33" s="28">
        <f>D31/(1+'Transmission Formula Rate (7)'!$B$27)</f>
        <v>890525.28227785963</v>
      </c>
      <c r="E33" s="28">
        <f>E31/(1+'Transmission Formula Rate (7)'!$B$27)</f>
        <v>675503.19096710847</v>
      </c>
      <c r="F33" s="28">
        <f>F31/(1+'Transmission Formula Rate (7)'!$B$27)</f>
        <v>772704.95827196864</v>
      </c>
      <c r="G33" s="28">
        <f>G31/(1+'Transmission Formula Rate (7)'!$B$27)</f>
        <v>747177.22140402556</v>
      </c>
      <c r="H33" s="28">
        <f>H31/(1+'Transmission Formula Rate (7)'!$B$27)</f>
        <v>820814.92390770745</v>
      </c>
      <c r="I33" s="28">
        <f>I31/(1+'Transmission Formula Rate (7)'!$B$27)</f>
        <v>732449.68090328923</v>
      </c>
      <c r="J33" s="28">
        <f>J31/(1+'Transmission Formula Rate (7)'!$B$27)</f>
        <v>754455.78982845868</v>
      </c>
      <c r="K33" s="28">
        <f>K31/(1+'Transmission Formula Rate (7)'!$B$27)</f>
        <v>647529.20484910288</v>
      </c>
      <c r="L33" s="28">
        <f>L31/(1+'Transmission Formula Rate (7)'!$B$27)</f>
        <v>668904.99104501214</v>
      </c>
      <c r="M33" s="28">
        <f>M31/(1+'Transmission Formula Rate (7)'!$B$27)</f>
        <v>596818.62706610118</v>
      </c>
      <c r="N33" s="124">
        <f>SUM(B33:M33)</f>
        <v>8429122.4566767458</v>
      </c>
    </row>
    <row r="34" spans="1:14" s="20" customFormat="1" ht="10.199999999999999">
      <c r="A34" s="26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</row>
    <row r="35" spans="1:14" s="20" customFormat="1" ht="10.199999999999999">
      <c r="A35" s="26" t="s">
        <v>17</v>
      </c>
      <c r="B35" s="21">
        <f>B31*B34</f>
        <v>885630</v>
      </c>
      <c r="C35" s="21">
        <f t="shared" ref="C35:M35" si="7">C31*C34</f>
        <v>931740</v>
      </c>
      <c r="D35" s="21">
        <f t="shared" si="7"/>
        <v>1442130</v>
      </c>
      <c r="E35" s="21">
        <f t="shared" si="7"/>
        <v>1093920</v>
      </c>
      <c r="F35" s="21">
        <f t="shared" si="7"/>
        <v>1251330</v>
      </c>
      <c r="G35" s="21">
        <f t="shared" si="7"/>
        <v>1209990</v>
      </c>
      <c r="H35" s="21">
        <f t="shared" si="7"/>
        <v>1329240</v>
      </c>
      <c r="I35" s="21">
        <f t="shared" si="7"/>
        <v>1186140</v>
      </c>
      <c r="J35" s="21">
        <f t="shared" si="7"/>
        <v>1221777.0228850534</v>
      </c>
      <c r="K35" s="21">
        <f t="shared" si="7"/>
        <v>1048618.5072707101</v>
      </c>
      <c r="L35" s="21">
        <f t="shared" si="7"/>
        <v>1083234.7760731583</v>
      </c>
      <c r="M35" s="21">
        <f t="shared" si="7"/>
        <v>966497.03695025016</v>
      </c>
      <c r="N35" s="21">
        <f>SUM(B35:M35)</f>
        <v>13650247.343179174</v>
      </c>
    </row>
    <row r="36" spans="1:14" s="20" customFormat="1" ht="10.199999999999999"/>
    <row r="37" spans="1:14" s="20" customFormat="1" ht="10.199999999999999">
      <c r="A37" s="26" t="s">
        <v>141</v>
      </c>
    </row>
    <row r="38" spans="1:14" s="20" customFormat="1" ht="10.199999999999999">
      <c r="A38" s="27" t="s">
        <v>82</v>
      </c>
      <c r="B38" s="273">
        <f>B31</f>
        <v>557000</v>
      </c>
      <c r="C38" s="273">
        <f t="shared" ref="C38:M38" si="8">C31</f>
        <v>586000</v>
      </c>
      <c r="D38" s="273">
        <f t="shared" si="8"/>
        <v>907000</v>
      </c>
      <c r="E38" s="273">
        <f t="shared" si="8"/>
        <v>688000</v>
      </c>
      <c r="F38" s="273">
        <f t="shared" si="8"/>
        <v>787000</v>
      </c>
      <c r="G38" s="273">
        <f t="shared" si="8"/>
        <v>761000</v>
      </c>
      <c r="H38" s="273">
        <f t="shared" si="8"/>
        <v>836000</v>
      </c>
      <c r="I38" s="273">
        <f t="shared" si="8"/>
        <v>746000</v>
      </c>
      <c r="J38" s="273">
        <f t="shared" si="8"/>
        <v>768413.22194028518</v>
      </c>
      <c r="K38" s="273">
        <f t="shared" si="8"/>
        <v>659508.4951388113</v>
      </c>
      <c r="L38" s="273">
        <f t="shared" si="8"/>
        <v>681279.73337934481</v>
      </c>
      <c r="M38" s="273">
        <f t="shared" si="8"/>
        <v>607859.771666824</v>
      </c>
      <c r="N38" s="21">
        <f>SUM(B38:M38)</f>
        <v>8585061.2221252657</v>
      </c>
    </row>
    <row r="39" spans="1:14" s="20" customFormat="1" ht="10.199999999999999">
      <c r="A39" s="27" t="s">
        <v>45</v>
      </c>
      <c r="B39" s="28">
        <f>B38-B40</f>
        <v>10117.329405989149</v>
      </c>
      <c r="C39" s="28">
        <f t="shared" ref="C39" si="9">C38-C40</f>
        <v>10644.084437898826</v>
      </c>
      <c r="D39" s="28">
        <f t="shared" ref="D39" si="10">D38-D40</f>
        <v>16474.717722140369</v>
      </c>
      <c r="E39" s="28">
        <f t="shared" ref="E39" si="11">E38-E40</f>
        <v>12496.809032891528</v>
      </c>
      <c r="F39" s="28">
        <f t="shared" ref="F39" si="12">F38-F40</f>
        <v>14295.041728031356</v>
      </c>
      <c r="G39" s="28">
        <f t="shared" ref="G39" si="13">G38-G40</f>
        <v>13822.778595974436</v>
      </c>
      <c r="H39" s="28">
        <f t="shared" ref="H39" si="14">H38-H40</f>
        <v>15185.076092292555</v>
      </c>
      <c r="I39" s="28">
        <f t="shared" ref="I39" si="15">I38-I40</f>
        <v>13550.319096710766</v>
      </c>
      <c r="J39" s="28">
        <f t="shared" ref="J39" si="16">J38-J40</f>
        <v>13957.432111826492</v>
      </c>
      <c r="K39" s="28">
        <f t="shared" ref="K39" si="17">K38-K40</f>
        <v>11979.290289708413</v>
      </c>
      <c r="L39" s="28">
        <f t="shared" ref="L39" si="18">L38-L40</f>
        <v>12374.742334332666</v>
      </c>
      <c r="M39" s="28">
        <f t="shared" ref="M39" si="19">M38-M40</f>
        <v>11041.144600722822</v>
      </c>
      <c r="N39" s="21">
        <f>SUM(B39:M39)</f>
        <v>155938.76544851938</v>
      </c>
    </row>
    <row r="40" spans="1:14" s="20" customFormat="1" ht="10.199999999999999">
      <c r="A40" s="27" t="s">
        <v>47</v>
      </c>
      <c r="B40" s="28">
        <f>B38/(1+'Transmission Formula Rate (7)'!$B$27)</f>
        <v>546882.67059401085</v>
      </c>
      <c r="C40" s="28">
        <f>C38/(1+'Transmission Formula Rate (7)'!$B$27)</f>
        <v>575355.91556210117</v>
      </c>
      <c r="D40" s="28">
        <f>D38/(1+'Transmission Formula Rate (7)'!$B$27)</f>
        <v>890525.28227785963</v>
      </c>
      <c r="E40" s="28">
        <f>E38/(1+'Transmission Formula Rate (7)'!$B$27)</f>
        <v>675503.19096710847</v>
      </c>
      <c r="F40" s="28">
        <f>F38/(1+'Transmission Formula Rate (7)'!$B$27)</f>
        <v>772704.95827196864</v>
      </c>
      <c r="G40" s="28">
        <f>G38/(1+'Transmission Formula Rate (7)'!$B$27)</f>
        <v>747177.22140402556</v>
      </c>
      <c r="H40" s="28">
        <f>H38/(1+'Transmission Formula Rate (7)'!$B$27)</f>
        <v>820814.92390770745</v>
      </c>
      <c r="I40" s="28">
        <f>I38/(1+'Transmission Formula Rate (7)'!$B$27)</f>
        <v>732449.68090328923</v>
      </c>
      <c r="J40" s="28">
        <f>J38/(1+'Transmission Formula Rate (7)'!$B$27)</f>
        <v>754455.78982845868</v>
      </c>
      <c r="K40" s="28">
        <f>K38/(1+'Transmission Formula Rate (7)'!$B$27)</f>
        <v>647529.20484910288</v>
      </c>
      <c r="L40" s="28">
        <f>L38/(1+'Transmission Formula Rate (7)'!$B$27)</f>
        <v>668904.99104501214</v>
      </c>
      <c r="M40" s="28">
        <f>M38/(1+'Transmission Formula Rate (7)'!$B$27)</f>
        <v>596818.62706610118</v>
      </c>
      <c r="N40" s="124">
        <f>SUM(B40:M40)</f>
        <v>8429122.4566767458</v>
      </c>
    </row>
    <row r="41" spans="1:14" s="20" customFormat="1" ht="10.199999999999999">
      <c r="A41" s="26" t="s">
        <v>149</v>
      </c>
      <c r="B41" s="32">
        <f>'charges (1 &amp; 2)'!$D$33</f>
        <v>1.274E-2</v>
      </c>
      <c r="C41" s="32">
        <f>'charges (1 &amp; 2)'!$D$33</f>
        <v>1.274E-2</v>
      </c>
      <c r="D41" s="32">
        <f>'charges (1 &amp; 2)'!$D$33</f>
        <v>1.274E-2</v>
      </c>
      <c r="E41" s="32">
        <f>'charges (1 &amp; 2)'!$D$33</f>
        <v>1.274E-2</v>
      </c>
      <c r="F41" s="32">
        <f>'charges (1 &amp; 2)'!$D$33</f>
        <v>1.274E-2</v>
      </c>
      <c r="G41" s="32">
        <f>'charges (1 &amp; 2)'!$D$33</f>
        <v>1.274E-2</v>
      </c>
      <c r="H41" s="32">
        <f>'charges (1 &amp; 2)'!$D$33</f>
        <v>1.274E-2</v>
      </c>
      <c r="I41" s="32">
        <f>'charges (1 &amp; 2)'!$D$33</f>
        <v>1.274E-2</v>
      </c>
      <c r="J41" s="32">
        <f>'charges (1 &amp; 2)'!$D$33</f>
        <v>1.274E-2</v>
      </c>
      <c r="K41" s="32">
        <f>'charges (1 &amp; 2)'!$D$33</f>
        <v>1.274E-2</v>
      </c>
      <c r="L41" s="32">
        <f>'charges (1 &amp; 2)'!$D$33</f>
        <v>1.274E-2</v>
      </c>
      <c r="M41" s="32">
        <f>'charges (1 &amp; 2)'!$D$33</f>
        <v>1.274E-2</v>
      </c>
    </row>
    <row r="42" spans="1:14" s="20" customFormat="1" ht="10.199999999999999">
      <c r="A42" s="26" t="s">
        <v>17</v>
      </c>
      <c r="B42" s="21">
        <f>B38*B41</f>
        <v>7096.1799999999994</v>
      </c>
      <c r="C42" s="21">
        <f t="shared" ref="C42" si="20">C38*C41</f>
        <v>7465.6399999999994</v>
      </c>
      <c r="D42" s="21">
        <f t="shared" ref="D42" si="21">D38*D41</f>
        <v>11555.18</v>
      </c>
      <c r="E42" s="21">
        <f t="shared" ref="E42" si="22">E38*E41</f>
        <v>8765.119999999999</v>
      </c>
      <c r="F42" s="21">
        <f t="shared" ref="F42" si="23">F38*F41</f>
        <v>10026.379999999999</v>
      </c>
      <c r="G42" s="21">
        <f t="shared" ref="G42" si="24">G38*G41</f>
        <v>9695.14</v>
      </c>
      <c r="H42" s="21">
        <f t="shared" ref="H42" si="25">H38*H41</f>
        <v>10650.64</v>
      </c>
      <c r="I42" s="21">
        <f t="shared" ref="I42" si="26">I38*I41</f>
        <v>9504.0399999999991</v>
      </c>
      <c r="J42" s="21">
        <f t="shared" ref="J42" si="27">J38*J41</f>
        <v>9789.5844475192334</v>
      </c>
      <c r="K42" s="21">
        <f t="shared" ref="K42" si="28">K38*K41</f>
        <v>8402.1382280684556</v>
      </c>
      <c r="L42" s="21">
        <f t="shared" ref="L42" si="29">L38*L41</f>
        <v>8679.5038032528519</v>
      </c>
      <c r="M42" s="21">
        <f t="shared" ref="M42" si="30">M38*M41</f>
        <v>7744.1334910353371</v>
      </c>
      <c r="N42" s="21">
        <f>SUM(B42:M42)</f>
        <v>109373.67996987586</v>
      </c>
    </row>
    <row r="43" spans="1:14" s="20" customFormat="1" ht="10.199999999999999"/>
    <row r="44" spans="1:14" s="20" customFormat="1" ht="10.199999999999999"/>
    <row r="45" spans="1:14"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</row>
    <row r="46" spans="1:14">
      <c r="A46" s="25">
        <f>+A29+1</f>
        <v>2016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>
      <c r="A47" s="26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7" t="s">
        <v>82</v>
      </c>
      <c r="B48" s="273">
        <f>'LCEC Forecast'!F8</f>
        <v>615852.81351076043</v>
      </c>
      <c r="C48" s="273">
        <f>'LCEC Forecast'!F9</f>
        <v>744423.79360659269</v>
      </c>
      <c r="D48" s="273">
        <f>'LCEC Forecast'!F10</f>
        <v>668279.51810135087</v>
      </c>
      <c r="E48" s="273">
        <f>'LCEC Forecast'!F11</f>
        <v>615771.4735328746</v>
      </c>
      <c r="F48" s="273">
        <f>'LCEC Forecast'!F12</f>
        <v>600154.53483940358</v>
      </c>
      <c r="G48" s="273">
        <f>'LCEC Forecast'!F13</f>
        <v>696314.11686990049</v>
      </c>
      <c r="H48" s="273">
        <f>'LCEC Forecast'!F14</f>
        <v>765847.39959939185</v>
      </c>
      <c r="I48" s="273">
        <f>'LCEC Forecast'!F15</f>
        <v>744904.02897998795</v>
      </c>
      <c r="J48" s="273">
        <f>'LCEC Forecast'!F16</f>
        <v>779042.35336340778</v>
      </c>
      <c r="K48" s="273">
        <f>'LCEC Forecast'!F17</f>
        <v>668999.71586675802</v>
      </c>
      <c r="L48" s="273">
        <f>'LCEC Forecast'!F18</f>
        <v>706270.43479170382</v>
      </c>
      <c r="M48" s="273">
        <f>'LCEC Forecast'!F19</f>
        <v>580934.50240306312</v>
      </c>
      <c r="N48" s="21">
        <f>SUM(B48:M48)</f>
        <v>8186794.6854651943</v>
      </c>
    </row>
    <row r="49" spans="1:14">
      <c r="A49" s="27" t="s">
        <v>45</v>
      </c>
      <c r="B49" s="28">
        <f>B48-B50</f>
        <v>11186.329945949023</v>
      </c>
      <c r="C49" s="28">
        <f t="shared" ref="C49" si="31">C48-C50</f>
        <v>13521.688936398597</v>
      </c>
      <c r="D49" s="28">
        <f t="shared" ref="D49" si="32">D48-D50</f>
        <v>12138.606858001905</v>
      </c>
      <c r="E49" s="28">
        <f t="shared" ref="E49" si="33">E48-E50</f>
        <v>11184.852489306009</v>
      </c>
      <c r="F49" s="28">
        <f t="shared" ref="F49" si="34">F48-F50</f>
        <v>10901.186936209095</v>
      </c>
      <c r="G49" s="28">
        <f t="shared" ref="G49" si="35">G48-G50</f>
        <v>12647.826374170952</v>
      </c>
      <c r="H49" s="28">
        <f t="shared" ref="H49" si="36">H48-H50</f>
        <v>13910.826600479893</v>
      </c>
      <c r="I49" s="28">
        <f t="shared" ref="I49" si="37">I48-I50</f>
        <v>13530.411915689474</v>
      </c>
      <c r="J49" s="28">
        <f t="shared" ref="J49" si="38">J48-J50</f>
        <v>14150.499300169875</v>
      </c>
      <c r="K49" s="28">
        <f t="shared" ref="K49" si="39">K48-K50</f>
        <v>12151.688506170874</v>
      </c>
      <c r="L49" s="28">
        <f t="shared" ref="L49" si="40">L48-L50</f>
        <v>12828.672600536607</v>
      </c>
      <c r="M49" s="28">
        <f t="shared" ref="M49" si="41">M48-M50</f>
        <v>10552.074908646639</v>
      </c>
      <c r="N49" s="21">
        <f>SUM(B49:M49)</f>
        <v>148704.66537172894</v>
      </c>
    </row>
    <row r="50" spans="1:14">
      <c r="A50" s="27" t="s">
        <v>47</v>
      </c>
      <c r="B50" s="28">
        <f>B48/(1+'Transmission Formula Rate (7)'!$B$27)</f>
        <v>604666.48356481141</v>
      </c>
      <c r="C50" s="28">
        <f>C48/(1+'Transmission Formula Rate (7)'!$B$27)</f>
        <v>730902.10467019409</v>
      </c>
      <c r="D50" s="28">
        <f>D48/(1+'Transmission Formula Rate (7)'!$B$27)</f>
        <v>656140.91124334896</v>
      </c>
      <c r="E50" s="28">
        <f>E48/(1+'Transmission Formula Rate (7)'!$B$27)</f>
        <v>604586.62104356859</v>
      </c>
      <c r="F50" s="28">
        <f>F48/(1+'Transmission Formula Rate (7)'!$B$27)</f>
        <v>589253.34790319449</v>
      </c>
      <c r="G50" s="28">
        <f>G48/(1+'Transmission Formula Rate (7)'!$B$27)</f>
        <v>683666.29049572954</v>
      </c>
      <c r="H50" s="28">
        <f>H48/(1+'Transmission Formula Rate (7)'!$B$27)</f>
        <v>751936.57299891196</v>
      </c>
      <c r="I50" s="28">
        <f>I48/(1+'Transmission Formula Rate (7)'!$B$27)</f>
        <v>731373.61706429848</v>
      </c>
      <c r="J50" s="28">
        <f>J48/(1+'Transmission Formula Rate (7)'!$B$27)</f>
        <v>764891.8540632379</v>
      </c>
      <c r="K50" s="28">
        <f>K48/(1+'Transmission Formula Rate (7)'!$B$27)</f>
        <v>656848.02736058715</v>
      </c>
      <c r="L50" s="28">
        <f>L48/(1+'Transmission Formula Rate (7)'!$B$27)</f>
        <v>693441.76219116722</v>
      </c>
      <c r="M50" s="28">
        <f>M48/(1+'Transmission Formula Rate (7)'!$B$27)</f>
        <v>570382.42749441648</v>
      </c>
      <c r="N50" s="124">
        <f>SUM(B50:M50)</f>
        <v>8038090.0200934652</v>
      </c>
    </row>
    <row r="51" spans="1:14">
      <c r="A51" s="26" t="s">
        <v>20</v>
      </c>
      <c r="B51" s="30">
        <f>'Transmission Formula Rate (7)'!B12</f>
        <v>1.59</v>
      </c>
      <c r="C51" s="30">
        <f>'Transmission Formula Rate (7)'!C12</f>
        <v>1.59</v>
      </c>
      <c r="D51" s="30">
        <f>'Transmission Formula Rate (7)'!D12</f>
        <v>1.59</v>
      </c>
      <c r="E51" s="30">
        <f>'Transmission Formula Rate (7)'!E12</f>
        <v>1.59</v>
      </c>
      <c r="F51" s="30">
        <f>'Transmission Formula Rate (7)'!F12</f>
        <v>1.59</v>
      </c>
      <c r="G51" s="30">
        <f>'Transmission Formula Rate (7)'!G12</f>
        <v>1.59</v>
      </c>
      <c r="H51" s="30">
        <f>'Transmission Formula Rate (7)'!H12</f>
        <v>1.59</v>
      </c>
      <c r="I51" s="30">
        <f>'Transmission Formula Rate (7)'!I12</f>
        <v>1.59</v>
      </c>
      <c r="J51" s="30">
        <f>'Transmission Formula Rate (7)'!J12</f>
        <v>1.59</v>
      </c>
      <c r="K51" s="30">
        <f>'Transmission Formula Rate (7)'!K12</f>
        <v>1.59</v>
      </c>
      <c r="L51" s="30">
        <f>'Transmission Formula Rate (7)'!L12</f>
        <v>1.59</v>
      </c>
      <c r="M51" s="30">
        <f>'Transmission Formula Rate (7)'!M12</f>
        <v>1.59</v>
      </c>
      <c r="N51" s="20"/>
    </row>
    <row r="52" spans="1:14">
      <c r="A52" s="26" t="s">
        <v>17</v>
      </c>
      <c r="B52" s="21">
        <f>B48*B51</f>
        <v>979205.97348210914</v>
      </c>
      <c r="C52" s="21">
        <f t="shared" ref="C52" si="42">C48*C51</f>
        <v>1183633.8318344825</v>
      </c>
      <c r="D52" s="21">
        <f t="shared" ref="D52" si="43">D48*D51</f>
        <v>1062564.4337811479</v>
      </c>
      <c r="E52" s="21">
        <f t="shared" ref="E52" si="44">E48*E51</f>
        <v>979076.64291727066</v>
      </c>
      <c r="F52" s="21">
        <f t="shared" ref="F52" si="45">F48*F51</f>
        <v>954245.71039465175</v>
      </c>
      <c r="G52" s="21">
        <f t="shared" ref="G52" si="46">G48*G51</f>
        <v>1107139.4458231418</v>
      </c>
      <c r="H52" s="21">
        <f t="shared" ref="H52" si="47">H48*H51</f>
        <v>1217697.365363033</v>
      </c>
      <c r="I52" s="21">
        <f t="shared" ref="I52" si="48">I48*I51</f>
        <v>1184397.406078181</v>
      </c>
      <c r="J52" s="21">
        <f t="shared" ref="J52" si="49">J48*J51</f>
        <v>1238677.3418478183</v>
      </c>
      <c r="K52" s="21">
        <f t="shared" ref="K52" si="50">K48*K51</f>
        <v>1063709.5482281453</v>
      </c>
      <c r="L52" s="21">
        <f t="shared" ref="L52" si="51">L48*L51</f>
        <v>1122969.9913188091</v>
      </c>
      <c r="M52" s="21">
        <f t="shared" ref="M52" si="52">M48*M51</f>
        <v>923685.8588208704</v>
      </c>
      <c r="N52" s="21">
        <f>SUM(B52:M52)</f>
        <v>13017003.54988966</v>
      </c>
    </row>
    <row r="53" spans="1:14">
      <c r="A53" s="25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>
      <c r="A54" s="26" t="s">
        <v>141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7" t="s">
        <v>82</v>
      </c>
      <c r="B55" s="273">
        <f>B48</f>
        <v>615852.81351076043</v>
      </c>
      <c r="C55" s="273">
        <f t="shared" ref="C55:M55" si="53">C48</f>
        <v>744423.79360659269</v>
      </c>
      <c r="D55" s="273">
        <f t="shared" si="53"/>
        <v>668279.51810135087</v>
      </c>
      <c r="E55" s="273">
        <f t="shared" si="53"/>
        <v>615771.4735328746</v>
      </c>
      <c r="F55" s="273">
        <f t="shared" si="53"/>
        <v>600154.53483940358</v>
      </c>
      <c r="G55" s="273">
        <f t="shared" si="53"/>
        <v>696314.11686990049</v>
      </c>
      <c r="H55" s="273">
        <f t="shared" si="53"/>
        <v>765847.39959939185</v>
      </c>
      <c r="I55" s="273">
        <f t="shared" si="53"/>
        <v>744904.02897998795</v>
      </c>
      <c r="J55" s="273">
        <f t="shared" si="53"/>
        <v>779042.35336340778</v>
      </c>
      <c r="K55" s="273">
        <f t="shared" si="53"/>
        <v>668999.71586675802</v>
      </c>
      <c r="L55" s="273">
        <f t="shared" si="53"/>
        <v>706270.43479170382</v>
      </c>
      <c r="M55" s="273">
        <f t="shared" si="53"/>
        <v>580934.50240306312</v>
      </c>
      <c r="N55" s="21">
        <f>SUM(B55:M55)</f>
        <v>8186794.6854651943</v>
      </c>
    </row>
    <row r="56" spans="1:14">
      <c r="A56" s="27" t="s">
        <v>45</v>
      </c>
      <c r="B56" s="28">
        <f>B55-B57</f>
        <v>11186.329945949023</v>
      </c>
      <c r="C56" s="28">
        <f t="shared" ref="C56" si="54">C55-C57</f>
        <v>13521.688936398597</v>
      </c>
      <c r="D56" s="28">
        <f t="shared" ref="D56" si="55">D55-D57</f>
        <v>12138.606858001905</v>
      </c>
      <c r="E56" s="28">
        <f t="shared" ref="E56" si="56">E55-E57</f>
        <v>11184.852489306009</v>
      </c>
      <c r="F56" s="28">
        <f t="shared" ref="F56" si="57">F55-F57</f>
        <v>10901.186936209095</v>
      </c>
      <c r="G56" s="28">
        <f t="shared" ref="G56" si="58">G55-G57</f>
        <v>12647.826374170952</v>
      </c>
      <c r="H56" s="28">
        <f t="shared" ref="H56" si="59">H55-H57</f>
        <v>13910.826600479893</v>
      </c>
      <c r="I56" s="28">
        <f t="shared" ref="I56" si="60">I55-I57</f>
        <v>13530.411915689474</v>
      </c>
      <c r="J56" s="28">
        <f t="shared" ref="J56" si="61">J55-J57</f>
        <v>14150.499300169875</v>
      </c>
      <c r="K56" s="28">
        <f t="shared" ref="K56" si="62">K55-K57</f>
        <v>12151.688506170874</v>
      </c>
      <c r="L56" s="28">
        <f t="shared" ref="L56" si="63">L55-L57</f>
        <v>12828.672600536607</v>
      </c>
      <c r="M56" s="28">
        <f t="shared" ref="M56" si="64">M55-M57</f>
        <v>10552.074908646639</v>
      </c>
      <c r="N56" s="21">
        <f>SUM(B56:M56)</f>
        <v>148704.66537172894</v>
      </c>
    </row>
    <row r="57" spans="1:14">
      <c r="A57" s="27" t="s">
        <v>47</v>
      </c>
      <c r="B57" s="28">
        <f>B55/(1+'Transmission Formula Rate (7)'!$B$27)</f>
        <v>604666.48356481141</v>
      </c>
      <c r="C57" s="28">
        <f>C55/(1+'Transmission Formula Rate (7)'!$B$27)</f>
        <v>730902.10467019409</v>
      </c>
      <c r="D57" s="28">
        <f>D55/(1+'Transmission Formula Rate (7)'!$B$27)</f>
        <v>656140.91124334896</v>
      </c>
      <c r="E57" s="28">
        <f>E55/(1+'Transmission Formula Rate (7)'!$B$27)</f>
        <v>604586.62104356859</v>
      </c>
      <c r="F57" s="28">
        <f>F55/(1+'Transmission Formula Rate (7)'!$B$27)</f>
        <v>589253.34790319449</v>
      </c>
      <c r="G57" s="28">
        <f>G55/(1+'Transmission Formula Rate (7)'!$B$27)</f>
        <v>683666.29049572954</v>
      </c>
      <c r="H57" s="28">
        <f>H55/(1+'Transmission Formula Rate (7)'!$B$27)</f>
        <v>751936.57299891196</v>
      </c>
      <c r="I57" s="28">
        <f>I55/(1+'Transmission Formula Rate (7)'!$B$27)</f>
        <v>731373.61706429848</v>
      </c>
      <c r="J57" s="28">
        <f>J55/(1+'Transmission Formula Rate (7)'!$B$27)</f>
        <v>764891.8540632379</v>
      </c>
      <c r="K57" s="28">
        <f>K55/(1+'Transmission Formula Rate (7)'!$B$27)</f>
        <v>656848.02736058715</v>
      </c>
      <c r="L57" s="28">
        <f>L55/(1+'Transmission Formula Rate (7)'!$B$27)</f>
        <v>693441.76219116722</v>
      </c>
      <c r="M57" s="28">
        <f>M55/(1+'Transmission Formula Rate (7)'!$B$27)</f>
        <v>570382.42749441648</v>
      </c>
      <c r="N57" s="124">
        <f>SUM(B57:M57)</f>
        <v>8038090.0200934652</v>
      </c>
    </row>
    <row r="58" spans="1:14">
      <c r="A58" s="26" t="s">
        <v>149</v>
      </c>
      <c r="B58" s="32">
        <f>'charges (1 &amp; 2)'!$E$33</f>
        <v>1.274E-2</v>
      </c>
      <c r="C58" s="32">
        <f>'charges (1 &amp; 2)'!$E$33</f>
        <v>1.274E-2</v>
      </c>
      <c r="D58" s="32">
        <f>'charges (1 &amp; 2)'!$E$33</f>
        <v>1.274E-2</v>
      </c>
      <c r="E58" s="32">
        <f>'charges (1 &amp; 2)'!$E$33</f>
        <v>1.274E-2</v>
      </c>
      <c r="F58" s="32">
        <f>'charges (1 &amp; 2)'!$E$33</f>
        <v>1.274E-2</v>
      </c>
      <c r="G58" s="32">
        <f>'charges (1 &amp; 2)'!$E$33</f>
        <v>1.274E-2</v>
      </c>
      <c r="H58" s="32">
        <f>'charges (1 &amp; 2)'!$E$33</f>
        <v>1.274E-2</v>
      </c>
      <c r="I58" s="32">
        <f>'charges (1 &amp; 2)'!$E$33</f>
        <v>1.274E-2</v>
      </c>
      <c r="J58" s="32">
        <f>'charges (1 &amp; 2)'!$E$33</f>
        <v>1.274E-2</v>
      </c>
      <c r="K58" s="32">
        <f>'charges (1 &amp; 2)'!$E$33</f>
        <v>1.274E-2</v>
      </c>
      <c r="L58" s="32">
        <f>'charges (1 &amp; 2)'!$E$33</f>
        <v>1.274E-2</v>
      </c>
      <c r="M58" s="32">
        <f>'charges (1 &amp; 2)'!$E$33</f>
        <v>1.274E-2</v>
      </c>
      <c r="N58" s="20"/>
    </row>
    <row r="59" spans="1:14">
      <c r="A59" s="26" t="s">
        <v>17</v>
      </c>
      <c r="B59" s="21">
        <f>B55*B58</f>
        <v>7845.9648441270874</v>
      </c>
      <c r="C59" s="21">
        <f t="shared" ref="C59" si="65">C55*C58</f>
        <v>9483.9591305479898</v>
      </c>
      <c r="D59" s="21">
        <f t="shared" ref="D59" si="66">D55*D58</f>
        <v>8513.8810606112093</v>
      </c>
      <c r="E59" s="21">
        <f t="shared" ref="E59" si="67">E55*E58</f>
        <v>7844.9285728088225</v>
      </c>
      <c r="F59" s="21">
        <f t="shared" ref="F59" si="68">F55*F58</f>
        <v>7645.9687738540015</v>
      </c>
      <c r="G59" s="21">
        <f t="shared" ref="G59" si="69">G55*G58</f>
        <v>8871.0418489225322</v>
      </c>
      <c r="H59" s="21">
        <f t="shared" ref="H59" si="70">H55*H58</f>
        <v>9756.8958708962527</v>
      </c>
      <c r="I59" s="21">
        <f t="shared" ref="I59" si="71">I55*I58</f>
        <v>9490.0773292050453</v>
      </c>
      <c r="J59" s="21">
        <f t="shared" ref="J59" si="72">J55*J58</f>
        <v>9924.9995818498155</v>
      </c>
      <c r="K59" s="21">
        <f t="shared" ref="K59" si="73">K55*K58</f>
        <v>8523.0563801424978</v>
      </c>
      <c r="L59" s="21">
        <f t="shared" ref="L59" si="74">L55*L58</f>
        <v>8997.8853392463061</v>
      </c>
      <c r="M59" s="21">
        <f t="shared" ref="M59" si="75">M55*M58</f>
        <v>7401.1055606150239</v>
      </c>
      <c r="N59" s="21">
        <f>SUM(B59:M59)</f>
        <v>104299.76429282659</v>
      </c>
    </row>
    <row r="60" spans="1:1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</row>
    <row r="63" spans="1:14">
      <c r="A63" s="25">
        <f>+A46+1</f>
        <v>2017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>
      <c r="A64" s="26" t="s">
        <v>37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27" t="s">
        <v>82</v>
      </c>
      <c r="B65" s="273">
        <f>'LCEC Forecast'!G8</f>
        <v>545672.68567012821</v>
      </c>
      <c r="C65" s="273">
        <f>'LCEC Forecast'!G9</f>
        <v>745167.86963630246</v>
      </c>
      <c r="D65" s="273">
        <f>'LCEC Forecast'!G10</f>
        <v>668945.8017518603</v>
      </c>
      <c r="E65" s="273">
        <f>'LCEC Forecast'!G11</f>
        <v>616449.13839736406</v>
      </c>
      <c r="F65" s="273">
        <f>'LCEC Forecast'!G12</f>
        <v>603918.22942080395</v>
      </c>
      <c r="G65" s="273">
        <f>'LCEC Forecast'!G13</f>
        <v>699801.99552638899</v>
      </c>
      <c r="H65" s="273">
        <f>'LCEC Forecast'!G14</f>
        <v>768532.40615780908</v>
      </c>
      <c r="I65" s="273">
        <f>'LCEC Forecast'!G15</f>
        <v>749123.97131151194</v>
      </c>
      <c r="J65" s="273">
        <f>'LCEC Forecast'!G16</f>
        <v>783475.67703109328</v>
      </c>
      <c r="K65" s="273">
        <f>'LCEC Forecast'!G17</f>
        <v>672815.95490237186</v>
      </c>
      <c r="L65" s="273">
        <f>'LCEC Forecast'!G18</f>
        <v>708669.05835224723</v>
      </c>
      <c r="M65" s="273">
        <f>'LCEC Forecast'!G19</f>
        <v>582117.12190809206</v>
      </c>
      <c r="N65" s="21">
        <f>SUM(B65:M65)</f>
        <v>8144689.9100659741</v>
      </c>
    </row>
    <row r="66" spans="1:14">
      <c r="A66" s="27" t="s">
        <v>45</v>
      </c>
      <c r="B66" s="28">
        <f>B65-B67</f>
        <v>9911.580446634558</v>
      </c>
      <c r="C66" s="28">
        <f t="shared" ref="C66" si="76">C65-C67</f>
        <v>13535.204308563145</v>
      </c>
      <c r="D66" s="28">
        <f t="shared" ref="D66" si="77">D65-D67</f>
        <v>12150.709211987676</v>
      </c>
      <c r="E66" s="28">
        <f t="shared" ref="E66" si="78">E65-E67</f>
        <v>11197.161571282428</v>
      </c>
      <c r="F66" s="28">
        <f t="shared" ref="F66" si="79">F65-F67</f>
        <v>10969.550558944349</v>
      </c>
      <c r="G66" s="28">
        <f t="shared" ref="G66" si="80">G65-G67</f>
        <v>12711.180085653556</v>
      </c>
      <c r="H66" s="28">
        <f t="shared" ref="H66" si="81">H65-H67</f>
        <v>13959.596969974926</v>
      </c>
      <c r="I66" s="28">
        <f t="shared" ref="I66" si="82">I65-I67</f>
        <v>13607.062807327369</v>
      </c>
      <c r="J66" s="28">
        <f t="shared" ref="J66" si="83">J65-J67</f>
        <v>14231.026043274673</v>
      </c>
      <c r="K66" s="28">
        <f t="shared" ref="K66" si="84">K65-K67</f>
        <v>12221.006544618402</v>
      </c>
      <c r="L66" s="28">
        <f t="shared" ref="L66" si="85">L65-L67</f>
        <v>12872.241118818405</v>
      </c>
      <c r="M66" s="28">
        <f t="shared" ref="M66" si="86">M65-M67</f>
        <v>10573.555969857378</v>
      </c>
      <c r="N66" s="21">
        <f>SUM(B66:M66)</f>
        <v>147939.87563693686</v>
      </c>
    </row>
    <row r="67" spans="1:14">
      <c r="A67" s="27" t="s">
        <v>47</v>
      </c>
      <c r="B67" s="28">
        <f>B65/(1+'Transmission Formula Rate (7)'!$B$27)</f>
        <v>535761.10522349365</v>
      </c>
      <c r="C67" s="28">
        <f>C65/(1+'Transmission Formula Rate (7)'!$B$27)</f>
        <v>731632.66532773932</v>
      </c>
      <c r="D67" s="28">
        <f>D65/(1+'Transmission Formula Rate (7)'!$B$27)</f>
        <v>656795.09253987262</v>
      </c>
      <c r="E67" s="28">
        <f>E65/(1+'Transmission Formula Rate (7)'!$B$27)</f>
        <v>605251.97682608163</v>
      </c>
      <c r="F67" s="28">
        <f>F65/(1+'Transmission Formula Rate (7)'!$B$27)</f>
        <v>592948.6788618596</v>
      </c>
      <c r="G67" s="28">
        <f>G65/(1+'Transmission Formula Rate (7)'!$B$27)</f>
        <v>687090.81544073543</v>
      </c>
      <c r="H67" s="28">
        <f>H65/(1+'Transmission Formula Rate (7)'!$B$27)</f>
        <v>754572.80918783415</v>
      </c>
      <c r="I67" s="28">
        <f>I65/(1+'Transmission Formula Rate (7)'!$B$27)</f>
        <v>735516.90850418457</v>
      </c>
      <c r="J67" s="28">
        <f>J65/(1+'Transmission Formula Rate (7)'!$B$27)</f>
        <v>769244.6509878186</v>
      </c>
      <c r="K67" s="28">
        <f>K65/(1+'Transmission Formula Rate (7)'!$B$27)</f>
        <v>660594.94835775346</v>
      </c>
      <c r="L67" s="28">
        <f>L65/(1+'Transmission Formula Rate (7)'!$B$27)</f>
        <v>695796.81723342882</v>
      </c>
      <c r="M67" s="28">
        <f>M65/(1+'Transmission Formula Rate (7)'!$B$27)</f>
        <v>571543.56593823468</v>
      </c>
      <c r="N67" s="124">
        <f>SUM(B67:M67)</f>
        <v>7996750.0344290361</v>
      </c>
    </row>
    <row r="68" spans="1:14">
      <c r="A68" s="26" t="s">
        <v>20</v>
      </c>
      <c r="B68" s="30">
        <f>'Transmission Formula Rate (7)'!B14</f>
        <v>1.59</v>
      </c>
      <c r="C68" s="30">
        <f>'Transmission Formula Rate (7)'!C14</f>
        <v>1.59</v>
      </c>
      <c r="D68" s="30">
        <f>'Transmission Formula Rate (7)'!D14</f>
        <v>1.59</v>
      </c>
      <c r="E68" s="30">
        <f>'Transmission Formula Rate (7)'!E14</f>
        <v>1.59</v>
      </c>
      <c r="F68" s="30">
        <f>'Transmission Formula Rate (7)'!F14</f>
        <v>1.59</v>
      </c>
      <c r="G68" s="30">
        <f>'Transmission Formula Rate (7)'!G14</f>
        <v>1.59</v>
      </c>
      <c r="H68" s="30">
        <f>'Transmission Formula Rate (7)'!H14</f>
        <v>1.59</v>
      </c>
      <c r="I68" s="30">
        <f>'Transmission Formula Rate (7)'!I14</f>
        <v>1.59</v>
      </c>
      <c r="J68" s="30">
        <f>'Transmission Formula Rate (7)'!J14</f>
        <v>1.59</v>
      </c>
      <c r="K68" s="30">
        <f>'Transmission Formula Rate (7)'!K14</f>
        <v>1.59</v>
      </c>
      <c r="L68" s="30">
        <f>'Transmission Formula Rate (7)'!L14</f>
        <v>1.59</v>
      </c>
      <c r="M68" s="30">
        <f>'Transmission Formula Rate (7)'!M14</f>
        <v>1.59</v>
      </c>
      <c r="N68" s="20"/>
    </row>
    <row r="69" spans="1:14">
      <c r="A69" s="26" t="s">
        <v>17</v>
      </c>
      <c r="B69" s="21">
        <f>B65*B68</f>
        <v>867619.57021550392</v>
      </c>
      <c r="C69" s="21">
        <f t="shared" ref="C69" si="87">C65*C68</f>
        <v>1184816.912721721</v>
      </c>
      <c r="D69" s="21">
        <f t="shared" ref="D69" si="88">D65*D68</f>
        <v>1063623.8247854579</v>
      </c>
      <c r="E69" s="21">
        <f t="shared" ref="E69" si="89">E65*E68</f>
        <v>980154.1300518089</v>
      </c>
      <c r="F69" s="21">
        <f t="shared" ref="F69" si="90">F65*F68</f>
        <v>960229.98477907828</v>
      </c>
      <c r="G69" s="21">
        <f t="shared" ref="G69" si="91">G65*G68</f>
        <v>1112685.1728869586</v>
      </c>
      <c r="H69" s="21">
        <f t="shared" ref="H69" si="92">H65*H68</f>
        <v>1221966.5257909165</v>
      </c>
      <c r="I69" s="21">
        <f t="shared" ref="I69" si="93">I65*I68</f>
        <v>1191107.114385304</v>
      </c>
      <c r="J69" s="21">
        <f t="shared" ref="J69" si="94">J65*J68</f>
        <v>1245726.3264794385</v>
      </c>
      <c r="K69" s="21">
        <f t="shared" ref="K69" si="95">K65*K68</f>
        <v>1069777.3682947713</v>
      </c>
      <c r="L69" s="21">
        <f t="shared" ref="L69" si="96">L65*L68</f>
        <v>1126783.8027800731</v>
      </c>
      <c r="M69" s="21">
        <f t="shared" ref="M69" si="97">M65*M68</f>
        <v>925566.22383386642</v>
      </c>
      <c r="N69" s="21">
        <f>SUM(B69:M69)</f>
        <v>12950056.957004899</v>
      </c>
    </row>
    <row r="70" spans="1:14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26" t="s">
        <v>141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27" t="s">
        <v>82</v>
      </c>
      <c r="B72" s="273">
        <f>B65</f>
        <v>545672.68567012821</v>
      </c>
      <c r="C72" s="273">
        <f t="shared" ref="C72:M72" si="98">C65</f>
        <v>745167.86963630246</v>
      </c>
      <c r="D72" s="273">
        <f t="shared" si="98"/>
        <v>668945.8017518603</v>
      </c>
      <c r="E72" s="273">
        <f t="shared" si="98"/>
        <v>616449.13839736406</v>
      </c>
      <c r="F72" s="273">
        <f t="shared" si="98"/>
        <v>603918.22942080395</v>
      </c>
      <c r="G72" s="273">
        <f t="shared" si="98"/>
        <v>699801.99552638899</v>
      </c>
      <c r="H72" s="273">
        <f t="shared" si="98"/>
        <v>768532.40615780908</v>
      </c>
      <c r="I72" s="273">
        <f t="shared" si="98"/>
        <v>749123.97131151194</v>
      </c>
      <c r="J72" s="273">
        <f t="shared" si="98"/>
        <v>783475.67703109328</v>
      </c>
      <c r="K72" s="273">
        <f t="shared" si="98"/>
        <v>672815.95490237186</v>
      </c>
      <c r="L72" s="273">
        <f t="shared" si="98"/>
        <v>708669.05835224723</v>
      </c>
      <c r="M72" s="273">
        <f t="shared" si="98"/>
        <v>582117.12190809206</v>
      </c>
      <c r="N72" s="21">
        <f>SUM(B72:M72)</f>
        <v>8144689.9100659741</v>
      </c>
    </row>
    <row r="73" spans="1:14">
      <c r="A73" s="27" t="s">
        <v>45</v>
      </c>
      <c r="B73" s="28">
        <f>B72-B74</f>
        <v>9911.580446634558</v>
      </c>
      <c r="C73" s="28">
        <f t="shared" ref="C73" si="99">C72-C74</f>
        <v>13535.204308563145</v>
      </c>
      <c r="D73" s="28">
        <f t="shared" ref="D73" si="100">D72-D74</f>
        <v>12150.709211987676</v>
      </c>
      <c r="E73" s="28">
        <f t="shared" ref="E73" si="101">E72-E74</f>
        <v>11197.161571282428</v>
      </c>
      <c r="F73" s="28">
        <f t="shared" ref="F73" si="102">F72-F74</f>
        <v>10969.550558944349</v>
      </c>
      <c r="G73" s="28">
        <f t="shared" ref="G73" si="103">G72-G74</f>
        <v>12711.180085653556</v>
      </c>
      <c r="H73" s="28">
        <f t="shared" ref="H73" si="104">H72-H74</f>
        <v>13959.596969974926</v>
      </c>
      <c r="I73" s="28">
        <f t="shared" ref="I73" si="105">I72-I74</f>
        <v>13607.062807327369</v>
      </c>
      <c r="J73" s="28">
        <f t="shared" ref="J73" si="106">J72-J74</f>
        <v>14231.026043274673</v>
      </c>
      <c r="K73" s="28">
        <f t="shared" ref="K73" si="107">K72-K74</f>
        <v>12221.006544618402</v>
      </c>
      <c r="L73" s="28">
        <f t="shared" ref="L73" si="108">L72-L74</f>
        <v>12872.241118818405</v>
      </c>
      <c r="M73" s="28">
        <f t="shared" ref="M73" si="109">M72-M74</f>
        <v>10573.555969857378</v>
      </c>
      <c r="N73" s="21">
        <f>SUM(B73:M73)</f>
        <v>147939.87563693686</v>
      </c>
    </row>
    <row r="74" spans="1:14">
      <c r="A74" s="27" t="s">
        <v>47</v>
      </c>
      <c r="B74" s="28">
        <f>B72/(1+'Transmission Formula Rate (7)'!$B$27)</f>
        <v>535761.10522349365</v>
      </c>
      <c r="C74" s="28">
        <f>C72/(1+'Transmission Formula Rate (7)'!$B$27)</f>
        <v>731632.66532773932</v>
      </c>
      <c r="D74" s="28">
        <f>D72/(1+'Transmission Formula Rate (7)'!$B$27)</f>
        <v>656795.09253987262</v>
      </c>
      <c r="E74" s="28">
        <f>E72/(1+'Transmission Formula Rate (7)'!$B$27)</f>
        <v>605251.97682608163</v>
      </c>
      <c r="F74" s="28">
        <f>F72/(1+'Transmission Formula Rate (7)'!$B$27)</f>
        <v>592948.6788618596</v>
      </c>
      <c r="G74" s="28">
        <f>G72/(1+'Transmission Formula Rate (7)'!$B$27)</f>
        <v>687090.81544073543</v>
      </c>
      <c r="H74" s="28">
        <f>H72/(1+'Transmission Formula Rate (7)'!$B$27)</f>
        <v>754572.80918783415</v>
      </c>
      <c r="I74" s="28">
        <f>I72/(1+'Transmission Formula Rate (7)'!$B$27)</f>
        <v>735516.90850418457</v>
      </c>
      <c r="J74" s="28">
        <f>J72/(1+'Transmission Formula Rate (7)'!$B$27)</f>
        <v>769244.6509878186</v>
      </c>
      <c r="K74" s="28">
        <f>K72/(1+'Transmission Formula Rate (7)'!$B$27)</f>
        <v>660594.94835775346</v>
      </c>
      <c r="L74" s="28">
        <f>L72/(1+'Transmission Formula Rate (7)'!$B$27)</f>
        <v>695796.81723342882</v>
      </c>
      <c r="M74" s="28">
        <f>M72/(1+'Transmission Formula Rate (7)'!$B$27)</f>
        <v>571543.56593823468</v>
      </c>
      <c r="N74" s="124">
        <f>SUM(B74:M74)</f>
        <v>7996750.0344290361</v>
      </c>
    </row>
    <row r="75" spans="1:14">
      <c r="A75" s="26" t="s">
        <v>149</v>
      </c>
      <c r="B75" s="32">
        <f>'charges (1 &amp; 2)'!F33</f>
        <v>1.274E-2</v>
      </c>
      <c r="C75" s="32">
        <f>B75</f>
        <v>1.274E-2</v>
      </c>
      <c r="D75" s="32">
        <f t="shared" ref="D75:M75" si="110">C75</f>
        <v>1.274E-2</v>
      </c>
      <c r="E75" s="32">
        <f t="shared" si="110"/>
        <v>1.274E-2</v>
      </c>
      <c r="F75" s="32">
        <f t="shared" si="110"/>
        <v>1.274E-2</v>
      </c>
      <c r="G75" s="32">
        <f t="shared" si="110"/>
        <v>1.274E-2</v>
      </c>
      <c r="H75" s="32">
        <f t="shared" si="110"/>
        <v>1.274E-2</v>
      </c>
      <c r="I75" s="32">
        <f t="shared" si="110"/>
        <v>1.274E-2</v>
      </c>
      <c r="J75" s="32">
        <f t="shared" si="110"/>
        <v>1.274E-2</v>
      </c>
      <c r="K75" s="32">
        <f t="shared" si="110"/>
        <v>1.274E-2</v>
      </c>
      <c r="L75" s="32">
        <f t="shared" si="110"/>
        <v>1.274E-2</v>
      </c>
      <c r="M75" s="32">
        <f t="shared" si="110"/>
        <v>1.274E-2</v>
      </c>
      <c r="N75" s="20"/>
    </row>
    <row r="76" spans="1:14">
      <c r="A76" s="26" t="s">
        <v>17</v>
      </c>
      <c r="B76" s="21">
        <f>B72*B75</f>
        <v>6951.8700154374328</v>
      </c>
      <c r="C76" s="21">
        <f t="shared" ref="C76" si="111">C72*C75</f>
        <v>9493.4386591664934</v>
      </c>
      <c r="D76" s="21">
        <f t="shared" ref="D76" si="112">D72*D75</f>
        <v>8522.3695143186997</v>
      </c>
      <c r="E76" s="21">
        <f t="shared" ref="E76" si="113">E72*E75</f>
        <v>7853.5620231824178</v>
      </c>
      <c r="F76" s="21">
        <f t="shared" ref="F76" si="114">F72*F75</f>
        <v>7693.9182428210424</v>
      </c>
      <c r="G76" s="21">
        <f t="shared" ref="G76" si="115">G72*G75</f>
        <v>8915.4774230061957</v>
      </c>
      <c r="H76" s="21">
        <f t="shared" ref="H76" si="116">H72*H75</f>
        <v>9791.1028544504879</v>
      </c>
      <c r="I76" s="21">
        <f t="shared" ref="I76" si="117">I72*I75</f>
        <v>9543.8393945086609</v>
      </c>
      <c r="J76" s="21">
        <f t="shared" ref="J76" si="118">J72*J75</f>
        <v>9981.4801253761289</v>
      </c>
      <c r="K76" s="21">
        <f t="shared" ref="K76" si="119">K72*K75</f>
        <v>8571.6752654562169</v>
      </c>
      <c r="L76" s="21">
        <f t="shared" ref="L76" si="120">L72*L75</f>
        <v>9028.4438034076302</v>
      </c>
      <c r="M76" s="21">
        <f t="shared" ref="M76" si="121">M72*M75</f>
        <v>7416.172133109093</v>
      </c>
      <c r="N76" s="21">
        <f>SUM(B76:M76)</f>
        <v>103763.3494542405</v>
      </c>
    </row>
    <row r="77" spans="1:14">
      <c r="A77" s="26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>
      <c r="A78" s="26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>
      <c r="B79" s="24" t="s">
        <v>0</v>
      </c>
      <c r="C79" s="24" t="s">
        <v>1</v>
      </c>
      <c r="D79" s="24" t="s">
        <v>2</v>
      </c>
      <c r="E79" s="24" t="s">
        <v>3</v>
      </c>
      <c r="F79" s="24" t="s">
        <v>4</v>
      </c>
      <c r="G79" s="24" t="s">
        <v>5</v>
      </c>
      <c r="H79" s="24" t="s">
        <v>6</v>
      </c>
      <c r="I79" s="24" t="s">
        <v>7</v>
      </c>
      <c r="J79" s="24" t="s">
        <v>8</v>
      </c>
      <c r="K79" s="24" t="s">
        <v>9</v>
      </c>
      <c r="L79" s="24" t="s">
        <v>10</v>
      </c>
      <c r="M79" s="24" t="s">
        <v>11</v>
      </c>
      <c r="N79" s="24" t="s">
        <v>12</v>
      </c>
    </row>
    <row r="80" spans="1:14">
      <c r="A80" s="25">
        <f>+A63+1</f>
        <v>2018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4">
      <c r="A81" s="26" t="s">
        <v>37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27" t="s">
        <v>82</v>
      </c>
      <c r="B82" s="273">
        <f>'LCEC Forecast'!H8</f>
        <v>547180.16422875761</v>
      </c>
      <c r="C82" s="273">
        <f>'LCEC Forecast'!H9</f>
        <v>745911.94566601235</v>
      </c>
      <c r="D82" s="273">
        <f>'LCEC Forecast'!H10</f>
        <v>669616.06321520871</v>
      </c>
      <c r="E82" s="273">
        <f>'LCEC Forecast'!H11</f>
        <v>617127.79836444475</v>
      </c>
      <c r="F82" s="273">
        <f>'LCEC Forecast'!H12</f>
        <v>607713.44733245473</v>
      </c>
      <c r="G82" s="273">
        <f>'LCEC Forecast'!H13</f>
        <v>703433.50413311669</v>
      </c>
      <c r="H82" s="273">
        <f>'LCEC Forecast'!H14</f>
        <v>771229.28889709665</v>
      </c>
      <c r="I82" s="273">
        <f>'LCEC Forecast'!H15</f>
        <v>753370.70692768029</v>
      </c>
      <c r="J82" s="273">
        <f>'LCEC Forecast'!H16</f>
        <v>787936.58582382218</v>
      </c>
      <c r="K82" s="273">
        <f>'LCEC Forecast'!H17</f>
        <v>676656.09522630903</v>
      </c>
      <c r="L82" s="273">
        <f>'LCEC Forecast'!H18</f>
        <v>711075.630955245</v>
      </c>
      <c r="M82" s="273">
        <f>'LCEC Forecast'!H19</f>
        <v>583307.69179634785</v>
      </c>
      <c r="N82" s="21">
        <f>SUM(B82:M82)</f>
        <v>8174558.9225664968</v>
      </c>
    </row>
    <row r="83" spans="1:14">
      <c r="A83" s="27" t="s">
        <v>45</v>
      </c>
      <c r="B83" s="28">
        <f>B82-B84</f>
        <v>9938.9622368502896</v>
      </c>
      <c r="C83" s="28">
        <f t="shared" ref="C83" si="122">C82-C84</f>
        <v>13548.719680727692</v>
      </c>
      <c r="D83" s="28">
        <f t="shared" ref="D83" si="123">D82-D84</f>
        <v>12162.883818832925</v>
      </c>
      <c r="E83" s="28">
        <f t="shared" ref="E83" si="124">E82-E84</f>
        <v>11209.488728269236</v>
      </c>
      <c r="F83" s="28">
        <f t="shared" ref="F83" si="125">F82-F84</f>
        <v>11038.486770397983</v>
      </c>
      <c r="G83" s="28">
        <f t="shared" ref="G83" si="126">G82-G84</f>
        <v>12777.142686757608</v>
      </c>
      <c r="H83" s="28">
        <f t="shared" ref="H83" si="127">H82-H84</f>
        <v>14008.583058022894</v>
      </c>
      <c r="I83" s="28">
        <f t="shared" ref="I83" si="128">I82-I84</f>
        <v>13684.200371293118</v>
      </c>
      <c r="J83" s="28">
        <f t="shared" ref="J83" si="129">J82-J84</f>
        <v>14312.053841669811</v>
      </c>
      <c r="K83" s="28">
        <f t="shared" ref="K83" si="130">K82-K84</f>
        <v>12290.758725269232</v>
      </c>
      <c r="L83" s="28">
        <f t="shared" ref="L83" si="131">L82-L84</f>
        <v>12915.954023241997</v>
      </c>
      <c r="M83" s="28">
        <f t="shared" ref="M83" si="132">M82-M84</f>
        <v>10595.181441563531</v>
      </c>
      <c r="N83" s="21">
        <f>SUM(B83:M83)</f>
        <v>148482.41538289632</v>
      </c>
    </row>
    <row r="84" spans="1:14">
      <c r="A84" s="27" t="s">
        <v>47</v>
      </c>
      <c r="B84" s="28">
        <f>B82/(1+'Transmission Formula Rate (7)'!$B$27)</f>
        <v>537241.20199190732</v>
      </c>
      <c r="C84" s="28">
        <f>C82/(1+'Transmission Formula Rate (7)'!$B$27)</f>
        <v>732363.22598528466</v>
      </c>
      <c r="D84" s="28">
        <f>D82/(1+'Transmission Formula Rate (7)'!$B$27)</f>
        <v>657453.17939637578</v>
      </c>
      <c r="E84" s="28">
        <f>E82/(1+'Transmission Formula Rate (7)'!$B$27)</f>
        <v>605918.30963617552</v>
      </c>
      <c r="F84" s="28">
        <f>F82/(1+'Transmission Formula Rate (7)'!$B$27)</f>
        <v>596674.96056205675</v>
      </c>
      <c r="G84" s="28">
        <f>G82/(1+'Transmission Formula Rate (7)'!$B$27)</f>
        <v>690656.36144635908</v>
      </c>
      <c r="H84" s="28">
        <f>H82/(1+'Transmission Formula Rate (7)'!$B$27)</f>
        <v>757220.70583907375</v>
      </c>
      <c r="I84" s="28">
        <f>I82/(1+'Transmission Formula Rate (7)'!$B$27)</f>
        <v>739686.50655638718</v>
      </c>
      <c r="J84" s="28">
        <f>J82/(1+'Transmission Formula Rate (7)'!$B$27)</f>
        <v>773624.53198215237</v>
      </c>
      <c r="K84" s="28">
        <f>K82/(1+'Transmission Formula Rate (7)'!$B$27)</f>
        <v>664365.3365010398</v>
      </c>
      <c r="L84" s="28">
        <f>L82/(1+'Transmission Formula Rate (7)'!$B$27)</f>
        <v>698159.676932003</v>
      </c>
      <c r="M84" s="28">
        <f>M82/(1+'Transmission Formula Rate (7)'!$B$27)</f>
        <v>572712.51035478432</v>
      </c>
      <c r="N84" s="124">
        <f>SUM(B84:M84)</f>
        <v>8026076.5071836002</v>
      </c>
    </row>
    <row r="85" spans="1:14">
      <c r="A85" s="26" t="s">
        <v>20</v>
      </c>
      <c r="B85" s="30">
        <f>'Transmission Formula Rate (7)'!B16</f>
        <v>1.59</v>
      </c>
      <c r="C85" s="30">
        <f>'Transmission Formula Rate (7)'!C16</f>
        <v>1.59</v>
      </c>
      <c r="D85" s="30">
        <f>'Transmission Formula Rate (7)'!D16</f>
        <v>1.59</v>
      </c>
      <c r="E85" s="30">
        <f>'Transmission Formula Rate (7)'!E16</f>
        <v>1.59</v>
      </c>
      <c r="F85" s="30">
        <f>'Transmission Formula Rate (7)'!F16</f>
        <v>1.59</v>
      </c>
      <c r="G85" s="30">
        <f>'Transmission Formula Rate (7)'!G16</f>
        <v>1.59</v>
      </c>
      <c r="H85" s="30">
        <f>'Transmission Formula Rate (7)'!H16</f>
        <v>1.59</v>
      </c>
      <c r="I85" s="30">
        <f>'Transmission Formula Rate (7)'!I16</f>
        <v>1.59</v>
      </c>
      <c r="J85" s="30">
        <f>'Transmission Formula Rate (7)'!J16</f>
        <v>1.59</v>
      </c>
      <c r="K85" s="30">
        <f>'Transmission Formula Rate (7)'!K16</f>
        <v>1.59</v>
      </c>
      <c r="L85" s="30">
        <f>'Transmission Formula Rate (7)'!L16</f>
        <v>1.59</v>
      </c>
      <c r="M85" s="30">
        <f>'Transmission Formula Rate (7)'!M16</f>
        <v>1.59</v>
      </c>
      <c r="N85" s="20"/>
    </row>
    <row r="86" spans="1:14">
      <c r="A86" s="26" t="s">
        <v>17</v>
      </c>
      <c r="B86" s="21">
        <f>B82*B85</f>
        <v>870016.4611237247</v>
      </c>
      <c r="C86" s="21">
        <f t="shared" ref="C86" si="133">C82*C85</f>
        <v>1185999.9936089597</v>
      </c>
      <c r="D86" s="21">
        <f t="shared" ref="D86" si="134">D82*D85</f>
        <v>1064689.5405121818</v>
      </c>
      <c r="E86" s="21">
        <f t="shared" ref="E86" si="135">E82*E85</f>
        <v>981233.19939946721</v>
      </c>
      <c r="F86" s="21">
        <f t="shared" ref="F86" si="136">F82*F85</f>
        <v>966264.38125860307</v>
      </c>
      <c r="G86" s="21">
        <f t="shared" ref="G86" si="137">G82*G85</f>
        <v>1118459.2715716555</v>
      </c>
      <c r="H86" s="21">
        <f t="shared" ref="H86" si="138">H82*H85</f>
        <v>1226254.5693463837</v>
      </c>
      <c r="I86" s="21">
        <f t="shared" ref="I86" si="139">I82*I85</f>
        <v>1197859.4240150116</v>
      </c>
      <c r="J86" s="21">
        <f t="shared" ref="J86" si="140">J82*J85</f>
        <v>1252819.1714598774</v>
      </c>
      <c r="K86" s="21">
        <f t="shared" ref="K86" si="141">K82*K85</f>
        <v>1075883.1914098314</v>
      </c>
      <c r="L86" s="21">
        <f t="shared" ref="L86" si="142">L82*L85</f>
        <v>1130610.2532188396</v>
      </c>
      <c r="M86" s="21">
        <f t="shared" ref="M86" si="143">M82*M85</f>
        <v>927459.22995619313</v>
      </c>
      <c r="N86" s="21">
        <f>SUM(B86:M86)</f>
        <v>12997548.686880728</v>
      </c>
    </row>
    <row r="88" spans="1:14">
      <c r="A88" s="26" t="s">
        <v>141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27" t="s">
        <v>82</v>
      </c>
      <c r="B89" s="273">
        <f>B82</f>
        <v>547180.16422875761</v>
      </c>
      <c r="C89" s="273">
        <f t="shared" ref="C89:M89" si="144">C82</f>
        <v>745911.94566601235</v>
      </c>
      <c r="D89" s="273">
        <f t="shared" si="144"/>
        <v>669616.06321520871</v>
      </c>
      <c r="E89" s="273">
        <f t="shared" si="144"/>
        <v>617127.79836444475</v>
      </c>
      <c r="F89" s="273">
        <f t="shared" si="144"/>
        <v>607713.44733245473</v>
      </c>
      <c r="G89" s="273">
        <f t="shared" si="144"/>
        <v>703433.50413311669</v>
      </c>
      <c r="H89" s="273">
        <f t="shared" si="144"/>
        <v>771229.28889709665</v>
      </c>
      <c r="I89" s="273">
        <f t="shared" si="144"/>
        <v>753370.70692768029</v>
      </c>
      <c r="J89" s="273">
        <f t="shared" si="144"/>
        <v>787936.58582382218</v>
      </c>
      <c r="K89" s="273">
        <f t="shared" si="144"/>
        <v>676656.09522630903</v>
      </c>
      <c r="L89" s="273">
        <f t="shared" si="144"/>
        <v>711075.630955245</v>
      </c>
      <c r="M89" s="273">
        <f t="shared" si="144"/>
        <v>583307.69179634785</v>
      </c>
      <c r="N89" s="21">
        <f>SUM(B89:M89)</f>
        <v>8174558.9225664968</v>
      </c>
    </row>
    <row r="90" spans="1:14">
      <c r="A90" s="27" t="s">
        <v>45</v>
      </c>
      <c r="B90" s="28">
        <f>B89-B91</f>
        <v>9938.9622368502896</v>
      </c>
      <c r="C90" s="28">
        <f t="shared" ref="C90" si="145">C89-C91</f>
        <v>13548.719680727692</v>
      </c>
      <c r="D90" s="28">
        <f t="shared" ref="D90" si="146">D89-D91</f>
        <v>12162.883818832925</v>
      </c>
      <c r="E90" s="28">
        <f t="shared" ref="E90" si="147">E89-E91</f>
        <v>11209.488728269236</v>
      </c>
      <c r="F90" s="28">
        <f t="shared" ref="F90" si="148">F89-F91</f>
        <v>11038.486770397983</v>
      </c>
      <c r="G90" s="28">
        <f t="shared" ref="G90" si="149">G89-G91</f>
        <v>12777.142686757608</v>
      </c>
      <c r="H90" s="28">
        <f t="shared" ref="H90" si="150">H89-H91</f>
        <v>14008.583058022894</v>
      </c>
      <c r="I90" s="28">
        <f t="shared" ref="I90" si="151">I89-I91</f>
        <v>13684.200371293118</v>
      </c>
      <c r="J90" s="28">
        <f t="shared" ref="J90" si="152">J89-J91</f>
        <v>14312.053841669811</v>
      </c>
      <c r="K90" s="28">
        <f t="shared" ref="K90" si="153">K89-K91</f>
        <v>12290.758725269232</v>
      </c>
      <c r="L90" s="28">
        <f t="shared" ref="L90" si="154">L89-L91</f>
        <v>12915.954023241997</v>
      </c>
      <c r="M90" s="28">
        <f t="shared" ref="M90" si="155">M89-M91</f>
        <v>10595.181441563531</v>
      </c>
      <c r="N90" s="21">
        <f>SUM(B90:M90)</f>
        <v>148482.41538289632</v>
      </c>
    </row>
    <row r="91" spans="1:14">
      <c r="A91" s="27" t="s">
        <v>47</v>
      </c>
      <c r="B91" s="28">
        <f>B89/(1+'Transmission Formula Rate (7)'!$B$27)</f>
        <v>537241.20199190732</v>
      </c>
      <c r="C91" s="28">
        <f>C89/(1+'Transmission Formula Rate (7)'!$B$27)</f>
        <v>732363.22598528466</v>
      </c>
      <c r="D91" s="28">
        <f>D89/(1+'Transmission Formula Rate (7)'!$B$27)</f>
        <v>657453.17939637578</v>
      </c>
      <c r="E91" s="28">
        <f>E89/(1+'Transmission Formula Rate (7)'!$B$27)</f>
        <v>605918.30963617552</v>
      </c>
      <c r="F91" s="28">
        <f>F89/(1+'Transmission Formula Rate (7)'!$B$27)</f>
        <v>596674.96056205675</v>
      </c>
      <c r="G91" s="28">
        <f>G89/(1+'Transmission Formula Rate (7)'!$B$27)</f>
        <v>690656.36144635908</v>
      </c>
      <c r="H91" s="28">
        <f>H89/(1+'Transmission Formula Rate (7)'!$B$27)</f>
        <v>757220.70583907375</v>
      </c>
      <c r="I91" s="28">
        <f>I89/(1+'Transmission Formula Rate (7)'!$B$27)</f>
        <v>739686.50655638718</v>
      </c>
      <c r="J91" s="28">
        <f>J89/(1+'Transmission Formula Rate (7)'!$B$27)</f>
        <v>773624.53198215237</v>
      </c>
      <c r="K91" s="28">
        <f>K89/(1+'Transmission Formula Rate (7)'!$B$27)</f>
        <v>664365.3365010398</v>
      </c>
      <c r="L91" s="28">
        <f>L89/(1+'Transmission Formula Rate (7)'!$B$27)</f>
        <v>698159.676932003</v>
      </c>
      <c r="M91" s="28">
        <f>M89/(1+'Transmission Formula Rate (7)'!$B$27)</f>
        <v>572712.51035478432</v>
      </c>
      <c r="N91" s="124">
        <f>SUM(B91:M91)</f>
        <v>8026076.5071836002</v>
      </c>
    </row>
    <row r="92" spans="1:14">
      <c r="A92" s="26" t="s">
        <v>149</v>
      </c>
      <c r="B92" s="32">
        <f>'charges (1 &amp; 2)'!G33</f>
        <v>1.274E-2</v>
      </c>
      <c r="C92" s="32">
        <f>B92</f>
        <v>1.274E-2</v>
      </c>
      <c r="D92" s="32">
        <f t="shared" ref="D92:M92" si="156">C92</f>
        <v>1.274E-2</v>
      </c>
      <c r="E92" s="32">
        <f t="shared" si="156"/>
        <v>1.274E-2</v>
      </c>
      <c r="F92" s="32">
        <f t="shared" si="156"/>
        <v>1.274E-2</v>
      </c>
      <c r="G92" s="32">
        <f t="shared" si="156"/>
        <v>1.274E-2</v>
      </c>
      <c r="H92" s="32">
        <f t="shared" si="156"/>
        <v>1.274E-2</v>
      </c>
      <c r="I92" s="32">
        <f t="shared" si="156"/>
        <v>1.274E-2</v>
      </c>
      <c r="J92" s="32">
        <f t="shared" si="156"/>
        <v>1.274E-2</v>
      </c>
      <c r="K92" s="32">
        <f t="shared" si="156"/>
        <v>1.274E-2</v>
      </c>
      <c r="L92" s="32">
        <f t="shared" si="156"/>
        <v>1.274E-2</v>
      </c>
      <c r="M92" s="32">
        <f t="shared" si="156"/>
        <v>1.274E-2</v>
      </c>
      <c r="N92" s="20"/>
    </row>
    <row r="93" spans="1:14">
      <c r="A93" s="26" t="s">
        <v>17</v>
      </c>
      <c r="B93" s="21">
        <f>B89*B92</f>
        <v>6971.0752922743713</v>
      </c>
      <c r="C93" s="21">
        <f t="shared" ref="C93" si="157">C89*C92</f>
        <v>9502.9181877849969</v>
      </c>
      <c r="D93" s="21">
        <f t="shared" ref="D93" si="158">D89*D92</f>
        <v>8530.9086453617583</v>
      </c>
      <c r="E93" s="21">
        <f t="shared" ref="E93" si="159">E89*E92</f>
        <v>7862.2081511630258</v>
      </c>
      <c r="F93" s="21">
        <f t="shared" ref="F93" si="160">F89*F92</f>
        <v>7742.2693190154732</v>
      </c>
      <c r="G93" s="21">
        <f t="shared" ref="G93" si="161">G89*G92</f>
        <v>8961.7428426559054</v>
      </c>
      <c r="H93" s="21">
        <f t="shared" ref="H93" si="162">H89*H92</f>
        <v>9825.4611405490105</v>
      </c>
      <c r="I93" s="21">
        <f t="shared" ref="I93" si="163">I89*I92</f>
        <v>9597.9428062586467</v>
      </c>
      <c r="J93" s="21">
        <f t="shared" ref="J93" si="164">J89*J92</f>
        <v>10038.312103395494</v>
      </c>
      <c r="K93" s="21">
        <f t="shared" ref="K93" si="165">K89*K92</f>
        <v>8620.5986531831768</v>
      </c>
      <c r="L93" s="21">
        <f t="shared" ref="L93" si="166">L89*L92</f>
        <v>9059.1035383698218</v>
      </c>
      <c r="M93" s="21">
        <f t="shared" ref="M93" si="167">M89*M92</f>
        <v>7431.3399934854715</v>
      </c>
      <c r="N93" s="21">
        <f>SUM(B93:M93)</f>
        <v>104143.88067349714</v>
      </c>
    </row>
    <row r="95" spans="1:14">
      <c r="A95" s="26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B96" s="24" t="s">
        <v>0</v>
      </c>
      <c r="C96" s="24" t="s">
        <v>1</v>
      </c>
      <c r="D96" s="24" t="s">
        <v>2</v>
      </c>
      <c r="E96" s="24" t="s">
        <v>3</v>
      </c>
      <c r="F96" s="24" t="s">
        <v>4</v>
      </c>
      <c r="G96" s="24" t="s">
        <v>5</v>
      </c>
      <c r="H96" s="24" t="s">
        <v>6</v>
      </c>
      <c r="I96" s="24" t="s">
        <v>7</v>
      </c>
      <c r="J96" s="24" t="s">
        <v>8</v>
      </c>
      <c r="K96" s="24" t="s">
        <v>9</v>
      </c>
      <c r="L96" s="24" t="s">
        <v>10</v>
      </c>
      <c r="M96" s="24" t="s">
        <v>11</v>
      </c>
      <c r="N96" s="24" t="s">
        <v>12</v>
      </c>
    </row>
    <row r="97" spans="1:14">
      <c r="A97" s="25">
        <f>+A80+1</f>
        <v>2019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4">
      <c r="A98" s="26" t="s">
        <v>37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27" t="s">
        <v>82</v>
      </c>
      <c r="B99" s="273">
        <f>'LCEC Forecast'!I8</f>
        <v>548697.51494559681</v>
      </c>
      <c r="C99" s="273">
        <f>'LCEC Forecast'!I9</f>
        <v>746658.00325638719</v>
      </c>
      <c r="D99" s="273">
        <f>'LCEC Forecast'!I10</f>
        <v>670285.33022534731</v>
      </c>
      <c r="E99" s="273">
        <f>'LCEC Forecast'!I11</f>
        <v>617809.44363929844</v>
      </c>
      <c r="F99" s="273">
        <f>'LCEC Forecast'!I12</f>
        <v>611539.23332192388</v>
      </c>
      <c r="G99" s="273">
        <f>'LCEC Forecast'!I13</f>
        <v>707083.45171994274</v>
      </c>
      <c r="H99" s="273">
        <f>'LCEC Forecast'!I14</f>
        <v>773939.0374989938</v>
      </c>
      <c r="I99" s="273">
        <f>'LCEC Forecast'!I15</f>
        <v>757647.10653756245</v>
      </c>
      <c r="J99" s="273">
        <f>'LCEC Forecast'!I16</f>
        <v>792428.03529070609</v>
      </c>
      <c r="K99" s="273">
        <f>'LCEC Forecast'!I17</f>
        <v>680523.67777017294</v>
      </c>
      <c r="L99" s="273">
        <f>'LCEC Forecast'!I18</f>
        <v>713504.06342499144</v>
      </c>
      <c r="M99" s="273">
        <f>'LCEC Forecast'!I19</f>
        <v>584501.243078314</v>
      </c>
      <c r="N99" s="21">
        <f>SUM(B99:M99)</f>
        <v>8204616.1407092372</v>
      </c>
    </row>
    <row r="100" spans="1:14">
      <c r="A100" s="27" t="s">
        <v>45</v>
      </c>
      <c r="B100" s="28">
        <f>B99-B101</f>
        <v>9966.5233446180355</v>
      </c>
      <c r="C100" s="28">
        <f t="shared" ref="C100" si="168">C99-C101</f>
        <v>13562.271045894129</v>
      </c>
      <c r="D100" s="28">
        <f t="shared" ref="D100" si="169">D99-D101</f>
        <v>12175.040362463333</v>
      </c>
      <c r="E100" s="28">
        <f t="shared" ref="E100" si="170">E99-E101</f>
        <v>11221.870110286749</v>
      </c>
      <c r="F100" s="28">
        <f t="shared" ref="F100" si="171">F99-F101</f>
        <v>11107.978219396784</v>
      </c>
      <c r="G100" s="28">
        <f t="shared" ref="G100" si="172">G99-G101</f>
        <v>12843.44021288061</v>
      </c>
      <c r="H100" s="28">
        <f t="shared" ref="H100" si="173">H99-H101</f>
        <v>14057.80284116976</v>
      </c>
      <c r="I100" s="28">
        <f t="shared" ref="I100" si="174">I99-I101</f>
        <v>13761.876751050469</v>
      </c>
      <c r="J100" s="28">
        <f t="shared" ref="J100" si="175">J99-J101</f>
        <v>14393.636379850795</v>
      </c>
      <c r="K100" s="28">
        <f t="shared" ref="K100" si="176">K99-K101</f>
        <v>12361.00936548668</v>
      </c>
      <c r="L100" s="28">
        <f t="shared" ref="L100" si="177">L99-L101</f>
        <v>12960.06398955558</v>
      </c>
      <c r="M100" s="28">
        <f t="shared" ref="M100" si="178">M99-M101</f>
        <v>10616.861067205435</v>
      </c>
      <c r="N100" s="21">
        <f>SUM(B100:M100)</f>
        <v>149028.37368985836</v>
      </c>
    </row>
    <row r="101" spans="1:14">
      <c r="A101" s="27" t="s">
        <v>47</v>
      </c>
      <c r="B101" s="28">
        <f>B99/(1+'Transmission Formula Rate (7)'!$B$27)</f>
        <v>538730.99160097877</v>
      </c>
      <c r="C101" s="28">
        <f>C99/(1+'Transmission Formula Rate (7)'!$B$27)</f>
        <v>733095.73221049306</v>
      </c>
      <c r="D101" s="28">
        <f>D99/(1+'Transmission Formula Rate (7)'!$B$27)</f>
        <v>658110.28986288398</v>
      </c>
      <c r="E101" s="28">
        <f>E99/(1+'Transmission Formula Rate (7)'!$B$27)</f>
        <v>606587.57352901169</v>
      </c>
      <c r="F101" s="28">
        <f>F99/(1+'Transmission Formula Rate (7)'!$B$27)</f>
        <v>600431.2551025271</v>
      </c>
      <c r="G101" s="28">
        <f>G99/(1+'Transmission Formula Rate (7)'!$B$27)</f>
        <v>694240.01150706213</v>
      </c>
      <c r="H101" s="28">
        <f>H99/(1+'Transmission Formula Rate (7)'!$B$27)</f>
        <v>759881.23465782404</v>
      </c>
      <c r="I101" s="28">
        <f>I99/(1+'Transmission Formula Rate (7)'!$B$27)</f>
        <v>743885.22978651198</v>
      </c>
      <c r="J101" s="28">
        <f>J99/(1+'Transmission Formula Rate (7)'!$B$27)</f>
        <v>778034.39891085529</v>
      </c>
      <c r="K101" s="28">
        <f>K99/(1+'Transmission Formula Rate (7)'!$B$27)</f>
        <v>668162.66840468626</v>
      </c>
      <c r="L101" s="28">
        <f>L99/(1+'Transmission Formula Rate (7)'!$B$27)</f>
        <v>700543.99943543586</v>
      </c>
      <c r="M101" s="28">
        <f>M99/(1+'Transmission Formula Rate (7)'!$B$27)</f>
        <v>573884.38201110857</v>
      </c>
      <c r="N101" s="124">
        <f>SUM(B101:M101)</f>
        <v>8055587.767019378</v>
      </c>
    </row>
    <row r="102" spans="1:14">
      <c r="A102" s="26" t="s">
        <v>20</v>
      </c>
      <c r="B102" s="30">
        <f>'Transmission Formula Rate (7)'!B20</f>
        <v>1.59</v>
      </c>
      <c r="C102" s="30">
        <f>'Transmission Formula Rate (7)'!C20</f>
        <v>1.59</v>
      </c>
      <c r="D102" s="30">
        <f>'Transmission Formula Rate (7)'!D20</f>
        <v>1.59</v>
      </c>
      <c r="E102" s="30">
        <f>'Transmission Formula Rate (7)'!E20</f>
        <v>1.59</v>
      </c>
      <c r="F102" s="30">
        <f>'Transmission Formula Rate (7)'!F20</f>
        <v>1.59</v>
      </c>
      <c r="G102" s="30">
        <f>'Transmission Formula Rate (7)'!G20</f>
        <v>1.59</v>
      </c>
      <c r="H102" s="30">
        <f>'Transmission Formula Rate (7)'!H20</f>
        <v>1.59</v>
      </c>
      <c r="I102" s="30">
        <f>'Transmission Formula Rate (7)'!I20</f>
        <v>1.59</v>
      </c>
      <c r="J102" s="30">
        <f>'Transmission Formula Rate (7)'!J20</f>
        <v>1.59</v>
      </c>
      <c r="K102" s="30">
        <f>'Transmission Formula Rate (7)'!K20</f>
        <v>1.59</v>
      </c>
      <c r="L102" s="30">
        <f>'Transmission Formula Rate (7)'!L20</f>
        <v>1.59</v>
      </c>
      <c r="M102" s="30">
        <f>'Transmission Formula Rate (7)'!M20</f>
        <v>1.59</v>
      </c>
      <c r="N102" s="20"/>
    </row>
    <row r="103" spans="1:14">
      <c r="A103" s="26" t="s">
        <v>17</v>
      </c>
      <c r="B103" s="21">
        <f>B99*B102</f>
        <v>872429.04876349901</v>
      </c>
      <c r="C103" s="21">
        <f t="shared" ref="C103" si="179">C99*C102</f>
        <v>1187186.2251776557</v>
      </c>
      <c r="D103" s="21">
        <f t="shared" ref="D103" si="180">D99*D102</f>
        <v>1065753.6750583022</v>
      </c>
      <c r="E103" s="21">
        <f t="shared" ref="E103" si="181">E99*E102</f>
        <v>982317.01538648456</v>
      </c>
      <c r="F103" s="21">
        <f t="shared" ref="F103" si="182">F99*F102</f>
        <v>972347.38098185905</v>
      </c>
      <c r="G103" s="21">
        <f t="shared" ref="G103" si="183">G99*G102</f>
        <v>1124262.688234709</v>
      </c>
      <c r="H103" s="21">
        <f t="shared" ref="H103" si="184">H99*H102</f>
        <v>1230563.0696234002</v>
      </c>
      <c r="I103" s="21">
        <f t="shared" ref="I103" si="185">I99*I102</f>
        <v>1204658.8993947243</v>
      </c>
      <c r="J103" s="21">
        <f t="shared" ref="J103" si="186">J99*J102</f>
        <v>1259960.5761122229</v>
      </c>
      <c r="K103" s="21">
        <f t="shared" ref="K103" si="187">K99*K102</f>
        <v>1082032.6476545751</v>
      </c>
      <c r="L103" s="21">
        <f t="shared" ref="L103" si="188">L99*L102</f>
        <v>1134471.4608457366</v>
      </c>
      <c r="M103" s="21">
        <f t="shared" ref="M103" si="189">M99*M102</f>
        <v>929356.97649451927</v>
      </c>
      <c r="N103" s="21">
        <f>SUM(B103:M103)</f>
        <v>13045339.663727686</v>
      </c>
    </row>
    <row r="105" spans="1:14">
      <c r="A105" s="26" t="s">
        <v>141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27" t="s">
        <v>82</v>
      </c>
      <c r="B106" s="273">
        <f>B99</f>
        <v>548697.51494559681</v>
      </c>
      <c r="C106" s="273">
        <f t="shared" ref="C106:M106" si="190">C99</f>
        <v>746658.00325638719</v>
      </c>
      <c r="D106" s="273">
        <f t="shared" si="190"/>
        <v>670285.33022534731</v>
      </c>
      <c r="E106" s="273">
        <f t="shared" si="190"/>
        <v>617809.44363929844</v>
      </c>
      <c r="F106" s="273">
        <f t="shared" si="190"/>
        <v>611539.23332192388</v>
      </c>
      <c r="G106" s="273">
        <f t="shared" si="190"/>
        <v>707083.45171994274</v>
      </c>
      <c r="H106" s="273">
        <f t="shared" si="190"/>
        <v>773939.0374989938</v>
      </c>
      <c r="I106" s="273">
        <f t="shared" si="190"/>
        <v>757647.10653756245</v>
      </c>
      <c r="J106" s="273">
        <f t="shared" si="190"/>
        <v>792428.03529070609</v>
      </c>
      <c r="K106" s="273">
        <f t="shared" si="190"/>
        <v>680523.67777017294</v>
      </c>
      <c r="L106" s="273">
        <f t="shared" si="190"/>
        <v>713504.06342499144</v>
      </c>
      <c r="M106" s="273">
        <f t="shared" si="190"/>
        <v>584501.243078314</v>
      </c>
      <c r="N106" s="21">
        <f>SUM(B106:M106)</f>
        <v>8204616.1407092372</v>
      </c>
    </row>
    <row r="107" spans="1:14">
      <c r="A107" s="27" t="s">
        <v>45</v>
      </c>
      <c r="B107" s="28">
        <f>B106-B108</f>
        <v>9966.5233446180355</v>
      </c>
      <c r="C107" s="28">
        <f t="shared" ref="C107" si="191">C106-C108</f>
        <v>13562.271045894129</v>
      </c>
      <c r="D107" s="28">
        <f t="shared" ref="D107" si="192">D106-D108</f>
        <v>12175.040362463333</v>
      </c>
      <c r="E107" s="28">
        <f t="shared" ref="E107" si="193">E106-E108</f>
        <v>11221.870110286749</v>
      </c>
      <c r="F107" s="28">
        <f t="shared" ref="F107" si="194">F106-F108</f>
        <v>11107.978219396784</v>
      </c>
      <c r="G107" s="28">
        <f t="shared" ref="G107" si="195">G106-G108</f>
        <v>12843.44021288061</v>
      </c>
      <c r="H107" s="28">
        <f t="shared" ref="H107" si="196">H106-H108</f>
        <v>14057.80284116976</v>
      </c>
      <c r="I107" s="28">
        <f t="shared" ref="I107" si="197">I106-I108</f>
        <v>13761.876751050469</v>
      </c>
      <c r="J107" s="28">
        <f t="shared" ref="J107" si="198">J106-J108</f>
        <v>14393.636379850795</v>
      </c>
      <c r="K107" s="28">
        <f t="shared" ref="K107" si="199">K106-K108</f>
        <v>12361.00936548668</v>
      </c>
      <c r="L107" s="28">
        <f t="shared" ref="L107" si="200">L106-L108</f>
        <v>12960.06398955558</v>
      </c>
      <c r="M107" s="28">
        <f t="shared" ref="M107" si="201">M106-M108</f>
        <v>10616.861067205435</v>
      </c>
      <c r="N107" s="21">
        <f>SUM(B107:M107)</f>
        <v>149028.37368985836</v>
      </c>
    </row>
    <row r="108" spans="1:14">
      <c r="A108" s="27" t="s">
        <v>47</v>
      </c>
      <c r="B108" s="28">
        <f>B106/(1+'Transmission Formula Rate (7)'!$B$27)</f>
        <v>538730.99160097877</v>
      </c>
      <c r="C108" s="28">
        <f>C106/(1+'Transmission Formula Rate (7)'!$B$27)</f>
        <v>733095.73221049306</v>
      </c>
      <c r="D108" s="28">
        <f>D106/(1+'Transmission Formula Rate (7)'!$B$27)</f>
        <v>658110.28986288398</v>
      </c>
      <c r="E108" s="28">
        <f>E106/(1+'Transmission Formula Rate (7)'!$B$27)</f>
        <v>606587.57352901169</v>
      </c>
      <c r="F108" s="28">
        <f>F106/(1+'Transmission Formula Rate (7)'!$B$27)</f>
        <v>600431.2551025271</v>
      </c>
      <c r="G108" s="28">
        <f>G106/(1+'Transmission Formula Rate (7)'!$B$27)</f>
        <v>694240.01150706213</v>
      </c>
      <c r="H108" s="28">
        <f>H106/(1+'Transmission Formula Rate (7)'!$B$27)</f>
        <v>759881.23465782404</v>
      </c>
      <c r="I108" s="28">
        <f>I106/(1+'Transmission Formula Rate (7)'!$B$27)</f>
        <v>743885.22978651198</v>
      </c>
      <c r="J108" s="28">
        <f>J106/(1+'Transmission Formula Rate (7)'!$B$27)</f>
        <v>778034.39891085529</v>
      </c>
      <c r="K108" s="28">
        <f>K106/(1+'Transmission Formula Rate (7)'!$B$27)</f>
        <v>668162.66840468626</v>
      </c>
      <c r="L108" s="28">
        <f>L106/(1+'Transmission Formula Rate (7)'!$B$27)</f>
        <v>700543.99943543586</v>
      </c>
      <c r="M108" s="28">
        <f>M106/(1+'Transmission Formula Rate (7)'!$B$27)</f>
        <v>573884.38201110857</v>
      </c>
      <c r="N108" s="124">
        <f>SUM(B108:M108)</f>
        <v>8055587.767019378</v>
      </c>
    </row>
    <row r="109" spans="1:14">
      <c r="A109" s="26" t="s">
        <v>149</v>
      </c>
      <c r="B109" s="32">
        <f>'charges (1 &amp; 2)'!H33</f>
        <v>1.274E-2</v>
      </c>
      <c r="C109" s="32">
        <f>B109</f>
        <v>1.274E-2</v>
      </c>
      <c r="D109" s="32">
        <f t="shared" ref="D109" si="202">C109</f>
        <v>1.274E-2</v>
      </c>
      <c r="E109" s="32">
        <f t="shared" ref="E109" si="203">D109</f>
        <v>1.274E-2</v>
      </c>
      <c r="F109" s="32">
        <f t="shared" ref="F109" si="204">E109</f>
        <v>1.274E-2</v>
      </c>
      <c r="G109" s="32">
        <f t="shared" ref="G109" si="205">F109</f>
        <v>1.274E-2</v>
      </c>
      <c r="H109" s="32">
        <f t="shared" ref="H109" si="206">G109</f>
        <v>1.274E-2</v>
      </c>
      <c r="I109" s="32">
        <f t="shared" ref="I109" si="207">H109</f>
        <v>1.274E-2</v>
      </c>
      <c r="J109" s="32">
        <f t="shared" ref="J109" si="208">I109</f>
        <v>1.274E-2</v>
      </c>
      <c r="K109" s="32">
        <f t="shared" ref="K109" si="209">J109</f>
        <v>1.274E-2</v>
      </c>
      <c r="L109" s="32">
        <f t="shared" ref="L109" si="210">K109</f>
        <v>1.274E-2</v>
      </c>
      <c r="M109" s="32">
        <f t="shared" ref="M109" si="211">L109</f>
        <v>1.274E-2</v>
      </c>
      <c r="N109" s="20"/>
    </row>
    <row r="110" spans="1:14">
      <c r="A110" s="26" t="s">
        <v>17</v>
      </c>
      <c r="B110" s="21">
        <f>B106*B109</f>
        <v>6990.4063404069029</v>
      </c>
      <c r="C110" s="21">
        <f t="shared" ref="C110" si="212">C106*C109</f>
        <v>9512.4229614863725</v>
      </c>
      <c r="D110" s="21">
        <f t="shared" ref="D110" si="213">D106*D109</f>
        <v>8539.4351070709236</v>
      </c>
      <c r="E110" s="21">
        <f t="shared" ref="E110" si="214">E106*E109</f>
        <v>7870.8923119646615</v>
      </c>
      <c r="F110" s="21">
        <f t="shared" ref="F110" si="215">F106*F109</f>
        <v>7791.0098325213103</v>
      </c>
      <c r="G110" s="21">
        <f t="shared" ref="G110" si="216">G106*G109</f>
        <v>9008.2431749120697</v>
      </c>
      <c r="H110" s="21">
        <f t="shared" ref="H110" si="217">H106*H109</f>
        <v>9859.9833377371815</v>
      </c>
      <c r="I110" s="21">
        <f t="shared" ref="I110" si="218">I106*I109</f>
        <v>9652.4241372885444</v>
      </c>
      <c r="J110" s="21">
        <f t="shared" ref="J110" si="219">J106*J109</f>
        <v>10095.533169603596</v>
      </c>
      <c r="K110" s="21">
        <f t="shared" ref="K110" si="220">K106*K109</f>
        <v>8669.871654792003</v>
      </c>
      <c r="L110" s="21">
        <f t="shared" ref="L110" si="221">L106*L109</f>
        <v>9090.0417680343908</v>
      </c>
      <c r="M110" s="21">
        <f t="shared" ref="M110" si="222">M106*M109</f>
        <v>7446.5458368177206</v>
      </c>
      <c r="N110" s="21">
        <f>SUM(B110:M110)</f>
        <v>104526.80963263569</v>
      </c>
    </row>
    <row r="113" spans="1:14">
      <c r="B113" s="24" t="s">
        <v>0</v>
      </c>
      <c r="C113" s="24" t="s">
        <v>1</v>
      </c>
      <c r="D113" s="24" t="s">
        <v>2</v>
      </c>
      <c r="E113" s="24" t="s">
        <v>3</v>
      </c>
      <c r="F113" s="24" t="s">
        <v>4</v>
      </c>
      <c r="G113" s="24" t="s">
        <v>5</v>
      </c>
      <c r="H113" s="24" t="s">
        <v>6</v>
      </c>
      <c r="I113" s="24" t="s">
        <v>7</v>
      </c>
      <c r="J113" s="24" t="s">
        <v>8</v>
      </c>
      <c r="K113" s="24" t="s">
        <v>9</v>
      </c>
      <c r="L113" s="24" t="s">
        <v>10</v>
      </c>
      <c r="M113" s="24" t="s">
        <v>11</v>
      </c>
      <c r="N113" s="24" t="s">
        <v>12</v>
      </c>
    </row>
    <row r="114" spans="1:14">
      <c r="A114" s="25">
        <f>+A97+1</f>
        <v>2020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</row>
    <row r="115" spans="1:14">
      <c r="A115" s="26" t="s">
        <v>37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>
      <c r="A116" s="27" t="s">
        <v>82</v>
      </c>
      <c r="B116" s="273">
        <f>'LCEC Forecast'!$J8</f>
        <v>550221.77617318288</v>
      </c>
      <c r="C116" s="273">
        <f>'LCEC Forecast'!$J9</f>
        <v>747406.04240742722</v>
      </c>
      <c r="D116" s="273">
        <f>'LCEC Forecast'!$J10</f>
        <v>670954.59723548579</v>
      </c>
      <c r="E116" s="273">
        <f>'LCEC Forecast'!$J11</f>
        <v>618490.09381156112</v>
      </c>
      <c r="F116" s="273">
        <f>'LCEC Forecast'!$J12</f>
        <v>615396.54264164332</v>
      </c>
      <c r="G116" s="273">
        <f>'LCEC Forecast'!$J13</f>
        <v>710755.72017741424</v>
      </c>
      <c r="H116" s="273">
        <f>'LCEC Forecast'!$J14</f>
        <v>776661.65196350031</v>
      </c>
      <c r="I116" s="273">
        <f>'LCEC Forecast'!$J15</f>
        <v>761951.25633511215</v>
      </c>
      <c r="J116" s="273">
        <f>'LCEC Forecast'!$J16</f>
        <v>796951.99579781992</v>
      </c>
      <c r="K116" s="273">
        <f>'LCEC Forecast'!$J17</f>
        <v>684416.93206816178</v>
      </c>
      <c r="L116" s="273">
        <f>'LCEC Forecast'!$J18</f>
        <v>715936.47041596507</v>
      </c>
      <c r="M116" s="273">
        <f>'LCEC Forecast'!$J19</f>
        <v>585700.75714770041</v>
      </c>
      <c r="N116" s="21">
        <f>SUM(B116:M116)</f>
        <v>8234843.8361749733</v>
      </c>
    </row>
    <row r="117" spans="1:14">
      <c r="A117" s="27" t="s">
        <v>45</v>
      </c>
      <c r="B117" s="28">
        <f>B116-B118</f>
        <v>9994.2099746724125</v>
      </c>
      <c r="C117" s="28">
        <f t="shared" ref="C117" si="223">C116-C118</f>
        <v>13575.858404062223</v>
      </c>
      <c r="D117" s="28">
        <f t="shared" ref="D117" si="224">D116-D118</f>
        <v>12187.196906093741</v>
      </c>
      <c r="E117" s="28">
        <f t="shared" ref="E117" si="225">E116-E118</f>
        <v>11234.233417293872</v>
      </c>
      <c r="F117" s="28">
        <f t="shared" ref="F117" si="226">F116-F118</f>
        <v>11178.042257113731</v>
      </c>
      <c r="G117" s="28">
        <f t="shared" ref="G117" si="227">G116-G118</f>
        <v>12910.143174552941</v>
      </c>
      <c r="H117" s="28">
        <f t="shared" ref="H117" si="228">H116-H118</f>
        <v>14107.256319415523</v>
      </c>
      <c r="I117" s="28">
        <f t="shared" ref="I117" si="229">I116-I118</f>
        <v>13840.057184290141</v>
      </c>
      <c r="J117" s="28">
        <f t="shared" ref="J117" si="230">J116-J118</f>
        <v>14475.809447481181</v>
      </c>
      <c r="K117" s="28">
        <f t="shared" ref="K117" si="231">K116-K118</f>
        <v>12431.726306589087</v>
      </c>
      <c r="L117" s="28">
        <f t="shared" ref="L117" si="232">L116-L118</f>
        <v>13004.246148939943</v>
      </c>
      <c r="M117" s="28">
        <f t="shared" ref="M117" si="233">M116-M118</f>
        <v>10638.649000719073</v>
      </c>
      <c r="N117" s="21">
        <f>SUM(B117:M117)</f>
        <v>149577.42854122387</v>
      </c>
    </row>
    <row r="118" spans="1:14">
      <c r="A118" s="27" t="s">
        <v>47</v>
      </c>
      <c r="B118" s="28">
        <f>B116/(1+'Transmission Formula Rate (7)'!$B$27)</f>
        <v>540227.56619851047</v>
      </c>
      <c r="C118" s="28">
        <f>C116/(1+'Transmission Formula Rate (7)'!$B$27)</f>
        <v>733830.18400336499</v>
      </c>
      <c r="D118" s="28">
        <f>D116/(1+'Transmission Formula Rate (7)'!$B$27)</f>
        <v>658767.40032939205</v>
      </c>
      <c r="E118" s="28">
        <f>E116/(1+'Transmission Formula Rate (7)'!$B$27)</f>
        <v>607255.86039426725</v>
      </c>
      <c r="F118" s="28">
        <f>F116/(1+'Transmission Formula Rate (7)'!$B$27)</f>
        <v>604218.50038452959</v>
      </c>
      <c r="G118" s="28">
        <f>G116/(1+'Transmission Formula Rate (7)'!$B$27)</f>
        <v>697845.5770028613</v>
      </c>
      <c r="H118" s="28">
        <f>H116/(1+'Transmission Formula Rate (7)'!$B$27)</f>
        <v>762554.39564408478</v>
      </c>
      <c r="I118" s="28">
        <f>I116/(1+'Transmission Formula Rate (7)'!$B$27)</f>
        <v>748111.19915082201</v>
      </c>
      <c r="J118" s="28">
        <f>J116/(1+'Transmission Formula Rate (7)'!$B$27)</f>
        <v>782476.18635033874</v>
      </c>
      <c r="K118" s="28">
        <f>K116/(1+'Transmission Formula Rate (7)'!$B$27)</f>
        <v>671985.2057615727</v>
      </c>
      <c r="L118" s="28">
        <f>L116/(1+'Transmission Formula Rate (7)'!$B$27)</f>
        <v>702932.22426702513</v>
      </c>
      <c r="M118" s="28">
        <f>M116/(1+'Transmission Formula Rate (7)'!$B$27)</f>
        <v>575062.10814698134</v>
      </c>
      <c r="N118" s="124">
        <f>SUM(B118:M118)</f>
        <v>8085266.4076337507</v>
      </c>
    </row>
    <row r="119" spans="1:14">
      <c r="A119" s="26" t="s">
        <v>20</v>
      </c>
      <c r="B119" s="30">
        <f>B102</f>
        <v>1.59</v>
      </c>
      <c r="C119" s="30">
        <f t="shared" ref="C119:M119" si="234">C102</f>
        <v>1.59</v>
      </c>
      <c r="D119" s="30">
        <f t="shared" si="234"/>
        <v>1.59</v>
      </c>
      <c r="E119" s="30">
        <f t="shared" si="234"/>
        <v>1.59</v>
      </c>
      <c r="F119" s="30">
        <f t="shared" si="234"/>
        <v>1.59</v>
      </c>
      <c r="G119" s="30">
        <f t="shared" si="234"/>
        <v>1.59</v>
      </c>
      <c r="H119" s="30">
        <f t="shared" si="234"/>
        <v>1.59</v>
      </c>
      <c r="I119" s="30">
        <f t="shared" si="234"/>
        <v>1.59</v>
      </c>
      <c r="J119" s="30">
        <f t="shared" si="234"/>
        <v>1.59</v>
      </c>
      <c r="K119" s="30">
        <f t="shared" si="234"/>
        <v>1.59</v>
      </c>
      <c r="L119" s="30">
        <f t="shared" si="234"/>
        <v>1.59</v>
      </c>
      <c r="M119" s="30">
        <f t="shared" si="234"/>
        <v>1.59</v>
      </c>
      <c r="N119" s="20"/>
    </row>
    <row r="120" spans="1:14">
      <c r="A120" s="26" t="s">
        <v>17</v>
      </c>
      <c r="B120" s="21">
        <f>B116*B119</f>
        <v>874852.62411536078</v>
      </c>
      <c r="C120" s="21">
        <f t="shared" ref="C120" si="235">C116*C119</f>
        <v>1188375.6074278094</v>
      </c>
      <c r="D120" s="21">
        <f t="shared" ref="D120" si="236">D116*D119</f>
        <v>1066817.8096044224</v>
      </c>
      <c r="E120" s="21">
        <f t="shared" ref="E120" si="237">E116*E119</f>
        <v>983399.2491603822</v>
      </c>
      <c r="F120" s="21">
        <f t="shared" ref="F120" si="238">F116*F119</f>
        <v>978480.50280021294</v>
      </c>
      <c r="G120" s="21">
        <f t="shared" ref="G120" si="239">G116*G119</f>
        <v>1130101.5950820886</v>
      </c>
      <c r="H120" s="21">
        <f t="shared" ref="H120" si="240">H116*H119</f>
        <v>1234892.0266219655</v>
      </c>
      <c r="I120" s="21">
        <f t="shared" ref="I120" si="241">I116*I119</f>
        <v>1211502.4975728283</v>
      </c>
      <c r="J120" s="21">
        <f t="shared" ref="J120" si="242">J116*J119</f>
        <v>1267153.6733185337</v>
      </c>
      <c r="K120" s="21">
        <f t="shared" ref="K120" si="243">K116*K119</f>
        <v>1088222.9219883773</v>
      </c>
      <c r="L120" s="21">
        <f t="shared" ref="L120" si="244">L116*L119</f>
        <v>1138338.9879613845</v>
      </c>
      <c r="M120" s="21">
        <f t="shared" ref="M120" si="245">M116*M119</f>
        <v>931264.2038648437</v>
      </c>
      <c r="N120" s="21">
        <f>SUM(B120:M120)</f>
        <v>13093401.699518209</v>
      </c>
    </row>
    <row r="122" spans="1:14">
      <c r="A122" s="26" t="s">
        <v>141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>
      <c r="A123" s="27" t="s">
        <v>82</v>
      </c>
      <c r="B123" s="273">
        <f>B116</f>
        <v>550221.77617318288</v>
      </c>
      <c r="C123" s="273">
        <f t="shared" ref="C123:M123" si="246">C116</f>
        <v>747406.04240742722</v>
      </c>
      <c r="D123" s="273">
        <f t="shared" si="246"/>
        <v>670954.59723548579</v>
      </c>
      <c r="E123" s="273">
        <f t="shared" si="246"/>
        <v>618490.09381156112</v>
      </c>
      <c r="F123" s="273">
        <f t="shared" si="246"/>
        <v>615396.54264164332</v>
      </c>
      <c r="G123" s="273">
        <f t="shared" si="246"/>
        <v>710755.72017741424</v>
      </c>
      <c r="H123" s="273">
        <f t="shared" si="246"/>
        <v>776661.65196350031</v>
      </c>
      <c r="I123" s="273">
        <f t="shared" si="246"/>
        <v>761951.25633511215</v>
      </c>
      <c r="J123" s="273">
        <f t="shared" si="246"/>
        <v>796951.99579781992</v>
      </c>
      <c r="K123" s="273">
        <f t="shared" si="246"/>
        <v>684416.93206816178</v>
      </c>
      <c r="L123" s="273">
        <f t="shared" si="246"/>
        <v>715936.47041596507</v>
      </c>
      <c r="M123" s="273">
        <f t="shared" si="246"/>
        <v>585700.75714770041</v>
      </c>
      <c r="N123" s="21">
        <f>SUM(B123:M123)</f>
        <v>8234843.8361749733</v>
      </c>
    </row>
    <row r="124" spans="1:14">
      <c r="A124" s="27" t="s">
        <v>45</v>
      </c>
      <c r="B124" s="28">
        <f>B123-B125</f>
        <v>9994.2099746724125</v>
      </c>
      <c r="C124" s="28">
        <f t="shared" ref="C124" si="247">C123-C125</f>
        <v>13575.858404062223</v>
      </c>
      <c r="D124" s="28">
        <f t="shared" ref="D124" si="248">D123-D125</f>
        <v>12187.196906093741</v>
      </c>
      <c r="E124" s="28">
        <f t="shared" ref="E124" si="249">E123-E125</f>
        <v>11234.233417293872</v>
      </c>
      <c r="F124" s="28">
        <f t="shared" ref="F124" si="250">F123-F125</f>
        <v>11178.042257113731</v>
      </c>
      <c r="G124" s="28">
        <f t="shared" ref="G124" si="251">G123-G125</f>
        <v>12910.143174552941</v>
      </c>
      <c r="H124" s="28">
        <f t="shared" ref="H124" si="252">H123-H125</f>
        <v>14107.256319415523</v>
      </c>
      <c r="I124" s="28">
        <f t="shared" ref="I124" si="253">I123-I125</f>
        <v>13840.057184290141</v>
      </c>
      <c r="J124" s="28">
        <f t="shared" ref="J124" si="254">J123-J125</f>
        <v>14475.809447481181</v>
      </c>
      <c r="K124" s="28">
        <f t="shared" ref="K124" si="255">K123-K125</f>
        <v>12431.726306589087</v>
      </c>
      <c r="L124" s="28">
        <f t="shared" ref="L124" si="256">L123-L125</f>
        <v>13004.246148939943</v>
      </c>
      <c r="M124" s="28">
        <f t="shared" ref="M124" si="257">M123-M125</f>
        <v>10638.649000719073</v>
      </c>
      <c r="N124" s="21">
        <f>SUM(B124:M124)</f>
        <v>149577.42854122387</v>
      </c>
    </row>
    <row r="125" spans="1:14">
      <c r="A125" s="27" t="s">
        <v>47</v>
      </c>
      <c r="B125" s="28">
        <f>B123/(1+'Transmission Formula Rate (7)'!$B$27)</f>
        <v>540227.56619851047</v>
      </c>
      <c r="C125" s="28">
        <f>C123/(1+'Transmission Formula Rate (7)'!$B$27)</f>
        <v>733830.18400336499</v>
      </c>
      <c r="D125" s="28">
        <f>D123/(1+'Transmission Formula Rate (7)'!$B$27)</f>
        <v>658767.40032939205</v>
      </c>
      <c r="E125" s="28">
        <f>E123/(1+'Transmission Formula Rate (7)'!$B$27)</f>
        <v>607255.86039426725</v>
      </c>
      <c r="F125" s="28">
        <f>F123/(1+'Transmission Formula Rate (7)'!$B$27)</f>
        <v>604218.50038452959</v>
      </c>
      <c r="G125" s="28">
        <f>G123/(1+'Transmission Formula Rate (7)'!$B$27)</f>
        <v>697845.5770028613</v>
      </c>
      <c r="H125" s="28">
        <f>H123/(1+'Transmission Formula Rate (7)'!$B$27)</f>
        <v>762554.39564408478</v>
      </c>
      <c r="I125" s="28">
        <f>I123/(1+'Transmission Formula Rate (7)'!$B$27)</f>
        <v>748111.19915082201</v>
      </c>
      <c r="J125" s="28">
        <f>J123/(1+'Transmission Formula Rate (7)'!$B$27)</f>
        <v>782476.18635033874</v>
      </c>
      <c r="K125" s="28">
        <f>K123/(1+'Transmission Formula Rate (7)'!$B$27)</f>
        <v>671985.2057615727</v>
      </c>
      <c r="L125" s="28">
        <f>L123/(1+'Transmission Formula Rate (7)'!$B$27)</f>
        <v>702932.22426702513</v>
      </c>
      <c r="M125" s="28">
        <f>M123/(1+'Transmission Formula Rate (7)'!$B$27)</f>
        <v>575062.10814698134</v>
      </c>
      <c r="N125" s="124">
        <f>SUM(B125:M125)</f>
        <v>8085266.4076337507</v>
      </c>
    </row>
    <row r="126" spans="1:14">
      <c r="A126" s="26" t="s">
        <v>149</v>
      </c>
      <c r="B126" s="32">
        <f>B109</f>
        <v>1.274E-2</v>
      </c>
      <c r="C126" s="32">
        <f>B126</f>
        <v>1.274E-2</v>
      </c>
      <c r="D126" s="32">
        <f t="shared" ref="D126" si="258">C126</f>
        <v>1.274E-2</v>
      </c>
      <c r="E126" s="32">
        <f t="shared" ref="E126" si="259">D126</f>
        <v>1.274E-2</v>
      </c>
      <c r="F126" s="32">
        <f t="shared" ref="F126" si="260">E126</f>
        <v>1.274E-2</v>
      </c>
      <c r="G126" s="32">
        <f t="shared" ref="G126" si="261">F126</f>
        <v>1.274E-2</v>
      </c>
      <c r="H126" s="32">
        <f t="shared" ref="H126" si="262">G126</f>
        <v>1.274E-2</v>
      </c>
      <c r="I126" s="32">
        <f t="shared" ref="I126" si="263">H126</f>
        <v>1.274E-2</v>
      </c>
      <c r="J126" s="32">
        <f t="shared" ref="J126" si="264">I126</f>
        <v>1.274E-2</v>
      </c>
      <c r="K126" s="32">
        <f t="shared" ref="K126" si="265">J126</f>
        <v>1.274E-2</v>
      </c>
      <c r="L126" s="32">
        <f t="shared" ref="L126" si="266">K126</f>
        <v>1.274E-2</v>
      </c>
      <c r="M126" s="32">
        <f t="shared" ref="M126" si="267">L126</f>
        <v>1.274E-2</v>
      </c>
      <c r="N126" s="20"/>
    </row>
    <row r="127" spans="1:14">
      <c r="A127" s="26" t="s">
        <v>17</v>
      </c>
      <c r="B127" s="21">
        <f>B123*B126</f>
        <v>7009.8254284463501</v>
      </c>
      <c r="C127" s="21">
        <f t="shared" ref="C127" si="268">C123*C126</f>
        <v>9521.952980270622</v>
      </c>
      <c r="D127" s="21">
        <f t="shared" ref="D127" si="269">D123*D126</f>
        <v>8547.9615687800888</v>
      </c>
      <c r="E127" s="21">
        <f t="shared" ref="E127" si="270">E123*E126</f>
        <v>7879.563795159288</v>
      </c>
      <c r="F127" s="21">
        <f t="shared" ref="F127" si="271">F123*F126</f>
        <v>7840.1519532545353</v>
      </c>
      <c r="G127" s="21">
        <f t="shared" ref="G127" si="272">G123*G126</f>
        <v>9055.0278750602574</v>
      </c>
      <c r="H127" s="21">
        <f t="shared" ref="H127" si="273">H123*H126</f>
        <v>9894.6694460149938</v>
      </c>
      <c r="I127" s="21">
        <f t="shared" ref="I127" si="274">I123*I126</f>
        <v>9707.2590057093294</v>
      </c>
      <c r="J127" s="21">
        <f t="shared" ref="J127" si="275">J123*J126</f>
        <v>10153.168426464226</v>
      </c>
      <c r="K127" s="21">
        <f t="shared" ref="K127" si="276">K123*K126</f>
        <v>8719.471714548381</v>
      </c>
      <c r="L127" s="21">
        <f t="shared" ref="L127" si="277">L123*L126</f>
        <v>9121.0306330993953</v>
      </c>
      <c r="M127" s="21">
        <f t="shared" ref="M127" si="278">M123*M126</f>
        <v>7461.8276460617026</v>
      </c>
      <c r="N127" s="21">
        <f>SUM(B127:M127)</f>
        <v>104911.91047286917</v>
      </c>
    </row>
  </sheetData>
  <phoneticPr fontId="23" type="noConversion"/>
  <pageMargins left="0.21" right="0.2" top="1.08" bottom="0.46" header="0.92" footer="0.18"/>
  <pageSetup scale="90" pageOrder="overThenDown" orientation="landscape" r:id="rId1"/>
  <headerFooter alignWithMargins="0">
    <oddHeader>&amp;A</oddHeader>
    <oddFooter>&amp;Z&amp;F</oddFooter>
  </headerFooter>
  <rowBreaks count="4" manualBreakCount="4">
    <brk id="42" max="16383" man="1"/>
    <brk id="77" max="16383" man="1"/>
    <brk id="155" max="65535" man="1"/>
    <brk id="203" max="65535" man="1"/>
  </rowBreaks>
  <ignoredErrors>
    <ignoredError sqref="N89 N21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J26"/>
  <sheetViews>
    <sheetView zoomScale="85" workbookViewId="0">
      <pane xSplit="3" ySplit="7" topLeftCell="D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B2" sqref="B1:B2"/>
    </sheetView>
  </sheetViews>
  <sheetFormatPr defaultColWidth="9" defaultRowHeight="13.2"/>
  <cols>
    <col min="1" max="1" width="4.6640625" style="241" customWidth="1"/>
    <col min="2" max="2" width="15.6640625" style="241" customWidth="1"/>
    <col min="3" max="3" width="10.109375" style="241" customWidth="1"/>
    <col min="4" max="7" width="9" style="241"/>
    <col min="8" max="10" width="11.21875" style="241" bestFit="1" customWidth="1"/>
    <col min="11" max="16384" width="9" style="241"/>
  </cols>
  <sheetData>
    <row r="1" spans="1:10">
      <c r="B1" s="480" t="s">
        <v>499</v>
      </c>
    </row>
    <row r="2" spans="1:10">
      <c r="B2" s="480" t="s">
        <v>473</v>
      </c>
    </row>
    <row r="4" spans="1:10">
      <c r="B4" s="241" t="s">
        <v>364</v>
      </c>
    </row>
    <row r="5" spans="1:10">
      <c r="B5" s="433" t="s">
        <v>415</v>
      </c>
    </row>
    <row r="7" spans="1:10">
      <c r="D7" s="243">
        <v>2014</v>
      </c>
      <c r="E7" s="243">
        <f t="shared" ref="E7:J7" si="0">1+D7</f>
        <v>2015</v>
      </c>
      <c r="F7" s="243">
        <f t="shared" si="0"/>
        <v>2016</v>
      </c>
      <c r="G7" s="243">
        <f t="shared" si="0"/>
        <v>2017</v>
      </c>
      <c r="H7" s="243">
        <f t="shared" si="0"/>
        <v>2018</v>
      </c>
      <c r="I7" s="243">
        <f t="shared" si="0"/>
        <v>2019</v>
      </c>
      <c r="J7" s="243">
        <f t="shared" si="0"/>
        <v>2020</v>
      </c>
    </row>
    <row r="8" spans="1:10">
      <c r="A8" s="241">
        <v>1</v>
      </c>
      <c r="B8" s="241" t="s">
        <v>170</v>
      </c>
      <c r="C8" s="243" t="s">
        <v>0</v>
      </c>
      <c r="D8" s="244">
        <f>[12]Summary_CP!E3*1000</f>
        <v>180000</v>
      </c>
      <c r="E8" s="244">
        <f>[12]Summary_CP!E15*1000</f>
        <v>557000</v>
      </c>
      <c r="F8" s="244">
        <f>[12]Summary_CP!E27*1000</f>
        <v>615852.81351076043</v>
      </c>
      <c r="G8" s="244">
        <f>[12]Summary_CP!E39*1000</f>
        <v>545672.68567012821</v>
      </c>
      <c r="H8" s="244">
        <f>[12]Summary_CP!E51*1000</f>
        <v>547180.16422875761</v>
      </c>
      <c r="I8" s="244">
        <f>[12]Summary_CP!E63*1000</f>
        <v>548697.51494559681</v>
      </c>
      <c r="J8" s="244">
        <f>[12]Summary_CP!E75*1000</f>
        <v>550221.77617318288</v>
      </c>
    </row>
    <row r="9" spans="1:10">
      <c r="A9" s="241">
        <f>1+A8</f>
        <v>2</v>
      </c>
      <c r="B9" s="241" t="s">
        <v>170</v>
      </c>
      <c r="C9" s="243" t="s">
        <v>1</v>
      </c>
      <c r="D9" s="244">
        <f>[12]Summary_CP!E4*1000</f>
        <v>760000</v>
      </c>
      <c r="E9" s="244">
        <f>[12]Summary_CP!E16*1000</f>
        <v>586000</v>
      </c>
      <c r="F9" s="244">
        <f>[12]Summary_CP!E28*1000</f>
        <v>744423.79360659269</v>
      </c>
      <c r="G9" s="244">
        <f>[12]Summary_CP!E40*1000</f>
        <v>745167.86963630246</v>
      </c>
      <c r="H9" s="244">
        <f>[12]Summary_CP!E52*1000</f>
        <v>745911.94566601235</v>
      </c>
      <c r="I9" s="244">
        <f>[12]Summary_CP!E64*1000</f>
        <v>746658.00325638719</v>
      </c>
      <c r="J9" s="244">
        <f>[12]Summary_CP!E76*1000</f>
        <v>747406.04240742722</v>
      </c>
    </row>
    <row r="10" spans="1:10">
      <c r="A10" s="241">
        <f t="shared" ref="A10:A19" si="1">1+A9</f>
        <v>3</v>
      </c>
      <c r="B10" s="241" t="s">
        <v>170</v>
      </c>
      <c r="C10" s="243" t="s">
        <v>2</v>
      </c>
      <c r="D10" s="244">
        <f>[12]Summary_CP!E5*1000</f>
        <v>556000</v>
      </c>
      <c r="E10" s="244">
        <f>[12]Summary_CP!E17*1000</f>
        <v>907000</v>
      </c>
      <c r="F10" s="244">
        <f>[12]Summary_CP!E29*1000</f>
        <v>668279.51810135087</v>
      </c>
      <c r="G10" s="244">
        <f>[12]Summary_CP!E41*1000</f>
        <v>668945.8017518603</v>
      </c>
      <c r="H10" s="244">
        <f>[12]Summary_CP!E53*1000</f>
        <v>669616.06321520871</v>
      </c>
      <c r="I10" s="244">
        <f>[12]Summary_CP!E65*1000</f>
        <v>670285.33022534731</v>
      </c>
      <c r="J10" s="244">
        <f>[12]Summary_CP!E77*1000</f>
        <v>670954.59723548579</v>
      </c>
    </row>
    <row r="11" spans="1:10">
      <c r="A11" s="241">
        <f t="shared" si="1"/>
        <v>4</v>
      </c>
      <c r="B11" s="241" t="s">
        <v>170</v>
      </c>
      <c r="C11" s="243" t="s">
        <v>3</v>
      </c>
      <c r="D11" s="244">
        <f>[12]Summary_CP!E6*1000</f>
        <v>586000</v>
      </c>
      <c r="E11" s="244">
        <f>[12]Summary_CP!E18*1000</f>
        <v>688000</v>
      </c>
      <c r="F11" s="244">
        <f>[12]Summary_CP!E30*1000</f>
        <v>615771.4735328746</v>
      </c>
      <c r="G11" s="244">
        <f>[12]Summary_CP!E42*1000</f>
        <v>616449.13839736406</v>
      </c>
      <c r="H11" s="244">
        <f>[12]Summary_CP!E54*1000</f>
        <v>617127.79836444475</v>
      </c>
      <c r="I11" s="244">
        <f>[12]Summary_CP!E66*1000</f>
        <v>617809.44363929844</v>
      </c>
      <c r="J11" s="244">
        <f>[12]Summary_CP!E78*1000</f>
        <v>618490.09381156112</v>
      </c>
    </row>
    <row r="12" spans="1:10">
      <c r="A12" s="241">
        <f t="shared" si="1"/>
        <v>5</v>
      </c>
      <c r="B12" s="241" t="s">
        <v>170</v>
      </c>
      <c r="C12" s="243" t="s">
        <v>4</v>
      </c>
      <c r="D12" s="244">
        <f>[12]Summary_CP!E7*1000</f>
        <v>711000</v>
      </c>
      <c r="E12" s="244">
        <f>[12]Summary_CP!E19*1000</f>
        <v>787000</v>
      </c>
      <c r="F12" s="244">
        <f>[12]Summary_CP!E31*1000</f>
        <v>600154.53483940358</v>
      </c>
      <c r="G12" s="244">
        <f>[12]Summary_CP!E43*1000</f>
        <v>603918.22942080395</v>
      </c>
      <c r="H12" s="244">
        <f>[12]Summary_CP!E55*1000</f>
        <v>607713.44733245473</v>
      </c>
      <c r="I12" s="244">
        <f>[12]Summary_CP!E67*1000</f>
        <v>611539.23332192388</v>
      </c>
      <c r="J12" s="244">
        <f>[12]Summary_CP!E79*1000</f>
        <v>615396.54264164332</v>
      </c>
    </row>
    <row r="13" spans="1:10">
      <c r="A13" s="241">
        <f t="shared" si="1"/>
        <v>6</v>
      </c>
      <c r="B13" s="241" t="s">
        <v>170</v>
      </c>
      <c r="C13" s="243" t="s">
        <v>5</v>
      </c>
      <c r="D13" s="244">
        <f>[12]Summary_CP!E8*1000</f>
        <v>728000</v>
      </c>
      <c r="E13" s="244">
        <f>[12]Summary_CP!E20*1000</f>
        <v>761000</v>
      </c>
      <c r="F13" s="244">
        <f>[12]Summary_CP!E32*1000</f>
        <v>696314.11686990049</v>
      </c>
      <c r="G13" s="244">
        <f>[12]Summary_CP!E44*1000</f>
        <v>699801.99552638899</v>
      </c>
      <c r="H13" s="244">
        <f>[12]Summary_CP!E56*1000</f>
        <v>703433.50413311669</v>
      </c>
      <c r="I13" s="244">
        <f>[12]Summary_CP!E68*1000</f>
        <v>707083.45171994274</v>
      </c>
      <c r="J13" s="244">
        <f>[12]Summary_CP!E80*1000</f>
        <v>710755.72017741424</v>
      </c>
    </row>
    <row r="14" spans="1:10">
      <c r="A14" s="241">
        <f t="shared" si="1"/>
        <v>7</v>
      </c>
      <c r="B14" s="241" t="s">
        <v>170</v>
      </c>
      <c r="C14" s="243" t="s">
        <v>6</v>
      </c>
      <c r="D14" s="244">
        <f>[12]Summary_CP!E9*1000</f>
        <v>781000</v>
      </c>
      <c r="E14" s="244">
        <f>[12]Summary_CP!E21*1000</f>
        <v>836000</v>
      </c>
      <c r="F14" s="244">
        <f>[12]Summary_CP!E33*1000</f>
        <v>765847.39959939185</v>
      </c>
      <c r="G14" s="244">
        <f>[12]Summary_CP!E45*1000</f>
        <v>768532.40615780908</v>
      </c>
      <c r="H14" s="244">
        <f>[12]Summary_CP!E57*1000</f>
        <v>771229.28889709665</v>
      </c>
      <c r="I14" s="244">
        <f>[12]Summary_CP!E69*1000</f>
        <v>773939.0374989938</v>
      </c>
      <c r="J14" s="244">
        <f>[12]Summary_CP!E81*1000</f>
        <v>776661.65196350031</v>
      </c>
    </row>
    <row r="15" spans="1:10">
      <c r="A15" s="241">
        <f t="shared" si="1"/>
        <v>8</v>
      </c>
      <c r="B15" s="241" t="s">
        <v>170</v>
      </c>
      <c r="C15" s="243" t="s">
        <v>7</v>
      </c>
      <c r="D15" s="244">
        <f>[12]Summary_CP!E10*1000</f>
        <v>725000</v>
      </c>
      <c r="E15" s="244">
        <f>[12]Summary_CP!E22*1000</f>
        <v>746000</v>
      </c>
      <c r="F15" s="244">
        <f>[12]Summary_CP!E34*1000</f>
        <v>744904.02897998795</v>
      </c>
      <c r="G15" s="244">
        <f>[12]Summary_CP!E46*1000</f>
        <v>749123.97131151194</v>
      </c>
      <c r="H15" s="244">
        <f>[12]Summary_CP!E58*1000</f>
        <v>753370.70692768029</v>
      </c>
      <c r="I15" s="244">
        <f>[12]Summary_CP!E70*1000</f>
        <v>757647.10653756245</v>
      </c>
      <c r="J15" s="244">
        <f>[12]Summary_CP!E82*1000</f>
        <v>761951.25633511215</v>
      </c>
    </row>
    <row r="16" spans="1:10">
      <c r="A16" s="241">
        <f t="shared" si="1"/>
        <v>9</v>
      </c>
      <c r="B16" s="241" t="s">
        <v>170</v>
      </c>
      <c r="C16" s="243" t="s">
        <v>8</v>
      </c>
      <c r="D16" s="244">
        <f>[12]Summary_CP!E11*1000</f>
        <v>829000</v>
      </c>
      <c r="E16" s="244">
        <f>[12]Summary_CP!E23*1000</f>
        <v>768413.22194028518</v>
      </c>
      <c r="F16" s="244">
        <f>[12]Summary_CP!E35*1000</f>
        <v>779042.35336340778</v>
      </c>
      <c r="G16" s="244">
        <f>[12]Summary_CP!E47*1000</f>
        <v>783475.67703109328</v>
      </c>
      <c r="H16" s="244">
        <f>[12]Summary_CP!E59*1000</f>
        <v>787936.58582382218</v>
      </c>
      <c r="I16" s="244">
        <f>[12]Summary_CP!E71*1000</f>
        <v>792428.03529070609</v>
      </c>
      <c r="J16" s="244">
        <f>[12]Summary_CP!E83*1000</f>
        <v>796951.99579781992</v>
      </c>
    </row>
    <row r="17" spans="1:10">
      <c r="A17" s="241">
        <f t="shared" si="1"/>
        <v>10</v>
      </c>
      <c r="B17" s="241" t="s">
        <v>170</v>
      </c>
      <c r="C17" s="243" t="s">
        <v>9</v>
      </c>
      <c r="D17" s="244">
        <f>[12]Summary_CP!E12*1000</f>
        <v>701000</v>
      </c>
      <c r="E17" s="244">
        <f>[12]Summary_CP!E24*1000</f>
        <v>659508.4951388113</v>
      </c>
      <c r="F17" s="244">
        <f>[12]Summary_CP!E36*1000</f>
        <v>668999.71586675802</v>
      </c>
      <c r="G17" s="244">
        <f>[12]Summary_CP!E48*1000</f>
        <v>672815.95490237186</v>
      </c>
      <c r="H17" s="244">
        <f>[12]Summary_CP!E60*1000</f>
        <v>676656.09522630903</v>
      </c>
      <c r="I17" s="244">
        <f>[12]Summary_CP!E72*1000</f>
        <v>680523.67777017294</v>
      </c>
      <c r="J17" s="244">
        <f>[12]Summary_CP!E84*1000</f>
        <v>684416.93206816178</v>
      </c>
    </row>
    <row r="18" spans="1:10">
      <c r="A18" s="241">
        <f t="shared" si="1"/>
        <v>11</v>
      </c>
      <c r="B18" s="241" t="s">
        <v>170</v>
      </c>
      <c r="C18" s="243" t="s">
        <v>10</v>
      </c>
      <c r="D18" s="244">
        <f>[12]Summary_CP!E13*1000</f>
        <v>760000</v>
      </c>
      <c r="E18" s="244">
        <f>[12]Summary_CP!E25*1000</f>
        <v>681279.73337934481</v>
      </c>
      <c r="F18" s="244">
        <f>[12]Summary_CP!E37*1000</f>
        <v>706270.43479170382</v>
      </c>
      <c r="G18" s="244">
        <f>[12]Summary_CP!E49*1000</f>
        <v>708669.05835224723</v>
      </c>
      <c r="H18" s="244">
        <f>[12]Summary_CP!E61*1000</f>
        <v>711075.630955245</v>
      </c>
      <c r="I18" s="244">
        <f>[12]Summary_CP!E73*1000</f>
        <v>713504.06342499144</v>
      </c>
      <c r="J18" s="244">
        <f>[12]Summary_CP!E85*1000</f>
        <v>715936.47041596507</v>
      </c>
    </row>
    <row r="19" spans="1:10">
      <c r="A19" s="241">
        <f t="shared" si="1"/>
        <v>12</v>
      </c>
      <c r="B19" s="241" t="s">
        <v>170</v>
      </c>
      <c r="C19" s="243" t="s">
        <v>11</v>
      </c>
      <c r="D19" s="244">
        <f>[12]Summary_CP!E14*1000</f>
        <v>598000</v>
      </c>
      <c r="E19" s="244">
        <f>[12]Summary_CP!E26*1000</f>
        <v>607859.771666824</v>
      </c>
      <c r="F19" s="244">
        <f>[12]Summary_CP!E38*1000</f>
        <v>580934.50240306312</v>
      </c>
      <c r="G19" s="244">
        <f>[12]Summary_CP!E50*1000</f>
        <v>582117.12190809206</v>
      </c>
      <c r="H19" s="244">
        <f>[12]Summary_CP!E62*1000</f>
        <v>583307.69179634785</v>
      </c>
      <c r="I19" s="244">
        <f>[12]Summary_CP!E74*1000</f>
        <v>584501.243078314</v>
      </c>
      <c r="J19" s="244">
        <f>[12]Summary_CP!E86*1000</f>
        <v>585700.75714770041</v>
      </c>
    </row>
    <row r="20" spans="1:10">
      <c r="C20" s="241" t="s">
        <v>12</v>
      </c>
      <c r="D20" s="244">
        <f t="shared" ref="D20:I20" si="2">SUM(D8:D19)</f>
        <v>7915000</v>
      </c>
      <c r="E20" s="244">
        <f t="shared" si="2"/>
        <v>8585061.2221252657</v>
      </c>
      <c r="F20" s="244">
        <f t="shared" si="2"/>
        <v>8186794.6854651943</v>
      </c>
      <c r="G20" s="244">
        <f t="shared" si="2"/>
        <v>8144689.9100659741</v>
      </c>
      <c r="H20" s="244">
        <f t="shared" si="2"/>
        <v>8174558.9225664968</v>
      </c>
      <c r="I20" s="244">
        <f t="shared" si="2"/>
        <v>8204616.1407092372</v>
      </c>
      <c r="J20" s="244">
        <f t="shared" ref="J20" si="3">SUM(J8:J19)</f>
        <v>8234843.8361749733</v>
      </c>
    </row>
    <row r="25" spans="1:10">
      <c r="D25" s="486"/>
      <c r="E25" s="486"/>
      <c r="F25" s="486"/>
      <c r="G25" s="486"/>
      <c r="H25" s="486"/>
      <c r="I25" s="486"/>
    </row>
    <row r="26" spans="1:10">
      <c r="D26" s="486"/>
      <c r="E26" s="486"/>
      <c r="F26" s="486"/>
      <c r="G26" s="486"/>
      <c r="H26" s="486"/>
      <c r="I26" s="486"/>
    </row>
  </sheetData>
  <phoneticPr fontId="2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7"/>
  <sheetViews>
    <sheetView zoomScaleNormal="100" workbookViewId="0">
      <pane ySplit="9" topLeftCell="A10" activePane="bottomLeft" state="frozen"/>
      <selection activeCell="A3" sqref="A1:XFD1048576"/>
      <selection pane="bottomLeft"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500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176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5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6" s="20" customFormat="1" ht="10.199999999999999">
      <c r="A9" s="254"/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8</v>
      </c>
      <c r="K9" s="24" t="s">
        <v>9</v>
      </c>
      <c r="L9" s="24" t="s">
        <v>10</v>
      </c>
      <c r="M9" s="24" t="s">
        <v>11</v>
      </c>
      <c r="N9" s="24" t="s">
        <v>12</v>
      </c>
    </row>
    <row r="10" spans="1:16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20" customFormat="1" ht="10.199999999999999">
      <c r="A11" s="254"/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6" s="20" customFormat="1" ht="10.199999999999999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s="20" customFormat="1" ht="10.199999999999999">
      <c r="A13" s="254" t="s">
        <v>37</v>
      </c>
    </row>
    <row r="14" spans="1:16" s="29" customFormat="1" ht="10.199999999999999">
      <c r="A14" s="256" t="s">
        <v>47</v>
      </c>
      <c r="B14" s="239">
        <f>'FKEC Forecast'!E11</f>
        <v>111000</v>
      </c>
      <c r="C14" s="239">
        <f>'FKEC Forecast'!F11</f>
        <v>88000</v>
      </c>
      <c r="D14" s="239">
        <f>'FKEC Forecast'!G11</f>
        <v>111000</v>
      </c>
      <c r="E14" s="239">
        <f>'FKEC Forecast'!H11</f>
        <v>123000</v>
      </c>
      <c r="F14" s="239">
        <f>'FKEC Forecast'!I11</f>
        <v>129000</v>
      </c>
      <c r="G14" s="239">
        <f>'FKEC Forecast'!J11</f>
        <v>123000</v>
      </c>
      <c r="H14" s="239">
        <f>'FKEC Forecast'!K11</f>
        <v>140000</v>
      </c>
      <c r="I14" s="239">
        <f>'FKEC Forecast'!L11</f>
        <v>151000</v>
      </c>
      <c r="J14" s="239">
        <f>'FKEC Forecast'!M11</f>
        <v>146000</v>
      </c>
      <c r="K14" s="239">
        <f>'FKEC Forecast'!N11</f>
        <v>128000</v>
      </c>
      <c r="L14" s="239">
        <f>'FKEC Forecast'!O11</f>
        <v>137000</v>
      </c>
      <c r="M14" s="239">
        <f>'FKEC Forecast'!P11</f>
        <v>115000</v>
      </c>
      <c r="N14" s="21">
        <f>SUM(B14:M14)</f>
        <v>1502000</v>
      </c>
    </row>
    <row r="15" spans="1:16" s="29" customFormat="1" ht="10.199999999999999">
      <c r="A15" s="256" t="s">
        <v>45</v>
      </c>
      <c r="B15" s="28">
        <f>ROUND(B14*'Transmission Formula Rate (7)'!$B$27,0)</f>
        <v>2054</v>
      </c>
      <c r="C15" s="28">
        <f>ROUND(C14*'Transmission Formula Rate (7)'!$B$27,0)</f>
        <v>1628</v>
      </c>
      <c r="D15" s="28">
        <f>ROUND(D14*'Transmission Formula Rate (7)'!$B$27,0)</f>
        <v>2054</v>
      </c>
      <c r="E15" s="28">
        <f>ROUND(E14*'Transmission Formula Rate (7)'!$B$27,0)</f>
        <v>2276</v>
      </c>
      <c r="F15" s="28">
        <f>ROUND(F14*'Transmission Formula Rate (7)'!$B$27,0)</f>
        <v>2387</v>
      </c>
      <c r="G15" s="28">
        <f>ROUND(G14*'Transmission Formula Rate (7)'!$B$27,0)</f>
        <v>2276</v>
      </c>
      <c r="H15" s="28">
        <f>ROUND(H14*'Transmission Formula Rate (7)'!$B$27,0)</f>
        <v>2590</v>
      </c>
      <c r="I15" s="28">
        <f>ROUND(I14*'Transmission Formula Rate (7)'!$B$27,0)</f>
        <v>2794</v>
      </c>
      <c r="J15" s="28">
        <f>ROUND(J14*'Transmission Formula Rate (7)'!$B$27,0)</f>
        <v>2701</v>
      </c>
      <c r="K15" s="28">
        <f>ROUND(K14*'Transmission Formula Rate (7)'!$B$27,0)</f>
        <v>2368</v>
      </c>
      <c r="L15" s="28">
        <f>ROUND(L14*'Transmission Formula Rate (7)'!$B$27,0)</f>
        <v>2535</v>
      </c>
      <c r="M15" s="28">
        <f>ROUND(M14*'Transmission Formula Rate (7)'!$B$27,0)</f>
        <v>2128</v>
      </c>
      <c r="N15" s="21">
        <f>SUM(B15:M15)</f>
        <v>27791</v>
      </c>
    </row>
    <row r="16" spans="1:16" s="29" customFormat="1" ht="10.199999999999999">
      <c r="A16" s="256" t="s">
        <v>211</v>
      </c>
      <c r="B16" s="28">
        <f>B14+B15</f>
        <v>113054</v>
      </c>
      <c r="C16" s="28">
        <f t="shared" ref="C16:M16" si="1">C14+C15</f>
        <v>89628</v>
      </c>
      <c r="D16" s="28">
        <f t="shared" si="1"/>
        <v>113054</v>
      </c>
      <c r="E16" s="28">
        <f t="shared" si="1"/>
        <v>125276</v>
      </c>
      <c r="F16" s="28">
        <f t="shared" si="1"/>
        <v>131387</v>
      </c>
      <c r="G16" s="28">
        <f t="shared" si="1"/>
        <v>125276</v>
      </c>
      <c r="H16" s="28">
        <f t="shared" si="1"/>
        <v>142590</v>
      </c>
      <c r="I16" s="28">
        <f t="shared" si="1"/>
        <v>153794</v>
      </c>
      <c r="J16" s="28">
        <f t="shared" si="1"/>
        <v>148701</v>
      </c>
      <c r="K16" s="28">
        <f t="shared" si="1"/>
        <v>130368</v>
      </c>
      <c r="L16" s="28">
        <f t="shared" si="1"/>
        <v>139535</v>
      </c>
      <c r="M16" s="28">
        <f t="shared" si="1"/>
        <v>117128</v>
      </c>
      <c r="N16" s="124">
        <f>SUM(B16:M16)</f>
        <v>1529791</v>
      </c>
    </row>
    <row r="17" spans="1:14" s="20" customFormat="1" ht="10.199999999999999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</row>
    <row r="18" spans="1:14" s="20" customFormat="1" ht="10.199999999999999">
      <c r="A18" s="254" t="s">
        <v>17</v>
      </c>
      <c r="B18" s="21">
        <f t="shared" ref="B18:M18" si="2">B16*B17</f>
        <v>179755.86000000002</v>
      </c>
      <c r="C18" s="21">
        <f t="shared" si="2"/>
        <v>142508.52000000002</v>
      </c>
      <c r="D18" s="21">
        <f t="shared" si="2"/>
        <v>179755.86000000002</v>
      </c>
      <c r="E18" s="21">
        <f t="shared" si="2"/>
        <v>199188.84</v>
      </c>
      <c r="F18" s="21">
        <f t="shared" si="2"/>
        <v>208905.33000000002</v>
      </c>
      <c r="G18" s="21">
        <f t="shared" si="2"/>
        <v>199188.84</v>
      </c>
      <c r="H18" s="21">
        <f t="shared" si="2"/>
        <v>226718.1</v>
      </c>
      <c r="I18" s="21">
        <f t="shared" si="2"/>
        <v>244532.46000000002</v>
      </c>
      <c r="J18" s="21">
        <f t="shared" si="2"/>
        <v>236434.59000000003</v>
      </c>
      <c r="K18" s="21">
        <f t="shared" si="2"/>
        <v>207285.12000000002</v>
      </c>
      <c r="L18" s="21">
        <f t="shared" si="2"/>
        <v>221860.65000000002</v>
      </c>
      <c r="M18" s="21">
        <f t="shared" si="2"/>
        <v>186233.52000000002</v>
      </c>
      <c r="N18" s="21">
        <f>SUM(B18:M18)</f>
        <v>2432367.6900000004</v>
      </c>
    </row>
    <row r="19" spans="1:14" s="20" customFormat="1" ht="10.199999999999999">
      <c r="A19" s="257"/>
    </row>
    <row r="20" spans="1:14" s="20" customFormat="1" ht="10.199999999999999">
      <c r="A20" s="254" t="s">
        <v>141</v>
      </c>
    </row>
    <row r="21" spans="1:14" s="20" customFormat="1" ht="10.199999999999999">
      <c r="A21" s="256" t="s">
        <v>47</v>
      </c>
      <c r="B21" s="239">
        <f>B14</f>
        <v>111000</v>
      </c>
      <c r="C21" s="239">
        <f t="shared" ref="C21:M21" si="3">C14</f>
        <v>88000</v>
      </c>
      <c r="D21" s="239">
        <f t="shared" si="3"/>
        <v>111000</v>
      </c>
      <c r="E21" s="239">
        <f t="shared" si="3"/>
        <v>123000</v>
      </c>
      <c r="F21" s="239">
        <f t="shared" si="3"/>
        <v>129000</v>
      </c>
      <c r="G21" s="239">
        <f t="shared" si="3"/>
        <v>123000</v>
      </c>
      <c r="H21" s="239">
        <f t="shared" si="3"/>
        <v>140000</v>
      </c>
      <c r="I21" s="239">
        <f t="shared" si="3"/>
        <v>151000</v>
      </c>
      <c r="J21" s="239">
        <f t="shared" si="3"/>
        <v>146000</v>
      </c>
      <c r="K21" s="239">
        <f t="shared" si="3"/>
        <v>128000</v>
      </c>
      <c r="L21" s="239">
        <f t="shared" si="3"/>
        <v>137000</v>
      </c>
      <c r="M21" s="239">
        <f t="shared" si="3"/>
        <v>115000</v>
      </c>
      <c r="N21" s="21">
        <f>SUM(B21:M21)</f>
        <v>1502000</v>
      </c>
    </row>
    <row r="22" spans="1:14" s="20" customFormat="1" ht="10.199999999999999">
      <c r="A22" s="256" t="s">
        <v>45</v>
      </c>
      <c r="B22" s="28">
        <f>ROUND(B21*'Transmission Formula Rate (7)'!$B$27,0)</f>
        <v>2054</v>
      </c>
      <c r="C22" s="28">
        <f>ROUND(C21*'Transmission Formula Rate (7)'!$B$27,0)</f>
        <v>1628</v>
      </c>
      <c r="D22" s="28">
        <f>ROUND(D21*'Transmission Formula Rate (7)'!$B$27,0)</f>
        <v>2054</v>
      </c>
      <c r="E22" s="28">
        <f>ROUND(E21*'Transmission Formula Rate (7)'!$B$27,0)</f>
        <v>2276</v>
      </c>
      <c r="F22" s="28">
        <f>ROUND(F21*'Transmission Formula Rate (7)'!$B$27,0)</f>
        <v>2387</v>
      </c>
      <c r="G22" s="28">
        <f>ROUND(G21*'Transmission Formula Rate (7)'!$B$27,0)</f>
        <v>2276</v>
      </c>
      <c r="H22" s="28">
        <f>ROUND(H21*'Transmission Formula Rate (7)'!$B$27,0)</f>
        <v>2590</v>
      </c>
      <c r="I22" s="28">
        <f>ROUND(I21*'Transmission Formula Rate (7)'!$B$27,0)</f>
        <v>2794</v>
      </c>
      <c r="J22" s="28">
        <f>ROUND(J21*'Transmission Formula Rate (7)'!$B$27,0)</f>
        <v>2701</v>
      </c>
      <c r="K22" s="28">
        <f>ROUND(K21*'Transmission Formula Rate (7)'!$B$27,0)</f>
        <v>2368</v>
      </c>
      <c r="L22" s="28">
        <f>ROUND(L21*'Transmission Formula Rate (7)'!$B$27,0)</f>
        <v>2535</v>
      </c>
      <c r="M22" s="28">
        <f>ROUND(M21*'Transmission Formula Rate (7)'!$B$27,0)</f>
        <v>2128</v>
      </c>
      <c r="N22" s="21">
        <f>SUM(B22:M22)</f>
        <v>27791</v>
      </c>
    </row>
    <row r="23" spans="1:14" s="20" customFormat="1" ht="10.199999999999999">
      <c r="A23" s="256" t="s">
        <v>211</v>
      </c>
      <c r="B23" s="28">
        <f t="shared" ref="B23:M23" si="4">B21+B22</f>
        <v>113054</v>
      </c>
      <c r="C23" s="28">
        <f t="shared" si="4"/>
        <v>89628</v>
      </c>
      <c r="D23" s="28">
        <f t="shared" si="4"/>
        <v>113054</v>
      </c>
      <c r="E23" s="28">
        <f t="shared" si="4"/>
        <v>125276</v>
      </c>
      <c r="F23" s="28">
        <f t="shared" si="4"/>
        <v>131387</v>
      </c>
      <c r="G23" s="28">
        <f t="shared" si="4"/>
        <v>125276</v>
      </c>
      <c r="H23" s="28">
        <f t="shared" si="4"/>
        <v>142590</v>
      </c>
      <c r="I23" s="28">
        <f t="shared" si="4"/>
        <v>153794</v>
      </c>
      <c r="J23" s="28">
        <f t="shared" si="4"/>
        <v>148701</v>
      </c>
      <c r="K23" s="28">
        <f t="shared" si="4"/>
        <v>130368</v>
      </c>
      <c r="L23" s="28">
        <f t="shared" si="4"/>
        <v>139535</v>
      </c>
      <c r="M23" s="28">
        <f t="shared" si="4"/>
        <v>117128</v>
      </c>
      <c r="N23" s="124">
        <f>SUM(B23:M23)</f>
        <v>1529791</v>
      </c>
    </row>
    <row r="24" spans="1:14" s="20" customFormat="1" ht="10.199999999999999">
      <c r="A24" s="254" t="s">
        <v>149</v>
      </c>
      <c r="B24" s="32">
        <f>'charges (1 &amp; 2)'!D36</f>
        <v>1.274E-2</v>
      </c>
      <c r="C24" s="32">
        <f>B24</f>
        <v>1.274E-2</v>
      </c>
      <c r="D24" s="32">
        <f t="shared" ref="D24:M24" si="5">C24</f>
        <v>1.274E-2</v>
      </c>
      <c r="E24" s="32">
        <f t="shared" si="5"/>
        <v>1.274E-2</v>
      </c>
      <c r="F24" s="32">
        <f t="shared" si="5"/>
        <v>1.274E-2</v>
      </c>
      <c r="G24" s="32">
        <f t="shared" si="5"/>
        <v>1.274E-2</v>
      </c>
      <c r="H24" s="32">
        <f t="shared" si="5"/>
        <v>1.274E-2</v>
      </c>
      <c r="I24" s="32">
        <f t="shared" si="5"/>
        <v>1.274E-2</v>
      </c>
      <c r="J24" s="32">
        <f t="shared" si="5"/>
        <v>1.274E-2</v>
      </c>
      <c r="K24" s="32">
        <f t="shared" si="5"/>
        <v>1.274E-2</v>
      </c>
      <c r="L24" s="32">
        <f t="shared" si="5"/>
        <v>1.274E-2</v>
      </c>
      <c r="M24" s="32">
        <f t="shared" si="5"/>
        <v>1.274E-2</v>
      </c>
    </row>
    <row r="25" spans="1:14" s="20" customFormat="1" ht="10.199999999999999">
      <c r="A25" s="254" t="s">
        <v>17</v>
      </c>
      <c r="B25" s="21">
        <f t="shared" ref="B25:M25" si="6">B23*B24</f>
        <v>1440.3079599999999</v>
      </c>
      <c r="C25" s="21">
        <f t="shared" si="6"/>
        <v>1141.8607199999999</v>
      </c>
      <c r="D25" s="21">
        <f t="shared" si="6"/>
        <v>1440.3079599999999</v>
      </c>
      <c r="E25" s="21">
        <f t="shared" si="6"/>
        <v>1596.0162399999999</v>
      </c>
      <c r="F25" s="21">
        <f t="shared" si="6"/>
        <v>1673.8703799999998</v>
      </c>
      <c r="G25" s="21">
        <f t="shared" si="6"/>
        <v>1596.0162399999999</v>
      </c>
      <c r="H25" s="21">
        <f t="shared" si="6"/>
        <v>1816.5965999999999</v>
      </c>
      <c r="I25" s="21">
        <f t="shared" si="6"/>
        <v>1959.33556</v>
      </c>
      <c r="J25" s="21">
        <f t="shared" si="6"/>
        <v>1894.45074</v>
      </c>
      <c r="K25" s="21">
        <f t="shared" si="6"/>
        <v>1660.88832</v>
      </c>
      <c r="L25" s="21">
        <f t="shared" si="6"/>
        <v>1777.6759</v>
      </c>
      <c r="M25" s="21">
        <f t="shared" si="6"/>
        <v>1492.21072</v>
      </c>
      <c r="N25" s="21">
        <f>SUM(B25:M25)</f>
        <v>19489.537339999999</v>
      </c>
    </row>
    <row r="26" spans="1:14" s="20" customFormat="1" ht="10.199999999999999">
      <c r="A26" s="257"/>
    </row>
    <row r="27" spans="1:14" s="20" customFormat="1" ht="10.199999999999999">
      <c r="A27" s="257"/>
    </row>
    <row r="28" spans="1:14"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4">
      <c r="A29" s="255">
        <f>+A12+1</f>
        <v>2015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>
      <c r="A30" s="254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56" t="s">
        <v>211</v>
      </c>
      <c r="B31" s="239">
        <f>'FKEC Forecast'!E12</f>
        <v>105000</v>
      </c>
      <c r="C31" s="239">
        <f>'FKEC Forecast'!F12</f>
        <v>113000</v>
      </c>
      <c r="D31" s="239">
        <f>'FKEC Forecast'!G12</f>
        <v>116000</v>
      </c>
      <c r="E31" s="239">
        <f>'FKEC Forecast'!H12</f>
        <v>120000</v>
      </c>
      <c r="F31" s="239">
        <f>'FKEC Forecast'!I12</f>
        <v>151000</v>
      </c>
      <c r="G31" s="239">
        <f>'FKEC Forecast'!J12</f>
        <v>138000</v>
      </c>
      <c r="H31" s="239">
        <f>'FKEC Forecast'!K12</f>
        <v>146000</v>
      </c>
      <c r="I31" s="239">
        <f>'FKEC Forecast'!L12</f>
        <v>152803.99085120461</v>
      </c>
      <c r="J31" s="239">
        <f>'FKEC Forecast'!M12</f>
        <v>149089.22817258368</v>
      </c>
      <c r="K31" s="239">
        <f>'FKEC Forecast'!N12</f>
        <v>137523.29672915713</v>
      </c>
      <c r="L31" s="239">
        <f>'FKEC Forecast'!O12</f>
        <v>131475.29222993914</v>
      </c>
      <c r="M31" s="239">
        <f>'FKEC Forecast'!P12</f>
        <v>116613.09603833547</v>
      </c>
      <c r="N31" s="21">
        <f>SUM(B31:M31)</f>
        <v>1576504.9040212203</v>
      </c>
    </row>
    <row r="32" spans="1:14">
      <c r="A32" s="256" t="s">
        <v>45</v>
      </c>
      <c r="B32" s="28">
        <f>B31-B33</f>
        <v>1907.2164948453574</v>
      </c>
      <c r="C32" s="28">
        <f t="shared" ref="C32:M32" si="7">C31-C33</f>
        <v>2052.5282277859515</v>
      </c>
      <c r="D32" s="28">
        <f t="shared" si="7"/>
        <v>2107.0201276386797</v>
      </c>
      <c r="E32" s="28">
        <f t="shared" si="7"/>
        <v>2179.675994108984</v>
      </c>
      <c r="F32" s="28">
        <f t="shared" si="7"/>
        <v>2742.7589592538134</v>
      </c>
      <c r="G32" s="28">
        <f t="shared" si="7"/>
        <v>2506.6273932253243</v>
      </c>
      <c r="H32" s="28">
        <f t="shared" si="7"/>
        <v>2651.939126165933</v>
      </c>
      <c r="I32" s="28">
        <f t="shared" si="7"/>
        <v>2775.5265888534777</v>
      </c>
      <c r="J32" s="28">
        <f t="shared" si="7"/>
        <v>2708.0517635667929</v>
      </c>
      <c r="K32" s="28">
        <f t="shared" si="7"/>
        <v>2497.9685709272453</v>
      </c>
      <c r="L32" s="28">
        <f t="shared" si="7"/>
        <v>2388.1128191005118</v>
      </c>
      <c r="M32" s="28">
        <f t="shared" si="7"/>
        <v>2118.1563836123678</v>
      </c>
      <c r="N32" s="21">
        <f>SUM(B32:M32)</f>
        <v>28635.582449084439</v>
      </c>
    </row>
    <row r="33" spans="1:14">
      <c r="A33" s="256" t="s">
        <v>47</v>
      </c>
      <c r="B33" s="28">
        <f>B31/(1+'Transmission Formula Rate (7)'!$B$27)</f>
        <v>103092.78350515464</v>
      </c>
      <c r="C33" s="28">
        <f>C31/(1+'Transmission Formula Rate (7)'!$B$27)</f>
        <v>110947.47177221405</v>
      </c>
      <c r="D33" s="28">
        <f>D31/(1+'Transmission Formula Rate (7)'!$B$27)</f>
        <v>113892.97987236132</v>
      </c>
      <c r="E33" s="28">
        <f>E31/(1+'Transmission Formula Rate (7)'!$B$27)</f>
        <v>117820.32400589102</v>
      </c>
      <c r="F33" s="28">
        <f>F31/(1+'Transmission Formula Rate (7)'!$B$27)</f>
        <v>148257.24104074619</v>
      </c>
      <c r="G33" s="28">
        <f>G31/(1+'Transmission Formula Rate (7)'!$B$27)</f>
        <v>135493.37260677468</v>
      </c>
      <c r="H33" s="28">
        <f>H31/(1+'Transmission Formula Rate (7)'!$B$27)</f>
        <v>143348.06087383407</v>
      </c>
      <c r="I33" s="28">
        <f>I31/(1+'Transmission Formula Rate (7)'!$B$27)</f>
        <v>150028.46426235113</v>
      </c>
      <c r="J33" s="28">
        <f>J31/(1+'Transmission Formula Rate (7)'!$B$27)</f>
        <v>146381.17640901689</v>
      </c>
      <c r="K33" s="28">
        <f>K31/(1+'Transmission Formula Rate (7)'!$B$27)</f>
        <v>135025.32815822988</v>
      </c>
      <c r="L33" s="28">
        <f>L31/(1+'Transmission Formula Rate (7)'!$B$27)</f>
        <v>129087.17941083862</v>
      </c>
      <c r="M33" s="28">
        <f>M31/(1+'Transmission Formula Rate (7)'!$B$27)</f>
        <v>114494.9396547231</v>
      </c>
      <c r="N33" s="124">
        <f>SUM(B33:M33)</f>
        <v>1547869.3215721354</v>
      </c>
    </row>
    <row r="34" spans="1:14">
      <c r="A34" s="254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  <c r="N34" s="20"/>
    </row>
    <row r="35" spans="1:14">
      <c r="A35" s="254" t="s">
        <v>17</v>
      </c>
      <c r="B35" s="21">
        <f>B31*B34</f>
        <v>166950</v>
      </c>
      <c r="C35" s="21">
        <f t="shared" ref="C35:M35" si="8">C31*C34</f>
        <v>179670</v>
      </c>
      <c r="D35" s="21">
        <f t="shared" si="8"/>
        <v>184440</v>
      </c>
      <c r="E35" s="21">
        <f t="shared" si="8"/>
        <v>190800</v>
      </c>
      <c r="F35" s="21">
        <f t="shared" si="8"/>
        <v>240090</v>
      </c>
      <c r="G35" s="21">
        <f t="shared" si="8"/>
        <v>219420</v>
      </c>
      <c r="H35" s="21">
        <f t="shared" si="8"/>
        <v>232140</v>
      </c>
      <c r="I35" s="21">
        <f t="shared" si="8"/>
        <v>242958.34545341533</v>
      </c>
      <c r="J35" s="21">
        <f t="shared" si="8"/>
        <v>237051.87279440806</v>
      </c>
      <c r="K35" s="21">
        <f t="shared" si="8"/>
        <v>218662.04179935984</v>
      </c>
      <c r="L35" s="21">
        <f t="shared" si="8"/>
        <v>209045.71464560324</v>
      </c>
      <c r="M35" s="21">
        <f t="shared" si="8"/>
        <v>185414.8227009534</v>
      </c>
      <c r="N35" s="21">
        <f>SUM(B35:M35)</f>
        <v>2506642.7973937402</v>
      </c>
    </row>
    <row r="36" spans="1:14">
      <c r="A36" s="255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>
      <c r="A37" s="254" t="s">
        <v>141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56" t="s">
        <v>211</v>
      </c>
      <c r="B38" s="239">
        <f>B31</f>
        <v>105000</v>
      </c>
      <c r="C38" s="239">
        <f t="shared" ref="C38:M38" si="9">C31</f>
        <v>113000</v>
      </c>
      <c r="D38" s="239">
        <f t="shared" si="9"/>
        <v>116000</v>
      </c>
      <c r="E38" s="239">
        <f t="shared" si="9"/>
        <v>120000</v>
      </c>
      <c r="F38" s="239">
        <f t="shared" si="9"/>
        <v>151000</v>
      </c>
      <c r="G38" s="239">
        <f t="shared" si="9"/>
        <v>138000</v>
      </c>
      <c r="H38" s="239">
        <f t="shared" si="9"/>
        <v>146000</v>
      </c>
      <c r="I38" s="239">
        <f t="shared" si="9"/>
        <v>152803.99085120461</v>
      </c>
      <c r="J38" s="239">
        <f t="shared" si="9"/>
        <v>149089.22817258368</v>
      </c>
      <c r="K38" s="239">
        <f t="shared" si="9"/>
        <v>137523.29672915713</v>
      </c>
      <c r="L38" s="239">
        <f t="shared" si="9"/>
        <v>131475.29222993914</v>
      </c>
      <c r="M38" s="239">
        <f t="shared" si="9"/>
        <v>116613.09603833547</v>
      </c>
      <c r="N38" s="21">
        <f>SUM(B38:M38)</f>
        <v>1576504.9040212203</v>
      </c>
    </row>
    <row r="39" spans="1:14">
      <c r="A39" s="256" t="s">
        <v>45</v>
      </c>
      <c r="B39" s="28">
        <f>B38-B40</f>
        <v>1907.2164948453574</v>
      </c>
      <c r="C39" s="28">
        <f t="shared" ref="C39" si="10">C38-C40</f>
        <v>2052.5282277859515</v>
      </c>
      <c r="D39" s="28">
        <f t="shared" ref="D39" si="11">D38-D40</f>
        <v>2107.0201276386797</v>
      </c>
      <c r="E39" s="28">
        <f t="shared" ref="E39" si="12">E38-E40</f>
        <v>2179.675994108984</v>
      </c>
      <c r="F39" s="28">
        <f t="shared" ref="F39" si="13">F38-F40</f>
        <v>2742.7589592538134</v>
      </c>
      <c r="G39" s="28">
        <f t="shared" ref="G39" si="14">G38-G40</f>
        <v>2506.6273932253243</v>
      </c>
      <c r="H39" s="28">
        <f t="shared" ref="H39" si="15">H38-H40</f>
        <v>2651.939126165933</v>
      </c>
      <c r="I39" s="28">
        <f t="shared" ref="I39" si="16">I38-I40</f>
        <v>2775.5265888534777</v>
      </c>
      <c r="J39" s="28">
        <f t="shared" ref="J39" si="17">J38-J40</f>
        <v>2708.0517635667929</v>
      </c>
      <c r="K39" s="28">
        <f t="shared" ref="K39" si="18">K38-K40</f>
        <v>2497.9685709272453</v>
      </c>
      <c r="L39" s="28">
        <f t="shared" ref="L39" si="19">L38-L40</f>
        <v>2388.1128191005118</v>
      </c>
      <c r="M39" s="28">
        <f t="shared" ref="M39" si="20">M38-M40</f>
        <v>2118.1563836123678</v>
      </c>
      <c r="N39" s="21">
        <f>SUM(B39:M39)</f>
        <v>28635.582449084439</v>
      </c>
    </row>
    <row r="40" spans="1:14">
      <c r="A40" s="256" t="s">
        <v>47</v>
      </c>
      <c r="B40" s="28">
        <f>B38/(1+'Transmission Formula Rate (7)'!$B$27)</f>
        <v>103092.78350515464</v>
      </c>
      <c r="C40" s="28">
        <f>C38/(1+'Transmission Formula Rate (7)'!$B$27)</f>
        <v>110947.47177221405</v>
      </c>
      <c r="D40" s="28">
        <f>D38/(1+'Transmission Formula Rate (7)'!$B$27)</f>
        <v>113892.97987236132</v>
      </c>
      <c r="E40" s="28">
        <f>E38/(1+'Transmission Formula Rate (7)'!$B$27)</f>
        <v>117820.32400589102</v>
      </c>
      <c r="F40" s="28">
        <f>F38/(1+'Transmission Formula Rate (7)'!$B$27)</f>
        <v>148257.24104074619</v>
      </c>
      <c r="G40" s="28">
        <f>G38/(1+'Transmission Formula Rate (7)'!$B$27)</f>
        <v>135493.37260677468</v>
      </c>
      <c r="H40" s="28">
        <f>H38/(1+'Transmission Formula Rate (7)'!$B$27)</f>
        <v>143348.06087383407</v>
      </c>
      <c r="I40" s="28">
        <f>I38/(1+'Transmission Formula Rate (7)'!$B$27)</f>
        <v>150028.46426235113</v>
      </c>
      <c r="J40" s="28">
        <f>J38/(1+'Transmission Formula Rate (7)'!$B$27)</f>
        <v>146381.17640901689</v>
      </c>
      <c r="K40" s="28">
        <f>K38/(1+'Transmission Formula Rate (7)'!$B$27)</f>
        <v>135025.32815822988</v>
      </c>
      <c r="L40" s="28">
        <f>L38/(1+'Transmission Formula Rate (7)'!$B$27)</f>
        <v>129087.17941083862</v>
      </c>
      <c r="M40" s="28">
        <f>M38/(1+'Transmission Formula Rate (7)'!$B$27)</f>
        <v>114494.9396547231</v>
      </c>
      <c r="N40" s="124">
        <f>SUM(B40:M40)</f>
        <v>1547869.3215721354</v>
      </c>
    </row>
    <row r="41" spans="1:14">
      <c r="A41" s="254" t="s">
        <v>149</v>
      </c>
      <c r="B41" s="32">
        <f>'charges (1 &amp; 2)'!E33</f>
        <v>1.274E-2</v>
      </c>
      <c r="C41" s="32">
        <f>B41</f>
        <v>1.274E-2</v>
      </c>
      <c r="D41" s="32">
        <f t="shared" ref="D41:M41" si="21">C41</f>
        <v>1.274E-2</v>
      </c>
      <c r="E41" s="32">
        <f t="shared" si="21"/>
        <v>1.274E-2</v>
      </c>
      <c r="F41" s="32">
        <f t="shared" si="21"/>
        <v>1.274E-2</v>
      </c>
      <c r="G41" s="32">
        <f t="shared" si="21"/>
        <v>1.274E-2</v>
      </c>
      <c r="H41" s="32">
        <f t="shared" si="21"/>
        <v>1.274E-2</v>
      </c>
      <c r="I41" s="32">
        <f t="shared" si="21"/>
        <v>1.274E-2</v>
      </c>
      <c r="J41" s="32">
        <f t="shared" si="21"/>
        <v>1.274E-2</v>
      </c>
      <c r="K41" s="32">
        <f t="shared" si="21"/>
        <v>1.274E-2</v>
      </c>
      <c r="L41" s="32">
        <f t="shared" si="21"/>
        <v>1.274E-2</v>
      </c>
      <c r="M41" s="32">
        <f t="shared" si="21"/>
        <v>1.274E-2</v>
      </c>
      <c r="N41" s="20"/>
    </row>
    <row r="42" spans="1:14">
      <c r="A42" s="254" t="s">
        <v>17</v>
      </c>
      <c r="B42" s="21">
        <f>B38*B41</f>
        <v>1337.7</v>
      </c>
      <c r="C42" s="21">
        <f t="shared" ref="C42" si="22">C38*C41</f>
        <v>1439.62</v>
      </c>
      <c r="D42" s="21">
        <f t="shared" ref="D42" si="23">D38*D41</f>
        <v>1477.84</v>
      </c>
      <c r="E42" s="21">
        <f t="shared" ref="E42" si="24">E38*E41</f>
        <v>1528.8</v>
      </c>
      <c r="F42" s="21">
        <f t="shared" ref="F42" si="25">F38*F41</f>
        <v>1923.74</v>
      </c>
      <c r="G42" s="21">
        <f t="shared" ref="G42" si="26">G38*G41</f>
        <v>1758.12</v>
      </c>
      <c r="H42" s="21">
        <f t="shared" ref="H42" si="27">H38*H41</f>
        <v>1860.04</v>
      </c>
      <c r="I42" s="21">
        <f t="shared" ref="I42" si="28">I38*I41</f>
        <v>1946.7228434443466</v>
      </c>
      <c r="J42" s="21">
        <f t="shared" ref="J42" si="29">J38*J41</f>
        <v>1899.3967669187159</v>
      </c>
      <c r="K42" s="21">
        <f t="shared" ref="K42" si="30">K38*K41</f>
        <v>1752.0468003294618</v>
      </c>
      <c r="L42" s="21">
        <f t="shared" ref="L42" si="31">L38*L41</f>
        <v>1674.9952230094245</v>
      </c>
      <c r="M42" s="21">
        <f t="shared" ref="M42" si="32">M38*M41</f>
        <v>1485.6508435283938</v>
      </c>
      <c r="N42" s="21">
        <f>SUM(B42:M42)</f>
        <v>20084.672477230342</v>
      </c>
    </row>
    <row r="43" spans="1:14">
      <c r="A43" s="25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5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</row>
    <row r="46" spans="1:14">
      <c r="A46" s="255">
        <f>+A29+1</f>
        <v>2016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>
      <c r="A47" s="254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56" t="s">
        <v>211</v>
      </c>
      <c r="B48" s="239">
        <f>'FKEC Forecast'!E13</f>
        <v>111160.89024836439</v>
      </c>
      <c r="C48" s="239">
        <f>'FKEC Forecast'!F13</f>
        <v>111353.81326672707</v>
      </c>
      <c r="D48" s="239">
        <f>'FKEC Forecast'!G13</f>
        <v>118484.45422819506</v>
      </c>
      <c r="E48" s="239">
        <f>'FKEC Forecast'!H13</f>
        <v>112438.25044284546</v>
      </c>
      <c r="F48" s="239">
        <f>'FKEC Forecast'!I13</f>
        <v>133526.34481025918</v>
      </c>
      <c r="G48" s="239">
        <f>'FKEC Forecast'!J13</f>
        <v>141937.14102220008</v>
      </c>
      <c r="H48" s="239">
        <f>'FKEC Forecast'!K13</f>
        <v>146075.34722002738</v>
      </c>
      <c r="I48" s="239">
        <f>'FKEC Forecast'!L13</f>
        <v>158236.37941839121</v>
      </c>
      <c r="J48" s="239">
        <f>'FKEC Forecast'!M13</f>
        <v>154358.27806108212</v>
      </c>
      <c r="K48" s="239">
        <f>'FKEC Forecast'!N13</f>
        <v>142401.98851323352</v>
      </c>
      <c r="L48" s="239">
        <f>'FKEC Forecast'!O13</f>
        <v>136147.86179669018</v>
      </c>
      <c r="M48" s="239">
        <f>'FKEC Forecast'!P13</f>
        <v>120787.11155826182</v>
      </c>
      <c r="N48" s="21">
        <f>SUM(B48:M48)</f>
        <v>1586907.8605862774</v>
      </c>
    </row>
    <row r="49" spans="1:14">
      <c r="A49" s="256" t="s">
        <v>45</v>
      </c>
      <c r="B49" s="28">
        <f>B48-B50</f>
        <v>2019.1226996511832</v>
      </c>
      <c r="C49" s="28">
        <f t="shared" ref="C49" si="33">C48-C50</f>
        <v>2022.6269469164981</v>
      </c>
      <c r="D49" s="28">
        <f t="shared" ref="D49" si="34">D48-D50</f>
        <v>2152.147671302504</v>
      </c>
      <c r="E49" s="28">
        <f t="shared" ref="E49" si="35">E48-E50</f>
        <v>2042.3246275823622</v>
      </c>
      <c r="F49" s="28">
        <f t="shared" ref="F49" si="36">F48-F50</f>
        <v>2425.3680697003438</v>
      </c>
      <c r="G49" s="28">
        <f t="shared" ref="G49" si="37">G48-G50</f>
        <v>2578.1414913212648</v>
      </c>
      <c r="H49" s="28">
        <f t="shared" ref="H49" si="38">H48-H50</f>
        <v>2653.3077305552433</v>
      </c>
      <c r="I49" s="28">
        <f t="shared" ref="I49" si="39">I48-I50</f>
        <v>2874.2003134415718</v>
      </c>
      <c r="J49" s="28">
        <f t="shared" ref="J49" si="40">J48-J50</f>
        <v>2803.758609847835</v>
      </c>
      <c r="K49" s="28">
        <f t="shared" ref="K49" si="41">K48-K50</f>
        <v>2586.5849656306382</v>
      </c>
      <c r="L49" s="28">
        <f t="shared" ref="L49" si="42">L48-L50</f>
        <v>2472.9852167292847</v>
      </c>
      <c r="M49" s="28">
        <f t="shared" ref="M49" si="43">M48-M50</f>
        <v>2193.9730621775525</v>
      </c>
      <c r="N49" s="21">
        <f>SUM(B49:M49)</f>
        <v>28824.541404856282</v>
      </c>
    </row>
    <row r="50" spans="1:14">
      <c r="A50" s="256" t="s">
        <v>47</v>
      </c>
      <c r="B50" s="28">
        <f>B48/(1+'Transmission Formula Rate (7)'!$B$27)</f>
        <v>109141.76754871321</v>
      </c>
      <c r="C50" s="28">
        <f>C48/(1+'Transmission Formula Rate (7)'!$B$27)</f>
        <v>109331.18631981057</v>
      </c>
      <c r="D50" s="28">
        <f>D48/(1+'Transmission Formula Rate (7)'!$B$27)</f>
        <v>116332.30655689255</v>
      </c>
      <c r="E50" s="28">
        <f>E48/(1+'Transmission Formula Rate (7)'!$B$27)</f>
        <v>110395.92581526309</v>
      </c>
      <c r="F50" s="28">
        <f>F48/(1+'Transmission Formula Rate (7)'!$B$27)</f>
        <v>131100.97674055884</v>
      </c>
      <c r="G50" s="28">
        <f>G48/(1+'Transmission Formula Rate (7)'!$B$27)</f>
        <v>139358.99953087882</v>
      </c>
      <c r="H50" s="28">
        <f>H48/(1+'Transmission Formula Rate (7)'!$B$27)</f>
        <v>143422.03948947214</v>
      </c>
      <c r="I50" s="28">
        <f>I48/(1+'Transmission Formula Rate (7)'!$B$27)</f>
        <v>155362.17910494964</v>
      </c>
      <c r="J50" s="28">
        <f>J48/(1+'Transmission Formula Rate (7)'!$B$27)</f>
        <v>151554.51945123429</v>
      </c>
      <c r="K50" s="28">
        <f>K48/(1+'Transmission Formula Rate (7)'!$B$27)</f>
        <v>139815.40354760288</v>
      </c>
      <c r="L50" s="28">
        <f>L48/(1+'Transmission Formula Rate (7)'!$B$27)</f>
        <v>133674.8765799609</v>
      </c>
      <c r="M50" s="28">
        <f>M48/(1+'Transmission Formula Rate (7)'!$B$27)</f>
        <v>118593.13849608427</v>
      </c>
      <c r="N50" s="124">
        <f>SUM(B50:M50)</f>
        <v>1558083.3191814213</v>
      </c>
    </row>
    <row r="51" spans="1:14">
      <c r="A51" s="254" t="s">
        <v>20</v>
      </c>
      <c r="B51" s="30">
        <f>'Transmission Formula Rate (7)'!B12</f>
        <v>1.59</v>
      </c>
      <c r="C51" s="30">
        <f>'Transmission Formula Rate (7)'!C12</f>
        <v>1.59</v>
      </c>
      <c r="D51" s="30">
        <f>'Transmission Formula Rate (7)'!D12</f>
        <v>1.59</v>
      </c>
      <c r="E51" s="30">
        <f>'Transmission Formula Rate (7)'!E12</f>
        <v>1.59</v>
      </c>
      <c r="F51" s="30">
        <f>'Transmission Formula Rate (7)'!F12</f>
        <v>1.59</v>
      </c>
      <c r="G51" s="30">
        <f>'Transmission Formula Rate (7)'!G12</f>
        <v>1.59</v>
      </c>
      <c r="H51" s="30">
        <f>'Transmission Formula Rate (7)'!H12</f>
        <v>1.59</v>
      </c>
      <c r="I51" s="30">
        <f>'Transmission Formula Rate (7)'!I12</f>
        <v>1.59</v>
      </c>
      <c r="J51" s="30">
        <f>'Transmission Formula Rate (7)'!J12</f>
        <v>1.59</v>
      </c>
      <c r="K51" s="30">
        <f>'Transmission Formula Rate (7)'!K12</f>
        <v>1.59</v>
      </c>
      <c r="L51" s="30">
        <f>'Transmission Formula Rate (7)'!L12</f>
        <v>1.59</v>
      </c>
      <c r="M51" s="30">
        <f>'Transmission Formula Rate (7)'!M12</f>
        <v>1.59</v>
      </c>
      <c r="N51" s="20"/>
    </row>
    <row r="52" spans="1:14">
      <c r="A52" s="254" t="s">
        <v>17</v>
      </c>
      <c r="B52" s="21">
        <f>B48*B51</f>
        <v>176745.81549489938</v>
      </c>
      <c r="C52" s="21">
        <f t="shared" ref="C52" si="44">C48*C51</f>
        <v>177052.56309409605</v>
      </c>
      <c r="D52" s="21">
        <f t="shared" ref="D52" si="45">D48*D51</f>
        <v>188390.28222283014</v>
      </c>
      <c r="E52" s="21">
        <f t="shared" ref="E52" si="46">E48*E51</f>
        <v>178776.81820412428</v>
      </c>
      <c r="F52" s="21">
        <f t="shared" ref="F52" si="47">F48*F51</f>
        <v>212306.88824831211</v>
      </c>
      <c r="G52" s="21">
        <f t="shared" ref="G52" si="48">G48*G51</f>
        <v>225680.05422529814</v>
      </c>
      <c r="H52" s="21">
        <f t="shared" ref="H52" si="49">H48*H51</f>
        <v>232259.80207984356</v>
      </c>
      <c r="I52" s="21">
        <f t="shared" ref="I52" si="50">I48*I51</f>
        <v>251595.84327524205</v>
      </c>
      <c r="J52" s="21">
        <f t="shared" ref="J52" si="51">J48*J51</f>
        <v>245429.66211712058</v>
      </c>
      <c r="K52" s="21">
        <f t="shared" ref="K52" si="52">K48*K51</f>
        <v>226419.16173604131</v>
      </c>
      <c r="L52" s="21">
        <f t="shared" ref="L52" si="53">L48*L51</f>
        <v>216475.10025673741</v>
      </c>
      <c r="M52" s="21">
        <f t="shared" ref="M52" si="54">M48*M51</f>
        <v>192051.5073776363</v>
      </c>
      <c r="N52" s="21">
        <f>SUM(B52:M52)</f>
        <v>2523183.498332181</v>
      </c>
    </row>
    <row r="53" spans="1:14">
      <c r="A53" s="257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>
      <c r="A54" s="254" t="s">
        <v>141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56" t="s">
        <v>211</v>
      </c>
      <c r="B55" s="239">
        <f>B48</f>
        <v>111160.89024836439</v>
      </c>
      <c r="C55" s="239">
        <f t="shared" ref="C55:M55" si="55">C48</f>
        <v>111353.81326672707</v>
      </c>
      <c r="D55" s="239">
        <f t="shared" si="55"/>
        <v>118484.45422819506</v>
      </c>
      <c r="E55" s="239">
        <f t="shared" si="55"/>
        <v>112438.25044284546</v>
      </c>
      <c r="F55" s="239">
        <f t="shared" si="55"/>
        <v>133526.34481025918</v>
      </c>
      <c r="G55" s="239">
        <f t="shared" si="55"/>
        <v>141937.14102220008</v>
      </c>
      <c r="H55" s="239">
        <f t="shared" si="55"/>
        <v>146075.34722002738</v>
      </c>
      <c r="I55" s="239">
        <f t="shared" si="55"/>
        <v>158236.37941839121</v>
      </c>
      <c r="J55" s="239">
        <f t="shared" si="55"/>
        <v>154358.27806108212</v>
      </c>
      <c r="K55" s="239">
        <f t="shared" si="55"/>
        <v>142401.98851323352</v>
      </c>
      <c r="L55" s="239">
        <f t="shared" si="55"/>
        <v>136147.86179669018</v>
      </c>
      <c r="M55" s="239">
        <f t="shared" si="55"/>
        <v>120787.11155826182</v>
      </c>
      <c r="N55" s="21">
        <f>SUM(B55:M55)</f>
        <v>1586907.8605862774</v>
      </c>
    </row>
    <row r="56" spans="1:14">
      <c r="A56" s="256" t="s">
        <v>45</v>
      </c>
      <c r="B56" s="28">
        <f>B55-B57</f>
        <v>2019.1226996511832</v>
      </c>
      <c r="C56" s="28">
        <f t="shared" ref="C56" si="56">C55-C57</f>
        <v>2022.6269469164981</v>
      </c>
      <c r="D56" s="28">
        <f t="shared" ref="D56" si="57">D55-D57</f>
        <v>2152.147671302504</v>
      </c>
      <c r="E56" s="28">
        <f t="shared" ref="E56" si="58">E55-E57</f>
        <v>2042.3246275823622</v>
      </c>
      <c r="F56" s="28">
        <f t="shared" ref="F56" si="59">F55-F57</f>
        <v>2425.3680697003438</v>
      </c>
      <c r="G56" s="28">
        <f t="shared" ref="G56" si="60">G55-G57</f>
        <v>2578.1414913212648</v>
      </c>
      <c r="H56" s="28">
        <f t="shared" ref="H56" si="61">H55-H57</f>
        <v>2653.3077305552433</v>
      </c>
      <c r="I56" s="28">
        <f t="shared" ref="I56" si="62">I55-I57</f>
        <v>2874.2003134415718</v>
      </c>
      <c r="J56" s="28">
        <f t="shared" ref="J56" si="63">J55-J57</f>
        <v>2803.758609847835</v>
      </c>
      <c r="K56" s="28">
        <f t="shared" ref="K56" si="64">K55-K57</f>
        <v>2586.5849656306382</v>
      </c>
      <c r="L56" s="28">
        <f t="shared" ref="L56" si="65">L55-L57</f>
        <v>2472.9852167292847</v>
      </c>
      <c r="M56" s="28">
        <f t="shared" ref="M56" si="66">M55-M57</f>
        <v>2193.9730621775525</v>
      </c>
      <c r="N56" s="21">
        <f>SUM(B56:M56)</f>
        <v>28824.541404856282</v>
      </c>
    </row>
    <row r="57" spans="1:14">
      <c r="A57" s="256" t="s">
        <v>47</v>
      </c>
      <c r="B57" s="28">
        <f>B55/(1+'Transmission Formula Rate (7)'!$B$27)</f>
        <v>109141.76754871321</v>
      </c>
      <c r="C57" s="28">
        <f>C55/(1+'Transmission Formula Rate (7)'!$B$27)</f>
        <v>109331.18631981057</v>
      </c>
      <c r="D57" s="28">
        <f>D55/(1+'Transmission Formula Rate (7)'!$B$27)</f>
        <v>116332.30655689255</v>
      </c>
      <c r="E57" s="28">
        <f>E55/(1+'Transmission Formula Rate (7)'!$B$27)</f>
        <v>110395.92581526309</v>
      </c>
      <c r="F57" s="28">
        <f>F55/(1+'Transmission Formula Rate (7)'!$B$27)</f>
        <v>131100.97674055884</v>
      </c>
      <c r="G57" s="28">
        <f>G55/(1+'Transmission Formula Rate (7)'!$B$27)</f>
        <v>139358.99953087882</v>
      </c>
      <c r="H57" s="28">
        <f>H55/(1+'Transmission Formula Rate (7)'!$B$27)</f>
        <v>143422.03948947214</v>
      </c>
      <c r="I57" s="28">
        <f>I55/(1+'Transmission Formula Rate (7)'!$B$27)</f>
        <v>155362.17910494964</v>
      </c>
      <c r="J57" s="28">
        <f>J55/(1+'Transmission Formula Rate (7)'!$B$27)</f>
        <v>151554.51945123429</v>
      </c>
      <c r="K57" s="28">
        <f>K55/(1+'Transmission Formula Rate (7)'!$B$27)</f>
        <v>139815.40354760288</v>
      </c>
      <c r="L57" s="28">
        <f>L55/(1+'Transmission Formula Rate (7)'!$B$27)</f>
        <v>133674.8765799609</v>
      </c>
      <c r="M57" s="28">
        <f>M55/(1+'Transmission Formula Rate (7)'!$B$27)</f>
        <v>118593.13849608427</v>
      </c>
      <c r="N57" s="124">
        <f>SUM(B57:M57)</f>
        <v>1558083.3191814213</v>
      </c>
    </row>
    <row r="58" spans="1:14">
      <c r="A58" s="254" t="s">
        <v>149</v>
      </c>
      <c r="B58" s="32">
        <f>'charges (1 &amp; 2)'!F33</f>
        <v>1.274E-2</v>
      </c>
      <c r="C58" s="32">
        <f>B58</f>
        <v>1.274E-2</v>
      </c>
      <c r="D58" s="32">
        <f t="shared" ref="D58:M58" si="67">C58</f>
        <v>1.274E-2</v>
      </c>
      <c r="E58" s="32">
        <f t="shared" si="67"/>
        <v>1.274E-2</v>
      </c>
      <c r="F58" s="32">
        <f t="shared" si="67"/>
        <v>1.274E-2</v>
      </c>
      <c r="G58" s="32">
        <f t="shared" si="67"/>
        <v>1.274E-2</v>
      </c>
      <c r="H58" s="32">
        <f t="shared" si="67"/>
        <v>1.274E-2</v>
      </c>
      <c r="I58" s="32">
        <f t="shared" si="67"/>
        <v>1.274E-2</v>
      </c>
      <c r="J58" s="32">
        <f t="shared" si="67"/>
        <v>1.274E-2</v>
      </c>
      <c r="K58" s="32">
        <f t="shared" si="67"/>
        <v>1.274E-2</v>
      </c>
      <c r="L58" s="32">
        <f t="shared" si="67"/>
        <v>1.274E-2</v>
      </c>
      <c r="M58" s="32">
        <f t="shared" si="67"/>
        <v>1.274E-2</v>
      </c>
      <c r="N58" s="20"/>
    </row>
    <row r="59" spans="1:14">
      <c r="A59" s="254" t="s">
        <v>17</v>
      </c>
      <c r="B59" s="21">
        <f>B55*B58</f>
        <v>1416.1897417641624</v>
      </c>
      <c r="C59" s="21">
        <f t="shared" ref="C59" si="68">C55*C58</f>
        <v>1418.6475810181028</v>
      </c>
      <c r="D59" s="21">
        <f t="shared" ref="D59" si="69">D55*D58</f>
        <v>1509.4919468672049</v>
      </c>
      <c r="E59" s="21">
        <f t="shared" ref="E59" si="70">E55*E58</f>
        <v>1432.463310641851</v>
      </c>
      <c r="F59" s="21">
        <f t="shared" ref="F59" si="71">F55*F58</f>
        <v>1701.1256328827019</v>
      </c>
      <c r="G59" s="21">
        <f t="shared" ref="G59" si="72">G55*G58</f>
        <v>1808.279176622829</v>
      </c>
      <c r="H59" s="21">
        <f t="shared" ref="H59" si="73">H55*H58</f>
        <v>1860.9999235831488</v>
      </c>
      <c r="I59" s="21">
        <f t="shared" ref="I59" si="74">I55*I58</f>
        <v>2015.9314737903039</v>
      </c>
      <c r="J59" s="21">
        <f t="shared" ref="J59" si="75">J55*J58</f>
        <v>1966.5244624981863</v>
      </c>
      <c r="K59" s="21">
        <f t="shared" ref="K59" si="76">K55*K58</f>
        <v>1814.2013336585949</v>
      </c>
      <c r="L59" s="21">
        <f t="shared" ref="L59" si="77">L55*L58</f>
        <v>1734.5237592898329</v>
      </c>
      <c r="M59" s="21">
        <f t="shared" ref="M59" si="78">M55*M58</f>
        <v>1538.8278012522555</v>
      </c>
      <c r="N59" s="21">
        <f>SUM(B59:M59)</f>
        <v>20217.206143869178</v>
      </c>
    </row>
    <row r="60" spans="1:14">
      <c r="A60" s="25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5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</row>
    <row r="63" spans="1:14">
      <c r="A63" s="255">
        <f>+A46+1</f>
        <v>2017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>
      <c r="A64" s="254" t="s">
        <v>37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256" t="s">
        <v>211</v>
      </c>
      <c r="B65" s="239">
        <f>'FKEC Forecast'!E14</f>
        <v>115128.13163669655</v>
      </c>
      <c r="C65" s="239">
        <f>'FKEC Forecast'!F14</f>
        <v>112403.39279087265</v>
      </c>
      <c r="D65" s="239">
        <f>'FKEC Forecast'!G14</f>
        <v>119601.24451529191</v>
      </c>
      <c r="E65" s="239">
        <f>'FKEC Forecast'!H14</f>
        <v>113498.05146746674</v>
      </c>
      <c r="F65" s="239">
        <f>'FKEC Forecast'!I14</f>
        <v>134784.91434941953</v>
      </c>
      <c r="G65" s="239">
        <f>'FKEC Forecast'!J14</f>
        <v>143274.98759038022</v>
      </c>
      <c r="H65" s="239">
        <f>'FKEC Forecast'!K14</f>
        <v>147452.19897684464</v>
      </c>
      <c r="I65" s="239">
        <f>'FKEC Forecast'!L14</f>
        <v>158738.90960037828</v>
      </c>
      <c r="J65" s="239">
        <f>'FKEC Forecast'!M14</f>
        <v>155813.20163560953</v>
      </c>
      <c r="K65" s="239">
        <f>'FKEC Forecast'!N14</f>
        <v>143744.2165605397</v>
      </c>
      <c r="L65" s="239">
        <f>'FKEC Forecast'!O14</f>
        <v>137431.14077749813</v>
      </c>
      <c r="M65" s="239">
        <f>'FKEC Forecast'!P14</f>
        <v>121925.60583477636</v>
      </c>
      <c r="N65" s="21">
        <f>SUM(B65:M65)</f>
        <v>1603795.9957357745</v>
      </c>
    </row>
    <row r="66" spans="1:14">
      <c r="A66" s="256" t="s">
        <v>45</v>
      </c>
      <c r="B66" s="28">
        <f>B65-B67</f>
        <v>2091.1835397927207</v>
      </c>
      <c r="C66" s="28">
        <f t="shared" ref="C66" si="79">C65-C67</f>
        <v>2041.6914743555681</v>
      </c>
      <c r="D66" s="28">
        <f t="shared" ref="D66" si="80">D65-D67</f>
        <v>2172.433012796173</v>
      </c>
      <c r="E66" s="28">
        <f t="shared" ref="E66" si="81">E65-E67</f>
        <v>2061.5748180148512</v>
      </c>
      <c r="F66" s="28">
        <f t="shared" ref="F66" si="82">F65-F67</f>
        <v>2448.2286847955256</v>
      </c>
      <c r="G66" s="28">
        <f t="shared" ref="G66" si="83">G65-G67</f>
        <v>2602.4420917251264</v>
      </c>
      <c r="H66" s="28">
        <f t="shared" ref="H66" si="84">H65-H67</f>
        <v>2678.3168199034117</v>
      </c>
      <c r="I66" s="28">
        <f t="shared" ref="I66" si="85">I65-I67</f>
        <v>2883.3282548915013</v>
      </c>
      <c r="J66" s="28">
        <f t="shared" ref="J66" si="86">J65-J67</f>
        <v>2830.1857930866536</v>
      </c>
      <c r="K66" s="28">
        <f t="shared" ref="K66" si="87">K65-K67</f>
        <v>2610.9651510750991</v>
      </c>
      <c r="L66" s="28">
        <f t="shared" ref="L66" si="88">L65-L67</f>
        <v>2496.294653297693</v>
      </c>
      <c r="M66" s="28">
        <f t="shared" ref="M66" si="89">M65-M67</f>
        <v>2214.6526342104626</v>
      </c>
      <c r="N66" s="21">
        <f>SUM(B66:M66)</f>
        <v>29131.296927944786</v>
      </c>
    </row>
    <row r="67" spans="1:14">
      <c r="A67" s="256" t="s">
        <v>47</v>
      </c>
      <c r="B67" s="28">
        <f>B65/(1+'Transmission Formula Rate (7)'!$B$27)</f>
        <v>113036.94809690383</v>
      </c>
      <c r="C67" s="28">
        <f>C65/(1+'Transmission Formula Rate (7)'!$B$27)</f>
        <v>110361.70131651708</v>
      </c>
      <c r="D67" s="28">
        <f>D65/(1+'Transmission Formula Rate (7)'!$B$27)</f>
        <v>117428.81150249574</v>
      </c>
      <c r="E67" s="28">
        <f>E65/(1+'Transmission Formula Rate (7)'!$B$27)</f>
        <v>111436.47664945188</v>
      </c>
      <c r="F67" s="28">
        <f>F65/(1+'Transmission Formula Rate (7)'!$B$27)</f>
        <v>132336.685664624</v>
      </c>
      <c r="G67" s="28">
        <f>G65/(1+'Transmission Formula Rate (7)'!$B$27)</f>
        <v>140672.54549865509</v>
      </c>
      <c r="H67" s="28">
        <f>H65/(1+'Transmission Formula Rate (7)'!$B$27)</f>
        <v>144773.88215694122</v>
      </c>
      <c r="I67" s="28">
        <f>I65/(1+'Transmission Formula Rate (7)'!$B$27)</f>
        <v>155855.58134548677</v>
      </c>
      <c r="J67" s="28">
        <f>J65/(1+'Transmission Formula Rate (7)'!$B$27)</f>
        <v>152983.01584252287</v>
      </c>
      <c r="K67" s="28">
        <f>K65/(1+'Transmission Formula Rate (7)'!$B$27)</f>
        <v>141133.2514094646</v>
      </c>
      <c r="L67" s="28">
        <f>L65/(1+'Transmission Formula Rate (7)'!$B$27)</f>
        <v>134934.84612420044</v>
      </c>
      <c r="M67" s="28">
        <f>M65/(1+'Transmission Formula Rate (7)'!$B$27)</f>
        <v>119710.9532005659</v>
      </c>
      <c r="N67" s="124">
        <f>SUM(B67:M67)</f>
        <v>1574664.6988078293</v>
      </c>
    </row>
    <row r="68" spans="1:14">
      <c r="A68" s="254" t="s">
        <v>20</v>
      </c>
      <c r="B68" s="30">
        <f>'Transmission Formula Rate (7)'!B14</f>
        <v>1.59</v>
      </c>
      <c r="C68" s="30">
        <f>'Transmission Formula Rate (7)'!C14</f>
        <v>1.59</v>
      </c>
      <c r="D68" s="30">
        <f>'Transmission Formula Rate (7)'!D14</f>
        <v>1.59</v>
      </c>
      <c r="E68" s="30">
        <f>'Transmission Formula Rate (7)'!E14</f>
        <v>1.59</v>
      </c>
      <c r="F68" s="30">
        <f>'Transmission Formula Rate (7)'!F14</f>
        <v>1.59</v>
      </c>
      <c r="G68" s="30">
        <f>'Transmission Formula Rate (7)'!G14</f>
        <v>1.59</v>
      </c>
      <c r="H68" s="30">
        <f>'Transmission Formula Rate (7)'!H14</f>
        <v>1.59</v>
      </c>
      <c r="I68" s="30">
        <f>'Transmission Formula Rate (7)'!I14</f>
        <v>1.59</v>
      </c>
      <c r="J68" s="30">
        <f>'Transmission Formula Rate (7)'!J14</f>
        <v>1.59</v>
      </c>
      <c r="K68" s="30">
        <f>'Transmission Formula Rate (7)'!K14</f>
        <v>1.59</v>
      </c>
      <c r="L68" s="30">
        <f>'Transmission Formula Rate (7)'!L14</f>
        <v>1.59</v>
      </c>
      <c r="M68" s="30">
        <f>'Transmission Formula Rate (7)'!M14</f>
        <v>1.59</v>
      </c>
      <c r="N68" s="20"/>
    </row>
    <row r="69" spans="1:14">
      <c r="A69" s="254" t="s">
        <v>17</v>
      </c>
      <c r="B69" s="21">
        <f>B65*B68</f>
        <v>183053.72930234752</v>
      </c>
      <c r="C69" s="21">
        <f t="shared" ref="C69" si="90">C65*C68</f>
        <v>178721.3945374875</v>
      </c>
      <c r="D69" s="21">
        <f t="shared" ref="D69" si="91">D65*D68</f>
        <v>190165.97877931414</v>
      </c>
      <c r="E69" s="21">
        <f t="shared" ref="E69" si="92">E65*E68</f>
        <v>180461.90183327213</v>
      </c>
      <c r="F69" s="21">
        <f t="shared" ref="F69" si="93">F65*F68</f>
        <v>214308.01381557705</v>
      </c>
      <c r="G69" s="21">
        <f t="shared" ref="G69" si="94">G65*G68</f>
        <v>227807.23026870456</v>
      </c>
      <c r="H69" s="21">
        <f t="shared" ref="H69" si="95">H65*H68</f>
        <v>234448.99637318298</v>
      </c>
      <c r="I69" s="21">
        <f t="shared" ref="I69" si="96">I65*I68</f>
        <v>252394.86626460147</v>
      </c>
      <c r="J69" s="21">
        <f t="shared" ref="J69" si="97">J65*J68</f>
        <v>247742.99060061914</v>
      </c>
      <c r="K69" s="21">
        <f t="shared" ref="K69" si="98">K65*K68</f>
        <v>228553.30433125814</v>
      </c>
      <c r="L69" s="21">
        <f t="shared" ref="L69" si="99">L65*L68</f>
        <v>218515.51383622203</v>
      </c>
      <c r="M69" s="21">
        <f t="shared" ref="M69" si="100">M65*M68</f>
        <v>193861.71327729442</v>
      </c>
      <c r="N69" s="21">
        <f>SUM(B69:M69)</f>
        <v>2550035.633219881</v>
      </c>
    </row>
    <row r="71" spans="1:14">
      <c r="A71" s="254" t="s">
        <v>141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256" t="s">
        <v>211</v>
      </c>
      <c r="B72" s="239">
        <f>B65</f>
        <v>115128.13163669655</v>
      </c>
      <c r="C72" s="239">
        <f t="shared" ref="C72:M72" si="101">C65</f>
        <v>112403.39279087265</v>
      </c>
      <c r="D72" s="239">
        <f t="shared" si="101"/>
        <v>119601.24451529191</v>
      </c>
      <c r="E72" s="239">
        <f t="shared" si="101"/>
        <v>113498.05146746674</v>
      </c>
      <c r="F72" s="239">
        <f t="shared" si="101"/>
        <v>134784.91434941953</v>
      </c>
      <c r="G72" s="239">
        <f t="shared" si="101"/>
        <v>143274.98759038022</v>
      </c>
      <c r="H72" s="239">
        <f t="shared" si="101"/>
        <v>147452.19897684464</v>
      </c>
      <c r="I72" s="239">
        <f t="shared" si="101"/>
        <v>158738.90960037828</v>
      </c>
      <c r="J72" s="239">
        <f t="shared" si="101"/>
        <v>155813.20163560953</v>
      </c>
      <c r="K72" s="239">
        <f t="shared" si="101"/>
        <v>143744.2165605397</v>
      </c>
      <c r="L72" s="239">
        <f t="shared" si="101"/>
        <v>137431.14077749813</v>
      </c>
      <c r="M72" s="239">
        <f t="shared" si="101"/>
        <v>121925.60583477636</v>
      </c>
      <c r="N72" s="21">
        <f>SUM(B72:M72)</f>
        <v>1603795.9957357745</v>
      </c>
    </row>
    <row r="73" spans="1:14">
      <c r="A73" s="256" t="s">
        <v>45</v>
      </c>
      <c r="B73" s="28">
        <f>B72-B74</f>
        <v>2091.1835397927207</v>
      </c>
      <c r="C73" s="28">
        <f t="shared" ref="C73" si="102">C72-C74</f>
        <v>2041.6914743555681</v>
      </c>
      <c r="D73" s="28">
        <f t="shared" ref="D73" si="103">D72-D74</f>
        <v>2172.433012796173</v>
      </c>
      <c r="E73" s="28">
        <f t="shared" ref="E73" si="104">E72-E74</f>
        <v>2061.5748180148512</v>
      </c>
      <c r="F73" s="28">
        <f t="shared" ref="F73" si="105">F72-F74</f>
        <v>2448.2286847955256</v>
      </c>
      <c r="G73" s="28">
        <f t="shared" ref="G73" si="106">G72-G74</f>
        <v>2602.4420917251264</v>
      </c>
      <c r="H73" s="28">
        <f t="shared" ref="H73" si="107">H72-H74</f>
        <v>2678.3168199034117</v>
      </c>
      <c r="I73" s="28">
        <f t="shared" ref="I73" si="108">I72-I74</f>
        <v>2883.3282548915013</v>
      </c>
      <c r="J73" s="28">
        <f t="shared" ref="J73" si="109">J72-J74</f>
        <v>2830.1857930866536</v>
      </c>
      <c r="K73" s="28">
        <f t="shared" ref="K73" si="110">K72-K74</f>
        <v>2610.9651510750991</v>
      </c>
      <c r="L73" s="28">
        <f t="shared" ref="L73" si="111">L72-L74</f>
        <v>2496.294653297693</v>
      </c>
      <c r="M73" s="28">
        <f t="shared" ref="M73" si="112">M72-M74</f>
        <v>2214.6526342104626</v>
      </c>
      <c r="N73" s="21">
        <f>SUM(B73:M73)</f>
        <v>29131.296927944786</v>
      </c>
    </row>
    <row r="74" spans="1:14">
      <c r="A74" s="256" t="s">
        <v>47</v>
      </c>
      <c r="B74" s="28">
        <f>B72/(1+'Transmission Formula Rate (7)'!$B$27)</f>
        <v>113036.94809690383</v>
      </c>
      <c r="C74" s="28">
        <f>C72/(1+'Transmission Formula Rate (7)'!$B$27)</f>
        <v>110361.70131651708</v>
      </c>
      <c r="D74" s="28">
        <f>D72/(1+'Transmission Formula Rate (7)'!$B$27)</f>
        <v>117428.81150249574</v>
      </c>
      <c r="E74" s="28">
        <f>E72/(1+'Transmission Formula Rate (7)'!$B$27)</f>
        <v>111436.47664945188</v>
      </c>
      <c r="F74" s="28">
        <f>F72/(1+'Transmission Formula Rate (7)'!$B$27)</f>
        <v>132336.685664624</v>
      </c>
      <c r="G74" s="28">
        <f>G72/(1+'Transmission Formula Rate (7)'!$B$27)</f>
        <v>140672.54549865509</v>
      </c>
      <c r="H74" s="28">
        <f>H72/(1+'Transmission Formula Rate (7)'!$B$27)</f>
        <v>144773.88215694122</v>
      </c>
      <c r="I74" s="28">
        <f>I72/(1+'Transmission Formula Rate (7)'!$B$27)</f>
        <v>155855.58134548677</v>
      </c>
      <c r="J74" s="28">
        <f>J72/(1+'Transmission Formula Rate (7)'!$B$27)</f>
        <v>152983.01584252287</v>
      </c>
      <c r="K74" s="28">
        <f>K72/(1+'Transmission Formula Rate (7)'!$B$27)</f>
        <v>141133.2514094646</v>
      </c>
      <c r="L74" s="28">
        <f>L72/(1+'Transmission Formula Rate (7)'!$B$27)</f>
        <v>134934.84612420044</v>
      </c>
      <c r="M74" s="28">
        <f>M72/(1+'Transmission Formula Rate (7)'!$B$27)</f>
        <v>119710.9532005659</v>
      </c>
      <c r="N74" s="124">
        <f>SUM(B74:M74)</f>
        <v>1574664.6988078293</v>
      </c>
    </row>
    <row r="75" spans="1:14">
      <c r="A75" s="254" t="s">
        <v>149</v>
      </c>
      <c r="B75" s="32">
        <f>'charges (1 &amp; 2)'!G33</f>
        <v>1.274E-2</v>
      </c>
      <c r="C75" s="32">
        <f>B75</f>
        <v>1.274E-2</v>
      </c>
      <c r="D75" s="32">
        <f t="shared" ref="D75:M75" si="113">C75</f>
        <v>1.274E-2</v>
      </c>
      <c r="E75" s="32">
        <f t="shared" si="113"/>
        <v>1.274E-2</v>
      </c>
      <c r="F75" s="32">
        <f t="shared" si="113"/>
        <v>1.274E-2</v>
      </c>
      <c r="G75" s="32">
        <f t="shared" si="113"/>
        <v>1.274E-2</v>
      </c>
      <c r="H75" s="32">
        <f t="shared" si="113"/>
        <v>1.274E-2</v>
      </c>
      <c r="I75" s="32">
        <f t="shared" si="113"/>
        <v>1.274E-2</v>
      </c>
      <c r="J75" s="32">
        <f t="shared" si="113"/>
        <v>1.274E-2</v>
      </c>
      <c r="K75" s="32">
        <f t="shared" si="113"/>
        <v>1.274E-2</v>
      </c>
      <c r="L75" s="32">
        <f t="shared" si="113"/>
        <v>1.274E-2</v>
      </c>
      <c r="M75" s="32">
        <f t="shared" si="113"/>
        <v>1.274E-2</v>
      </c>
      <c r="N75" s="20"/>
    </row>
    <row r="76" spans="1:14">
      <c r="A76" s="254" t="s">
        <v>17</v>
      </c>
      <c r="B76" s="21">
        <f>B72*B75</f>
        <v>1466.732397051514</v>
      </c>
      <c r="C76" s="21">
        <f t="shared" ref="C76" si="114">C72*C75</f>
        <v>1432.0192241557174</v>
      </c>
      <c r="D76" s="21">
        <f t="shared" ref="D76" si="115">D72*D75</f>
        <v>1523.7198551248189</v>
      </c>
      <c r="E76" s="21">
        <f t="shared" ref="E76" si="116">E72*E75</f>
        <v>1445.9651756955261</v>
      </c>
      <c r="F76" s="21">
        <f t="shared" ref="F76" si="117">F72*F75</f>
        <v>1717.1598088116048</v>
      </c>
      <c r="G76" s="21">
        <f t="shared" ref="G76" si="118">G72*G75</f>
        <v>1825.3233419014439</v>
      </c>
      <c r="H76" s="21">
        <f t="shared" ref="H76" si="119">H72*H75</f>
        <v>1878.5410149650006</v>
      </c>
      <c r="I76" s="21">
        <f t="shared" ref="I76" si="120">I72*I75</f>
        <v>2022.3337083088193</v>
      </c>
      <c r="J76" s="21">
        <f t="shared" ref="J76" si="121">J72*J75</f>
        <v>1985.0601888376652</v>
      </c>
      <c r="K76" s="21">
        <f t="shared" ref="K76" si="122">K72*K75</f>
        <v>1831.3013189812757</v>
      </c>
      <c r="L76" s="21">
        <f t="shared" ref="L76" si="123">L72*L75</f>
        <v>1750.8727335053261</v>
      </c>
      <c r="M76" s="21">
        <f t="shared" ref="M76" si="124">M72*M75</f>
        <v>1553.3322183350508</v>
      </c>
      <c r="N76" s="21">
        <f>SUM(B76:M76)</f>
        <v>20432.360985673764</v>
      </c>
    </row>
    <row r="79" spans="1:14">
      <c r="B79" s="24" t="s">
        <v>0</v>
      </c>
      <c r="C79" s="24" t="s">
        <v>1</v>
      </c>
      <c r="D79" s="24" t="s">
        <v>2</v>
      </c>
      <c r="E79" s="24" t="s">
        <v>3</v>
      </c>
      <c r="F79" s="24" t="s">
        <v>4</v>
      </c>
      <c r="G79" s="24" t="s">
        <v>5</v>
      </c>
      <c r="H79" s="24" t="s">
        <v>6</v>
      </c>
      <c r="I79" s="24" t="s">
        <v>7</v>
      </c>
      <c r="J79" s="24" t="s">
        <v>8</v>
      </c>
      <c r="K79" s="24" t="s">
        <v>9</v>
      </c>
      <c r="L79" s="24" t="s">
        <v>10</v>
      </c>
      <c r="M79" s="24" t="s">
        <v>11</v>
      </c>
      <c r="N79" s="24" t="s">
        <v>12</v>
      </c>
    </row>
    <row r="80" spans="1:14">
      <c r="A80" s="255">
        <f>+A63+1</f>
        <v>2018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4">
      <c r="A81" s="254" t="s">
        <v>37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256" t="s">
        <v>211</v>
      </c>
      <c r="B82" s="239">
        <f>'FKEC Forecast'!E15</f>
        <v>116213.28647849413</v>
      </c>
      <c r="C82" s="239">
        <f>'FKEC Forecast'!F15</f>
        <v>113462.86526026356</v>
      </c>
      <c r="D82" s="239">
        <f>'FKEC Forecast'!G15</f>
        <v>120728.56125122526</v>
      </c>
      <c r="E82" s="239">
        <f>'FKEC Forecast'!H15</f>
        <v>114567.84178138559</v>
      </c>
      <c r="F82" s="239">
        <f>'FKEC Forecast'!I15</f>
        <v>136055.34669578206</v>
      </c>
      <c r="G82" s="239">
        <f>'FKEC Forecast'!J15</f>
        <v>144625.44420147865</v>
      </c>
      <c r="H82" s="239">
        <f>'FKEC Forecast'!K15</f>
        <v>148842.02842494476</v>
      </c>
      <c r="I82" s="239">
        <f>'FKEC Forecast'!L15</f>
        <v>161233.76132012784</v>
      </c>
      <c r="J82" s="239">
        <f>'FKEC Forecast'!M15</f>
        <v>157281.83877726336</v>
      </c>
      <c r="K82" s="239">
        <f>'FKEC Forecast'!N15</f>
        <v>145099.09594895283</v>
      </c>
      <c r="L82" s="239">
        <f>'FKEC Forecast'!O15</f>
        <v>138726.51546749208</v>
      </c>
      <c r="M82" s="239">
        <f>'FKEC Forecast'!P15</f>
        <v>123074.83113383905</v>
      </c>
      <c r="N82" s="21">
        <f>SUM(B82:M82)</f>
        <v>1619911.4167412492</v>
      </c>
    </row>
    <row r="83" spans="1:14">
      <c r="A83" s="256" t="s">
        <v>45</v>
      </c>
      <c r="B83" s="28">
        <f>B82-B84</f>
        <v>2110.8942561140284</v>
      </c>
      <c r="C83" s="28">
        <f t="shared" ref="C83" si="125">C82-C84</f>
        <v>2060.9356969218206</v>
      </c>
      <c r="D83" s="28">
        <f t="shared" ref="D83" si="126">D82-D84</f>
        <v>2192.9095563550945</v>
      </c>
      <c r="E83" s="28">
        <f t="shared" ref="E83" si="127">E82-E84</f>
        <v>2081.0064535646816</v>
      </c>
      <c r="F83" s="28">
        <f t="shared" ref="F83" si="128">F82-F84</f>
        <v>2471.304775524768</v>
      </c>
      <c r="G83" s="28">
        <f t="shared" ref="G83" si="129">G82-G84</f>
        <v>2626.9717405276024</v>
      </c>
      <c r="H83" s="28">
        <f t="shared" ref="H83" si="130">H82-H84</f>
        <v>2703.5616356028186</v>
      </c>
      <c r="I83" s="28">
        <f t="shared" ref="I83" si="131">I82-I84</f>
        <v>2928.6446582448261</v>
      </c>
      <c r="J83" s="28">
        <f t="shared" ref="J83" si="132">J82-J84</f>
        <v>2856.8620691009855</v>
      </c>
      <c r="K83" s="28">
        <f t="shared" ref="K83" si="133">K82-K84</f>
        <v>2635.5751350570645</v>
      </c>
      <c r="L83" s="28">
        <f t="shared" ref="L83" si="134">L82-L84</f>
        <v>2519.8237959239923</v>
      </c>
      <c r="M83" s="28">
        <f t="shared" ref="M83" si="135">M82-M84</f>
        <v>2235.5271241787123</v>
      </c>
      <c r="N83" s="21">
        <f>SUM(B83:M83)</f>
        <v>29424.016897116395</v>
      </c>
    </row>
    <row r="84" spans="1:14">
      <c r="A84" s="256" t="s">
        <v>47</v>
      </c>
      <c r="B84" s="28">
        <f>B82/(1+'Transmission Formula Rate (7)'!$B$27)</f>
        <v>114102.39222238011</v>
      </c>
      <c r="C84" s="28">
        <f>C82/(1+'Transmission Formula Rate (7)'!$B$27)</f>
        <v>111401.92956334174</v>
      </c>
      <c r="D84" s="28">
        <f>D82/(1+'Transmission Formula Rate (7)'!$B$27)</f>
        <v>118535.65169487016</v>
      </c>
      <c r="E84" s="28">
        <f>E82/(1+'Transmission Formula Rate (7)'!$B$27)</f>
        <v>112486.83532782091</v>
      </c>
      <c r="F84" s="28">
        <f>F82/(1+'Transmission Formula Rate (7)'!$B$27)</f>
        <v>133584.0419202573</v>
      </c>
      <c r="G84" s="28">
        <f>G82/(1+'Transmission Formula Rate (7)'!$B$27)</f>
        <v>141998.47246095104</v>
      </c>
      <c r="H84" s="28">
        <f>H82/(1+'Transmission Formula Rate (7)'!$B$27)</f>
        <v>146138.46678934194</v>
      </c>
      <c r="I84" s="28">
        <f>I82/(1+'Transmission Formula Rate (7)'!$B$27)</f>
        <v>158305.11666188302</v>
      </c>
      <c r="J84" s="28">
        <f>J82/(1+'Transmission Formula Rate (7)'!$B$27)</f>
        <v>154424.97670816237</v>
      </c>
      <c r="K84" s="28">
        <f>K82/(1+'Transmission Formula Rate (7)'!$B$27)</f>
        <v>142463.52081389577</v>
      </c>
      <c r="L84" s="28">
        <f>L82/(1+'Transmission Formula Rate (7)'!$B$27)</f>
        <v>136206.69167156809</v>
      </c>
      <c r="M84" s="28">
        <f>M82/(1+'Transmission Formula Rate (7)'!$B$27)</f>
        <v>120839.30400966034</v>
      </c>
      <c r="N84" s="124">
        <f>SUM(B84:M84)</f>
        <v>1590487.3998441331</v>
      </c>
    </row>
    <row r="85" spans="1:14">
      <c r="A85" s="254" t="s">
        <v>20</v>
      </c>
      <c r="B85" s="30">
        <f>'Transmission Formula Rate (7)'!B16</f>
        <v>1.59</v>
      </c>
      <c r="C85" s="30">
        <f>'Transmission Formula Rate (7)'!C16</f>
        <v>1.59</v>
      </c>
      <c r="D85" s="30">
        <f>'Transmission Formula Rate (7)'!D16</f>
        <v>1.59</v>
      </c>
      <c r="E85" s="30">
        <f>'Transmission Formula Rate (7)'!E16</f>
        <v>1.59</v>
      </c>
      <c r="F85" s="30">
        <f>'Transmission Formula Rate (7)'!F16</f>
        <v>1.59</v>
      </c>
      <c r="G85" s="30">
        <f>'Transmission Formula Rate (7)'!G16</f>
        <v>1.59</v>
      </c>
      <c r="H85" s="30">
        <f>'Transmission Formula Rate (7)'!H16</f>
        <v>1.59</v>
      </c>
      <c r="I85" s="30">
        <f>'Transmission Formula Rate (7)'!I16</f>
        <v>1.59</v>
      </c>
      <c r="J85" s="30">
        <f>'Transmission Formula Rate (7)'!J16</f>
        <v>1.59</v>
      </c>
      <c r="K85" s="30">
        <f>'Transmission Formula Rate (7)'!K16</f>
        <v>1.59</v>
      </c>
      <c r="L85" s="30">
        <f>'Transmission Formula Rate (7)'!L16</f>
        <v>1.59</v>
      </c>
      <c r="M85" s="30">
        <f>'Transmission Formula Rate (7)'!M16</f>
        <v>1.59</v>
      </c>
      <c r="N85" s="20"/>
    </row>
    <row r="86" spans="1:14">
      <c r="A86" s="254" t="s">
        <v>17</v>
      </c>
      <c r="B86" s="21">
        <f>B82*B85</f>
        <v>184779.12550080568</v>
      </c>
      <c r="C86" s="21">
        <f t="shared" ref="C86" si="136">C82*C85</f>
        <v>180405.95576381907</v>
      </c>
      <c r="D86" s="21">
        <f t="shared" ref="D86" si="137">D82*D85</f>
        <v>191958.41238944817</v>
      </c>
      <c r="E86" s="21">
        <f t="shared" ref="E86" si="138">E82*E85</f>
        <v>182162.86843240311</v>
      </c>
      <c r="F86" s="21">
        <f t="shared" ref="F86" si="139">F82*F85</f>
        <v>216328.00124629348</v>
      </c>
      <c r="G86" s="21">
        <f t="shared" ref="G86" si="140">G82*G85</f>
        <v>229954.45628035106</v>
      </c>
      <c r="H86" s="21">
        <f t="shared" ref="H86" si="141">H82*H85</f>
        <v>236658.82519566218</v>
      </c>
      <c r="I86" s="21">
        <f t="shared" ref="I86" si="142">I82*I85</f>
        <v>256361.6804990033</v>
      </c>
      <c r="J86" s="21">
        <f t="shared" ref="J86" si="143">J82*J85</f>
        <v>250078.12365584876</v>
      </c>
      <c r="K86" s="21">
        <f t="shared" ref="K86" si="144">K82*K85</f>
        <v>230707.56255883502</v>
      </c>
      <c r="L86" s="21">
        <f t="shared" ref="L86" si="145">L82*L85</f>
        <v>220575.15959331242</v>
      </c>
      <c r="M86" s="21">
        <f t="shared" ref="M86" si="146">M82*M85</f>
        <v>195688.98150280409</v>
      </c>
      <c r="N86" s="21">
        <f>SUM(B86:M86)</f>
        <v>2575659.1526185861</v>
      </c>
    </row>
    <row r="88" spans="1:14">
      <c r="A88" s="254" t="s">
        <v>141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256" t="s">
        <v>211</v>
      </c>
      <c r="B89" s="239">
        <f>B82</f>
        <v>116213.28647849413</v>
      </c>
      <c r="C89" s="239">
        <f t="shared" ref="C89:M89" si="147">C82</f>
        <v>113462.86526026356</v>
      </c>
      <c r="D89" s="239">
        <f t="shared" si="147"/>
        <v>120728.56125122526</v>
      </c>
      <c r="E89" s="239">
        <f t="shared" si="147"/>
        <v>114567.84178138559</v>
      </c>
      <c r="F89" s="239">
        <f t="shared" si="147"/>
        <v>136055.34669578206</v>
      </c>
      <c r="G89" s="239">
        <f t="shared" si="147"/>
        <v>144625.44420147865</v>
      </c>
      <c r="H89" s="239">
        <f t="shared" si="147"/>
        <v>148842.02842494476</v>
      </c>
      <c r="I89" s="239">
        <f t="shared" si="147"/>
        <v>161233.76132012784</v>
      </c>
      <c r="J89" s="239">
        <f t="shared" si="147"/>
        <v>157281.83877726336</v>
      </c>
      <c r="K89" s="239">
        <f t="shared" si="147"/>
        <v>145099.09594895283</v>
      </c>
      <c r="L89" s="239">
        <f t="shared" si="147"/>
        <v>138726.51546749208</v>
      </c>
      <c r="M89" s="239">
        <f t="shared" si="147"/>
        <v>123074.83113383905</v>
      </c>
      <c r="N89" s="21">
        <f>SUM(B89:M89)</f>
        <v>1619911.4167412492</v>
      </c>
    </row>
    <row r="90" spans="1:14">
      <c r="A90" s="256" t="s">
        <v>45</v>
      </c>
      <c r="B90" s="28">
        <f>B89-B91</f>
        <v>2110.8942561140284</v>
      </c>
      <c r="C90" s="28">
        <f t="shared" ref="C90" si="148">C89-C91</f>
        <v>2060.9356969218206</v>
      </c>
      <c r="D90" s="28">
        <f t="shared" ref="D90" si="149">D89-D91</f>
        <v>2192.9095563550945</v>
      </c>
      <c r="E90" s="28">
        <f t="shared" ref="E90" si="150">E89-E91</f>
        <v>2081.0064535646816</v>
      </c>
      <c r="F90" s="28">
        <f t="shared" ref="F90" si="151">F89-F91</f>
        <v>2471.304775524768</v>
      </c>
      <c r="G90" s="28">
        <f t="shared" ref="G90" si="152">G89-G91</f>
        <v>2626.9717405276024</v>
      </c>
      <c r="H90" s="28">
        <f t="shared" ref="H90" si="153">H89-H91</f>
        <v>2703.5616356028186</v>
      </c>
      <c r="I90" s="28">
        <f t="shared" ref="I90" si="154">I89-I91</f>
        <v>2928.6446582448261</v>
      </c>
      <c r="J90" s="28">
        <f t="shared" ref="J90" si="155">J89-J91</f>
        <v>2856.8620691009855</v>
      </c>
      <c r="K90" s="28">
        <f t="shared" ref="K90" si="156">K89-K91</f>
        <v>2635.5751350570645</v>
      </c>
      <c r="L90" s="28">
        <f t="shared" ref="L90" si="157">L89-L91</f>
        <v>2519.8237959239923</v>
      </c>
      <c r="M90" s="28">
        <f t="shared" ref="M90" si="158">M89-M91</f>
        <v>2235.5271241787123</v>
      </c>
      <c r="N90" s="21">
        <f>SUM(B90:M90)</f>
        <v>29424.016897116395</v>
      </c>
    </row>
    <row r="91" spans="1:14">
      <c r="A91" s="256" t="s">
        <v>47</v>
      </c>
      <c r="B91" s="28">
        <f>B89/(1+'Transmission Formula Rate (7)'!$B$27)</f>
        <v>114102.39222238011</v>
      </c>
      <c r="C91" s="28">
        <f>C89/(1+'Transmission Formula Rate (7)'!$B$27)</f>
        <v>111401.92956334174</v>
      </c>
      <c r="D91" s="28">
        <f>D89/(1+'Transmission Formula Rate (7)'!$B$27)</f>
        <v>118535.65169487016</v>
      </c>
      <c r="E91" s="28">
        <f>E89/(1+'Transmission Formula Rate (7)'!$B$27)</f>
        <v>112486.83532782091</v>
      </c>
      <c r="F91" s="28">
        <f>F89/(1+'Transmission Formula Rate (7)'!$B$27)</f>
        <v>133584.0419202573</v>
      </c>
      <c r="G91" s="28">
        <f>G89/(1+'Transmission Formula Rate (7)'!$B$27)</f>
        <v>141998.47246095104</v>
      </c>
      <c r="H91" s="28">
        <f>H89/(1+'Transmission Formula Rate (7)'!$B$27)</f>
        <v>146138.46678934194</v>
      </c>
      <c r="I91" s="28">
        <f>I89/(1+'Transmission Formula Rate (7)'!$B$27)</f>
        <v>158305.11666188302</v>
      </c>
      <c r="J91" s="28">
        <f>J89/(1+'Transmission Formula Rate (7)'!$B$27)</f>
        <v>154424.97670816237</v>
      </c>
      <c r="K91" s="28">
        <f>K89/(1+'Transmission Formula Rate (7)'!$B$27)</f>
        <v>142463.52081389577</v>
      </c>
      <c r="L91" s="28">
        <f>L89/(1+'Transmission Formula Rate (7)'!$B$27)</f>
        <v>136206.69167156809</v>
      </c>
      <c r="M91" s="28">
        <f>M89/(1+'Transmission Formula Rate (7)'!$B$27)</f>
        <v>120839.30400966034</v>
      </c>
      <c r="N91" s="124">
        <f>SUM(B91:M91)</f>
        <v>1590487.3998441331</v>
      </c>
    </row>
    <row r="92" spans="1:14">
      <c r="A92" s="254" t="s">
        <v>149</v>
      </c>
      <c r="B92" s="32">
        <f>'charges (1 &amp; 2)'!H33</f>
        <v>1.274E-2</v>
      </c>
      <c r="C92" s="32">
        <f>B92</f>
        <v>1.274E-2</v>
      </c>
      <c r="D92" s="32">
        <f t="shared" ref="D92:M92" si="159">C92</f>
        <v>1.274E-2</v>
      </c>
      <c r="E92" s="32">
        <f t="shared" si="159"/>
        <v>1.274E-2</v>
      </c>
      <c r="F92" s="32">
        <f t="shared" si="159"/>
        <v>1.274E-2</v>
      </c>
      <c r="G92" s="32">
        <f t="shared" si="159"/>
        <v>1.274E-2</v>
      </c>
      <c r="H92" s="32">
        <f t="shared" si="159"/>
        <v>1.274E-2</v>
      </c>
      <c r="I92" s="32">
        <f t="shared" si="159"/>
        <v>1.274E-2</v>
      </c>
      <c r="J92" s="32">
        <f t="shared" si="159"/>
        <v>1.274E-2</v>
      </c>
      <c r="K92" s="32">
        <f t="shared" si="159"/>
        <v>1.274E-2</v>
      </c>
      <c r="L92" s="32">
        <f t="shared" si="159"/>
        <v>1.274E-2</v>
      </c>
      <c r="M92" s="32">
        <f t="shared" si="159"/>
        <v>1.274E-2</v>
      </c>
      <c r="N92" s="20"/>
    </row>
    <row r="93" spans="1:14">
      <c r="A93" s="254" t="s">
        <v>17</v>
      </c>
      <c r="B93" s="21">
        <f>B89*B92</f>
        <v>1480.5572697360153</v>
      </c>
      <c r="C93" s="21">
        <f t="shared" ref="C93" si="160">C89*C92</f>
        <v>1445.5169034157577</v>
      </c>
      <c r="D93" s="21">
        <f t="shared" ref="D93" si="161">D89*D92</f>
        <v>1538.0818703406096</v>
      </c>
      <c r="E93" s="21">
        <f t="shared" ref="E93" si="162">E89*E92</f>
        <v>1459.5943042948525</v>
      </c>
      <c r="F93" s="21">
        <f t="shared" ref="F93" si="163">F89*F92</f>
        <v>1733.3451169042635</v>
      </c>
      <c r="G93" s="21">
        <f t="shared" ref="G93" si="164">G89*G92</f>
        <v>1842.5281591268379</v>
      </c>
      <c r="H93" s="21">
        <f t="shared" ref="H93" si="165">H89*H92</f>
        <v>1896.2474421337961</v>
      </c>
      <c r="I93" s="21">
        <f t="shared" ref="I93" si="166">I89*I92</f>
        <v>2054.1181192184285</v>
      </c>
      <c r="J93" s="21">
        <f t="shared" ref="J93" si="167">J89*J92</f>
        <v>2003.7706260223351</v>
      </c>
      <c r="K93" s="21">
        <f t="shared" ref="K93" si="168">K89*K92</f>
        <v>1848.562482389659</v>
      </c>
      <c r="L93" s="21">
        <f t="shared" ref="L93" si="169">L89*L92</f>
        <v>1767.375807055849</v>
      </c>
      <c r="M93" s="21">
        <f t="shared" ref="M93" si="170">M89*M92</f>
        <v>1567.9733486451094</v>
      </c>
      <c r="N93" s="21">
        <f>SUM(B93:M93)</f>
        <v>20637.671449283513</v>
      </c>
    </row>
    <row r="96" spans="1:14">
      <c r="B96" s="24" t="s">
        <v>0</v>
      </c>
      <c r="C96" s="24" t="s">
        <v>1</v>
      </c>
      <c r="D96" s="24" t="s">
        <v>2</v>
      </c>
      <c r="E96" s="24" t="s">
        <v>3</v>
      </c>
      <c r="F96" s="24" t="s">
        <v>4</v>
      </c>
      <c r="G96" s="24" t="s">
        <v>5</v>
      </c>
      <c r="H96" s="24" t="s">
        <v>6</v>
      </c>
      <c r="I96" s="24" t="s">
        <v>7</v>
      </c>
      <c r="J96" s="24" t="s">
        <v>8</v>
      </c>
      <c r="K96" s="24" t="s">
        <v>9</v>
      </c>
      <c r="L96" s="24" t="s">
        <v>10</v>
      </c>
      <c r="M96" s="24" t="s">
        <v>11</v>
      </c>
      <c r="N96" s="24" t="s">
        <v>12</v>
      </c>
    </row>
    <row r="97" spans="1:14">
      <c r="A97" s="255">
        <f>+A80+1</f>
        <v>2019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4">
      <c r="A98" s="254" t="s">
        <v>37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256" t="s">
        <v>211</v>
      </c>
      <c r="B99" s="239">
        <f>'FKEC Forecast'!E16</f>
        <v>117308.6695852165</v>
      </c>
      <c r="C99" s="239">
        <f>'FKEC Forecast'!F16</f>
        <v>114532.32392211292</v>
      </c>
      <c r="D99" s="239">
        <f>'FKEC Forecast'!G16</f>
        <v>121866.50365437689</v>
      </c>
      <c r="E99" s="239">
        <f>'FKEC Forecast'!H16</f>
        <v>115647.71553991832</v>
      </c>
      <c r="F99" s="239">
        <f>'FKEC Forecast'!I16</f>
        <v>137337.75366374431</v>
      </c>
      <c r="G99" s="239">
        <f>'FKEC Forecast'!J16</f>
        <v>145988.62971305815</v>
      </c>
      <c r="H99" s="239">
        <f>'FKEC Forecast'!K16</f>
        <v>150244.95788720675</v>
      </c>
      <c r="I99" s="239">
        <f>'FKEC Forecast'!L16</f>
        <v>162753.93188071551</v>
      </c>
      <c r="J99" s="239">
        <f>'FKEC Forecast'!M16</f>
        <v>158764.31874501408</v>
      </c>
      <c r="K99" s="239">
        <f>'FKEC Forecast'!N16</f>
        <v>146466.74592529683</v>
      </c>
      <c r="L99" s="239">
        <f>'FKEC Forecast'!O16</f>
        <v>140034.0998763167</v>
      </c>
      <c r="M99" s="239">
        <f>'FKEC Forecast'!P16</f>
        <v>124234.88860206721</v>
      </c>
      <c r="N99" s="21">
        <f>SUM(B99:M99)</f>
        <v>1635180.5389950443</v>
      </c>
    </row>
    <row r="100" spans="1:14">
      <c r="A100" s="256" t="s">
        <v>45</v>
      </c>
      <c r="B100" s="28">
        <f>B99-B101</f>
        <v>2130.7907582979824</v>
      </c>
      <c r="C100" s="28">
        <f t="shared" ref="C100" si="171">C99-C101</f>
        <v>2080.3613083545206</v>
      </c>
      <c r="D100" s="28">
        <f t="shared" ref="D100" si="172">D99-D101</f>
        <v>2213.5791041786579</v>
      </c>
      <c r="E100" s="28">
        <f t="shared" ref="E100" si="173">E99-E101</f>
        <v>2100.6212444658595</v>
      </c>
      <c r="F100" s="28">
        <f t="shared" ref="F100" si="174">F99-F101</f>
        <v>2494.5983728809806</v>
      </c>
      <c r="G100" s="28">
        <f t="shared" ref="G100" si="175">G99-G101</f>
        <v>2651.7325966534845</v>
      </c>
      <c r="H100" s="28">
        <f t="shared" ref="H100" si="176">H99-H101</f>
        <v>2729.0443995221576</v>
      </c>
      <c r="I100" s="28">
        <f t="shared" ref="I100" si="177">I99-I101</f>
        <v>2956.2569855603506</v>
      </c>
      <c r="J100" s="28">
        <f t="shared" ref="J100" si="178">J99-J101</f>
        <v>2883.7897857464559</v>
      </c>
      <c r="K100" s="28">
        <f t="shared" ref="K100" si="179">K99-K101</f>
        <v>2660.4170835718978</v>
      </c>
      <c r="L100" s="28">
        <f t="shared" ref="L100" si="180">L99-L101</f>
        <v>2543.5747154755518</v>
      </c>
      <c r="M100" s="28">
        <f t="shared" ref="M100" si="181">M99-M101</f>
        <v>2256.5983693060698</v>
      </c>
      <c r="N100" s="21">
        <f>SUM(B100:M100)</f>
        <v>29701.364724013969</v>
      </c>
    </row>
    <row r="101" spans="1:14">
      <c r="A101" s="256" t="s">
        <v>47</v>
      </c>
      <c r="B101" s="28">
        <f>B99/(1+'Transmission Formula Rate (7)'!$B$27)</f>
        <v>115177.87882691852</v>
      </c>
      <c r="C101" s="28">
        <f>C99/(1+'Transmission Formula Rate (7)'!$B$27)</f>
        <v>112451.9626137584</v>
      </c>
      <c r="D101" s="28">
        <f>D99/(1+'Transmission Formula Rate (7)'!$B$27)</f>
        <v>119652.92455019824</v>
      </c>
      <c r="E101" s="28">
        <f>E99/(1+'Transmission Formula Rate (7)'!$B$27)</f>
        <v>113547.09429545247</v>
      </c>
      <c r="F101" s="28">
        <f>F99/(1+'Transmission Formula Rate (7)'!$B$27)</f>
        <v>134843.15529086333</v>
      </c>
      <c r="G101" s="28">
        <f>G99/(1+'Transmission Formula Rate (7)'!$B$27)</f>
        <v>143336.89711640467</v>
      </c>
      <c r="H101" s="28">
        <f>H99/(1+'Transmission Formula Rate (7)'!$B$27)</f>
        <v>147515.91348768459</v>
      </c>
      <c r="I101" s="28">
        <f>I99/(1+'Transmission Formula Rate (7)'!$B$27)</f>
        <v>159797.67489515516</v>
      </c>
      <c r="J101" s="28">
        <f>J99/(1+'Transmission Formula Rate (7)'!$B$27)</f>
        <v>155880.52895926763</v>
      </c>
      <c r="K101" s="28">
        <f>K99/(1+'Transmission Formula Rate (7)'!$B$27)</f>
        <v>143806.32884172493</v>
      </c>
      <c r="L101" s="28">
        <f>L99/(1+'Transmission Formula Rate (7)'!$B$27)</f>
        <v>137490.52516084115</v>
      </c>
      <c r="M101" s="28">
        <f>M99/(1+'Transmission Formula Rate (7)'!$B$27)</f>
        <v>121978.29023276114</v>
      </c>
      <c r="N101" s="124">
        <f>SUM(B101:M101)</f>
        <v>1605479.1742710299</v>
      </c>
    </row>
    <row r="102" spans="1:14">
      <c r="A102" s="254" t="s">
        <v>20</v>
      </c>
      <c r="B102" s="30">
        <f>'Transmission Formula Rate (7)'!B20</f>
        <v>1.59</v>
      </c>
      <c r="C102" s="30">
        <f>'Transmission Formula Rate (7)'!C20</f>
        <v>1.59</v>
      </c>
      <c r="D102" s="30">
        <f>'Transmission Formula Rate (7)'!D20</f>
        <v>1.59</v>
      </c>
      <c r="E102" s="30">
        <f>'Transmission Formula Rate (7)'!E20</f>
        <v>1.59</v>
      </c>
      <c r="F102" s="30">
        <f>'Transmission Formula Rate (7)'!F20</f>
        <v>1.59</v>
      </c>
      <c r="G102" s="30">
        <f>'Transmission Formula Rate (7)'!G20</f>
        <v>1.59</v>
      </c>
      <c r="H102" s="30">
        <f>'Transmission Formula Rate (7)'!H20</f>
        <v>1.59</v>
      </c>
      <c r="I102" s="30">
        <f>'Transmission Formula Rate (7)'!I20</f>
        <v>1.59</v>
      </c>
      <c r="J102" s="30">
        <f>'Transmission Formula Rate (7)'!J20</f>
        <v>1.59</v>
      </c>
      <c r="K102" s="30">
        <f>'Transmission Formula Rate (7)'!K20</f>
        <v>1.59</v>
      </c>
      <c r="L102" s="30">
        <f>'Transmission Formula Rate (7)'!L20</f>
        <v>1.59</v>
      </c>
      <c r="M102" s="30">
        <f>'Transmission Formula Rate (7)'!M20</f>
        <v>1.59</v>
      </c>
      <c r="N102" s="20"/>
    </row>
    <row r="103" spans="1:14">
      <c r="A103" s="254" t="s">
        <v>17</v>
      </c>
      <c r="B103" s="21">
        <f>B99*B102</f>
        <v>186520.78464049424</v>
      </c>
      <c r="C103" s="21">
        <f t="shared" ref="C103" si="182">C99*C102</f>
        <v>182106.39503615955</v>
      </c>
      <c r="D103" s="21">
        <f t="shared" ref="D103" si="183">D99*D102</f>
        <v>193767.74081045928</v>
      </c>
      <c r="E103" s="21">
        <f t="shared" ref="E103" si="184">E99*E102</f>
        <v>183879.86770847015</v>
      </c>
      <c r="F103" s="21">
        <f t="shared" ref="F103" si="185">F99*F102</f>
        <v>218367.02832535346</v>
      </c>
      <c r="G103" s="21">
        <f t="shared" ref="G103" si="186">G99*G102</f>
        <v>232121.92124376248</v>
      </c>
      <c r="H103" s="21">
        <f t="shared" ref="H103" si="187">H99*H102</f>
        <v>238889.48304065876</v>
      </c>
      <c r="I103" s="21">
        <f t="shared" ref="I103" si="188">I99*I102</f>
        <v>258778.75169033767</v>
      </c>
      <c r="J103" s="21">
        <f t="shared" ref="J103" si="189">J99*J102</f>
        <v>252435.2668045724</v>
      </c>
      <c r="K103" s="21">
        <f t="shared" ref="K103" si="190">K99*K102</f>
        <v>232882.12602122198</v>
      </c>
      <c r="L103" s="21">
        <f t="shared" ref="L103" si="191">L99*L102</f>
        <v>222654.21880334357</v>
      </c>
      <c r="M103" s="21">
        <f t="shared" ref="M103" si="192">M99*M102</f>
        <v>197533.47287728687</v>
      </c>
      <c r="N103" s="21">
        <f>SUM(B103:M103)</f>
        <v>2599937.0570021202</v>
      </c>
    </row>
    <row r="105" spans="1:14">
      <c r="A105" s="254" t="s">
        <v>141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256" t="s">
        <v>211</v>
      </c>
      <c r="B106" s="239">
        <f>B99</f>
        <v>117308.6695852165</v>
      </c>
      <c r="C106" s="239">
        <f t="shared" ref="C106:M106" si="193">C99</f>
        <v>114532.32392211292</v>
      </c>
      <c r="D106" s="239">
        <f t="shared" si="193"/>
        <v>121866.50365437689</v>
      </c>
      <c r="E106" s="239">
        <f t="shared" si="193"/>
        <v>115647.71553991832</v>
      </c>
      <c r="F106" s="239">
        <f t="shared" si="193"/>
        <v>137337.75366374431</v>
      </c>
      <c r="G106" s="239">
        <f t="shared" si="193"/>
        <v>145988.62971305815</v>
      </c>
      <c r="H106" s="239">
        <f t="shared" si="193"/>
        <v>150244.95788720675</v>
      </c>
      <c r="I106" s="239">
        <f t="shared" si="193"/>
        <v>162753.93188071551</v>
      </c>
      <c r="J106" s="239">
        <f t="shared" si="193"/>
        <v>158764.31874501408</v>
      </c>
      <c r="K106" s="239">
        <f t="shared" si="193"/>
        <v>146466.74592529683</v>
      </c>
      <c r="L106" s="239">
        <f t="shared" si="193"/>
        <v>140034.0998763167</v>
      </c>
      <c r="M106" s="239">
        <f t="shared" si="193"/>
        <v>124234.88860206721</v>
      </c>
      <c r="N106" s="21">
        <f>SUM(B106:M106)</f>
        <v>1635180.5389950443</v>
      </c>
    </row>
    <row r="107" spans="1:14">
      <c r="A107" s="256" t="s">
        <v>45</v>
      </c>
      <c r="B107" s="28">
        <f>B106-B108</f>
        <v>2130.7907582979824</v>
      </c>
      <c r="C107" s="28">
        <f t="shared" ref="C107" si="194">C106-C108</f>
        <v>2080.3613083545206</v>
      </c>
      <c r="D107" s="28">
        <f t="shared" ref="D107" si="195">D106-D108</f>
        <v>2213.5791041786579</v>
      </c>
      <c r="E107" s="28">
        <f t="shared" ref="E107" si="196">E106-E108</f>
        <v>2100.6212444658595</v>
      </c>
      <c r="F107" s="28">
        <f t="shared" ref="F107" si="197">F106-F108</f>
        <v>2494.5983728809806</v>
      </c>
      <c r="G107" s="28">
        <f t="shared" ref="G107" si="198">G106-G108</f>
        <v>2651.7325966534845</v>
      </c>
      <c r="H107" s="28">
        <f t="shared" ref="H107" si="199">H106-H108</f>
        <v>2729.0443995221576</v>
      </c>
      <c r="I107" s="28">
        <f t="shared" ref="I107" si="200">I106-I108</f>
        <v>2956.2569855603506</v>
      </c>
      <c r="J107" s="28">
        <f t="shared" ref="J107" si="201">J106-J108</f>
        <v>2883.7897857464559</v>
      </c>
      <c r="K107" s="28">
        <f t="shared" ref="K107" si="202">K106-K108</f>
        <v>2660.4170835718978</v>
      </c>
      <c r="L107" s="28">
        <f t="shared" ref="L107" si="203">L106-L108</f>
        <v>2543.5747154755518</v>
      </c>
      <c r="M107" s="28">
        <f t="shared" ref="M107" si="204">M106-M108</f>
        <v>2256.5983693060698</v>
      </c>
      <c r="N107" s="21">
        <f>SUM(B107:M107)</f>
        <v>29701.364724013969</v>
      </c>
    </row>
    <row r="108" spans="1:14">
      <c r="A108" s="256" t="s">
        <v>47</v>
      </c>
      <c r="B108" s="28">
        <f>B106/(1+'Transmission Formula Rate (7)'!$B$27)</f>
        <v>115177.87882691852</v>
      </c>
      <c r="C108" s="28">
        <f>C106/(1+'Transmission Formula Rate (7)'!$B$27)</f>
        <v>112451.9626137584</v>
      </c>
      <c r="D108" s="28">
        <f>D106/(1+'Transmission Formula Rate (7)'!$B$27)</f>
        <v>119652.92455019824</v>
      </c>
      <c r="E108" s="28">
        <f>E106/(1+'Transmission Formula Rate (7)'!$B$27)</f>
        <v>113547.09429545247</v>
      </c>
      <c r="F108" s="28">
        <f>F106/(1+'Transmission Formula Rate (7)'!$B$27)</f>
        <v>134843.15529086333</v>
      </c>
      <c r="G108" s="28">
        <f>G106/(1+'Transmission Formula Rate (7)'!$B$27)</f>
        <v>143336.89711640467</v>
      </c>
      <c r="H108" s="28">
        <f>H106/(1+'Transmission Formula Rate (7)'!$B$27)</f>
        <v>147515.91348768459</v>
      </c>
      <c r="I108" s="28">
        <f>I106/(1+'Transmission Formula Rate (7)'!$B$27)</f>
        <v>159797.67489515516</v>
      </c>
      <c r="J108" s="28">
        <f>J106/(1+'Transmission Formula Rate (7)'!$B$27)</f>
        <v>155880.52895926763</v>
      </c>
      <c r="K108" s="28">
        <f>K106/(1+'Transmission Formula Rate (7)'!$B$27)</f>
        <v>143806.32884172493</v>
      </c>
      <c r="L108" s="28">
        <f>L106/(1+'Transmission Formula Rate (7)'!$B$27)</f>
        <v>137490.52516084115</v>
      </c>
      <c r="M108" s="28">
        <f>M106/(1+'Transmission Formula Rate (7)'!$B$27)</f>
        <v>121978.29023276114</v>
      </c>
      <c r="N108" s="124">
        <f>SUM(B108:M108)</f>
        <v>1605479.1742710299</v>
      </c>
    </row>
    <row r="109" spans="1:14">
      <c r="A109" s="254" t="s">
        <v>149</v>
      </c>
      <c r="B109" s="32">
        <f>'charges (1 &amp; 2)'!H39</f>
        <v>1.274E-2</v>
      </c>
      <c r="C109" s="32">
        <f>B109</f>
        <v>1.274E-2</v>
      </c>
      <c r="D109" s="32">
        <f t="shared" ref="D109" si="205">C109</f>
        <v>1.274E-2</v>
      </c>
      <c r="E109" s="32">
        <f t="shared" ref="E109" si="206">D109</f>
        <v>1.274E-2</v>
      </c>
      <c r="F109" s="32">
        <f t="shared" ref="F109" si="207">E109</f>
        <v>1.274E-2</v>
      </c>
      <c r="G109" s="32">
        <f t="shared" ref="G109" si="208">F109</f>
        <v>1.274E-2</v>
      </c>
      <c r="H109" s="32">
        <f t="shared" ref="H109" si="209">G109</f>
        <v>1.274E-2</v>
      </c>
      <c r="I109" s="32">
        <f t="shared" ref="I109" si="210">H109</f>
        <v>1.274E-2</v>
      </c>
      <c r="J109" s="32">
        <f t="shared" ref="J109" si="211">I109</f>
        <v>1.274E-2</v>
      </c>
      <c r="K109" s="32">
        <f t="shared" ref="K109" si="212">J109</f>
        <v>1.274E-2</v>
      </c>
      <c r="L109" s="32">
        <f t="shared" ref="L109" si="213">K109</f>
        <v>1.274E-2</v>
      </c>
      <c r="M109" s="32">
        <f t="shared" ref="M109" si="214">L109</f>
        <v>1.274E-2</v>
      </c>
      <c r="N109" s="20"/>
    </row>
    <row r="110" spans="1:14">
      <c r="A110" s="254" t="s">
        <v>17</v>
      </c>
      <c r="B110" s="21">
        <f>B106*B109</f>
        <v>1494.5124505156582</v>
      </c>
      <c r="C110" s="21">
        <f t="shared" ref="C110" si="215">C106*C109</f>
        <v>1459.1418067677184</v>
      </c>
      <c r="D110" s="21">
        <f t="shared" ref="D110" si="216">D106*D109</f>
        <v>1552.5792565567615</v>
      </c>
      <c r="E110" s="21">
        <f t="shared" ref="E110" si="217">E106*E109</f>
        <v>1473.3518959785595</v>
      </c>
      <c r="F110" s="21">
        <f t="shared" ref="F110" si="218">F106*F109</f>
        <v>1749.6829816761024</v>
      </c>
      <c r="G110" s="21">
        <f t="shared" ref="G110" si="219">G106*G109</f>
        <v>1859.8951425443609</v>
      </c>
      <c r="H110" s="21">
        <f t="shared" ref="H110" si="220">H106*H109</f>
        <v>1914.1207634830139</v>
      </c>
      <c r="I110" s="21">
        <f t="shared" ref="I110" si="221">I106*I109</f>
        <v>2073.4850921603156</v>
      </c>
      <c r="J110" s="21">
        <f t="shared" ref="J110" si="222">J106*J109</f>
        <v>2022.6574208114794</v>
      </c>
      <c r="K110" s="21">
        <f t="shared" ref="K110" si="223">K106*K109</f>
        <v>1865.9863430882815</v>
      </c>
      <c r="L110" s="21">
        <f t="shared" ref="L110" si="224">L106*L109</f>
        <v>1784.0344324242747</v>
      </c>
      <c r="M110" s="21">
        <f t="shared" ref="M110" si="225">M106*M109</f>
        <v>1582.7524807903362</v>
      </c>
      <c r="N110" s="21">
        <f>SUM(B110:M110)</f>
        <v>20832.200066796864</v>
      </c>
    </row>
    <row r="113" spans="1:14">
      <c r="B113" s="24" t="s">
        <v>0</v>
      </c>
      <c r="C113" s="24" t="s">
        <v>1</v>
      </c>
      <c r="D113" s="24" t="s">
        <v>2</v>
      </c>
      <c r="E113" s="24" t="s">
        <v>3</v>
      </c>
      <c r="F113" s="24" t="s">
        <v>4</v>
      </c>
      <c r="G113" s="24" t="s">
        <v>5</v>
      </c>
      <c r="H113" s="24" t="s">
        <v>6</v>
      </c>
      <c r="I113" s="24" t="s">
        <v>7</v>
      </c>
      <c r="J113" s="24" t="s">
        <v>8</v>
      </c>
      <c r="K113" s="24" t="s">
        <v>9</v>
      </c>
      <c r="L113" s="24" t="s">
        <v>10</v>
      </c>
      <c r="M113" s="24" t="s">
        <v>11</v>
      </c>
      <c r="N113" s="24" t="s">
        <v>12</v>
      </c>
    </row>
    <row r="114" spans="1:14">
      <c r="A114" s="255">
        <f>+A97+1</f>
        <v>2020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</row>
    <row r="115" spans="1:14">
      <c r="A115" s="254" t="s">
        <v>37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>
      <c r="A116" s="256" t="s">
        <v>211</v>
      </c>
      <c r="B116" s="239">
        <f>'FKEC Forecast'!E17</f>
        <v>118414.37736467509</v>
      </c>
      <c r="C116" s="239">
        <f>'FKEC Forecast'!F17</f>
        <v>115611.86290254742</v>
      </c>
      <c r="D116" s="239">
        <f>'FKEC Forecast'!G17</f>
        <v>123015.17187832414</v>
      </c>
      <c r="E116" s="239">
        <f>'FKEC Forecast'!H17</f>
        <v>116737.76778585408</v>
      </c>
      <c r="F116" s="239">
        <f>'FKEC Forecast'!I17</f>
        <v>138632.24812162461</v>
      </c>
      <c r="G116" s="239">
        <f>'FKEC Forecast'!J17</f>
        <v>147364.66410298843</v>
      </c>
      <c r="H116" s="239">
        <f>'FKEC Forecast'!K17</f>
        <v>151661.11083947966</v>
      </c>
      <c r="I116" s="239">
        <f>'FKEC Forecast'!L17</f>
        <v>164287.77128385176</v>
      </c>
      <c r="J116" s="239">
        <f>'FKEC Forecast'!M17</f>
        <v>160260.77201617902</v>
      </c>
      <c r="K116" s="239">
        <f>'FKEC Forecast'!N17</f>
        <v>147847.28686037185</v>
      </c>
      <c r="L116" s="239">
        <f>'FKEC Forecast'!O17</f>
        <v>141354.00908822921</v>
      </c>
      <c r="M116" s="239">
        <f>'FKEC Forecast'!P17</f>
        <v>125405.88033944847</v>
      </c>
      <c r="N116" s="21">
        <f>SUM(B116:M116)</f>
        <v>1650592.9225835737</v>
      </c>
    </row>
    <row r="117" spans="1:14">
      <c r="A117" s="256" t="s">
        <v>45</v>
      </c>
      <c r="B117" s="28">
        <f>B116-B118</f>
        <v>2150.8747974928701</v>
      </c>
      <c r="C117" s="28">
        <f t="shared" ref="C117" si="226">C116-C118</f>
        <v>2099.9700183575042</v>
      </c>
      <c r="D117" s="28">
        <f t="shared" ref="D117" si="227">D116-D118</f>
        <v>2234.4434754531103</v>
      </c>
      <c r="E117" s="28">
        <f t="shared" ref="E117" si="228">E116-E118</f>
        <v>2120.4209170724498</v>
      </c>
      <c r="F117" s="28">
        <f t="shared" ref="F117" si="229">F116-F118</f>
        <v>2518.1115270005539</v>
      </c>
      <c r="G117" s="28">
        <f t="shared" ref="G117" si="230">G116-G118</f>
        <v>2676.7268393768172</v>
      </c>
      <c r="H117" s="28">
        <f t="shared" ref="H117" si="231">H116-H118</f>
        <v>2754.7673544726276</v>
      </c>
      <c r="I117" s="28">
        <f t="shared" ref="I117" si="232">I116-I118</f>
        <v>2984.117593275645</v>
      </c>
      <c r="J117" s="28">
        <f t="shared" ref="J117" si="233">J116-J118</f>
        <v>2910.9713130086602</v>
      </c>
      <c r="K117" s="28">
        <f t="shared" ref="K117" si="234">K116-K118</f>
        <v>2685.4931830308051</v>
      </c>
      <c r="L117" s="28">
        <f t="shared" ref="L117" si="235">L116-L118</f>
        <v>2567.5495023389522</v>
      </c>
      <c r="M117" s="28">
        <f t="shared" ref="M117" si="236">M116-M118</f>
        <v>2277.8682241333299</v>
      </c>
      <c r="N117" s="21">
        <f>SUM(B117:M117)</f>
        <v>29981.314745013326</v>
      </c>
    </row>
    <row r="118" spans="1:14">
      <c r="A118" s="256" t="s">
        <v>47</v>
      </c>
      <c r="B118" s="28">
        <f>B116/(1+'Transmission Formula Rate (7)'!$B$27)</f>
        <v>116263.50256718222</v>
      </c>
      <c r="C118" s="28">
        <f>C116/(1+'Transmission Formula Rate (7)'!$B$27)</f>
        <v>113511.89288418992</v>
      </c>
      <c r="D118" s="28">
        <f>D116/(1+'Transmission Formula Rate (7)'!$B$27)</f>
        <v>120780.72840287103</v>
      </c>
      <c r="E118" s="28">
        <f>E116/(1+'Transmission Formula Rate (7)'!$B$27)</f>
        <v>114617.34686878163</v>
      </c>
      <c r="F118" s="28">
        <f>F116/(1+'Transmission Formula Rate (7)'!$B$27)</f>
        <v>136114.13659462405</v>
      </c>
      <c r="G118" s="28">
        <f>G116/(1+'Transmission Formula Rate (7)'!$B$27)</f>
        <v>144687.93726361162</v>
      </c>
      <c r="H118" s="28">
        <f>H116/(1+'Transmission Formula Rate (7)'!$B$27)</f>
        <v>148906.34348500703</v>
      </c>
      <c r="I118" s="28">
        <f>I116/(1+'Transmission Formula Rate (7)'!$B$27)</f>
        <v>161303.65369057612</v>
      </c>
      <c r="J118" s="28">
        <f>J116/(1+'Transmission Formula Rate (7)'!$B$27)</f>
        <v>157349.80070317036</v>
      </c>
      <c r="K118" s="28">
        <f>K116/(1+'Transmission Formula Rate (7)'!$B$27)</f>
        <v>145161.79367734105</v>
      </c>
      <c r="L118" s="28">
        <f>L116/(1+'Transmission Formula Rate (7)'!$B$27)</f>
        <v>138786.45958589026</v>
      </c>
      <c r="M118" s="28">
        <f>M116/(1+'Transmission Formula Rate (7)'!$B$27)</f>
        <v>123128.01211531514</v>
      </c>
      <c r="N118" s="124">
        <f>SUM(B118:M118)</f>
        <v>1620611.6078385601</v>
      </c>
    </row>
    <row r="119" spans="1:14">
      <c r="A119" s="254" t="s">
        <v>20</v>
      </c>
      <c r="B119" s="30">
        <f>B102</f>
        <v>1.59</v>
      </c>
      <c r="C119" s="30">
        <f t="shared" ref="C119:M119" si="237">C102</f>
        <v>1.59</v>
      </c>
      <c r="D119" s="30">
        <f t="shared" si="237"/>
        <v>1.59</v>
      </c>
      <c r="E119" s="30">
        <f t="shared" si="237"/>
        <v>1.59</v>
      </c>
      <c r="F119" s="30">
        <f t="shared" si="237"/>
        <v>1.59</v>
      </c>
      <c r="G119" s="30">
        <f t="shared" si="237"/>
        <v>1.59</v>
      </c>
      <c r="H119" s="30">
        <f t="shared" si="237"/>
        <v>1.59</v>
      </c>
      <c r="I119" s="30">
        <f t="shared" si="237"/>
        <v>1.59</v>
      </c>
      <c r="J119" s="30">
        <f t="shared" si="237"/>
        <v>1.59</v>
      </c>
      <c r="K119" s="30">
        <f t="shared" si="237"/>
        <v>1.59</v>
      </c>
      <c r="L119" s="30">
        <f t="shared" si="237"/>
        <v>1.59</v>
      </c>
      <c r="M119" s="30">
        <f t="shared" si="237"/>
        <v>1.59</v>
      </c>
      <c r="N119" s="20"/>
    </row>
    <row r="120" spans="1:14">
      <c r="A120" s="254" t="s">
        <v>17</v>
      </c>
      <c r="B120" s="21">
        <f>B116*B119</f>
        <v>188278.86000983341</v>
      </c>
      <c r="C120" s="21">
        <f t="shared" ref="C120" si="238">C116*C119</f>
        <v>183822.8620150504</v>
      </c>
      <c r="D120" s="21">
        <f t="shared" ref="D120" si="239">D116*D119</f>
        <v>195594.12328653538</v>
      </c>
      <c r="E120" s="21">
        <f t="shared" ref="E120" si="240">E116*E119</f>
        <v>185613.05077950799</v>
      </c>
      <c r="F120" s="21">
        <f t="shared" ref="F120" si="241">F116*F119</f>
        <v>220425.27451338313</v>
      </c>
      <c r="G120" s="21">
        <f t="shared" ref="G120" si="242">G116*G119</f>
        <v>234309.81592375162</v>
      </c>
      <c r="H120" s="21">
        <f t="shared" ref="H120" si="243">H116*H119</f>
        <v>241141.16623477268</v>
      </c>
      <c r="I120" s="21">
        <f t="shared" ref="I120" si="244">I116*I119</f>
        <v>261217.55634132432</v>
      </c>
      <c r="J120" s="21">
        <f t="shared" ref="J120" si="245">J116*J119</f>
        <v>254814.62750572467</v>
      </c>
      <c r="K120" s="21">
        <f t="shared" ref="K120" si="246">K116*K119</f>
        <v>235077.18610799126</v>
      </c>
      <c r="L120" s="21">
        <f t="shared" ref="L120" si="247">L116*L119</f>
        <v>224752.87445028446</v>
      </c>
      <c r="M120" s="21">
        <f t="shared" ref="M120" si="248">M116*M119</f>
        <v>199395.34973972308</v>
      </c>
      <c r="N120" s="21">
        <f>SUM(B120:M120)</f>
        <v>2624442.7469078824</v>
      </c>
    </row>
    <row r="122" spans="1:14">
      <c r="A122" s="254" t="s">
        <v>141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>
      <c r="A123" s="256" t="s">
        <v>211</v>
      </c>
      <c r="B123" s="239">
        <f>B116</f>
        <v>118414.37736467509</v>
      </c>
      <c r="C123" s="239">
        <f t="shared" ref="C123:M123" si="249">C116</f>
        <v>115611.86290254742</v>
      </c>
      <c r="D123" s="239">
        <f t="shared" si="249"/>
        <v>123015.17187832414</v>
      </c>
      <c r="E123" s="239">
        <f t="shared" si="249"/>
        <v>116737.76778585408</v>
      </c>
      <c r="F123" s="239">
        <f t="shared" si="249"/>
        <v>138632.24812162461</v>
      </c>
      <c r="G123" s="239">
        <f t="shared" si="249"/>
        <v>147364.66410298843</v>
      </c>
      <c r="H123" s="239">
        <f t="shared" si="249"/>
        <v>151661.11083947966</v>
      </c>
      <c r="I123" s="239">
        <f t="shared" si="249"/>
        <v>164287.77128385176</v>
      </c>
      <c r="J123" s="239">
        <f t="shared" si="249"/>
        <v>160260.77201617902</v>
      </c>
      <c r="K123" s="239">
        <f t="shared" si="249"/>
        <v>147847.28686037185</v>
      </c>
      <c r="L123" s="239">
        <f t="shared" si="249"/>
        <v>141354.00908822921</v>
      </c>
      <c r="M123" s="239">
        <f t="shared" si="249"/>
        <v>125405.88033944847</v>
      </c>
      <c r="N123" s="21">
        <f>SUM(B123:M123)</f>
        <v>1650592.9225835737</v>
      </c>
    </row>
    <row r="124" spans="1:14">
      <c r="A124" s="256" t="s">
        <v>45</v>
      </c>
      <c r="B124" s="28">
        <f>B123-B125</f>
        <v>2150.8747974928701</v>
      </c>
      <c r="C124" s="28">
        <f t="shared" ref="C124" si="250">C123-C125</f>
        <v>2099.9700183575042</v>
      </c>
      <c r="D124" s="28">
        <f t="shared" ref="D124" si="251">D123-D125</f>
        <v>2234.4434754531103</v>
      </c>
      <c r="E124" s="28">
        <f t="shared" ref="E124" si="252">E123-E125</f>
        <v>2120.4209170724498</v>
      </c>
      <c r="F124" s="28">
        <f t="shared" ref="F124" si="253">F123-F125</f>
        <v>2518.1115270005539</v>
      </c>
      <c r="G124" s="28">
        <f t="shared" ref="G124" si="254">G123-G125</f>
        <v>2676.7268393768172</v>
      </c>
      <c r="H124" s="28">
        <f t="shared" ref="H124" si="255">H123-H125</f>
        <v>2754.7673544726276</v>
      </c>
      <c r="I124" s="28">
        <f t="shared" ref="I124" si="256">I123-I125</f>
        <v>2984.117593275645</v>
      </c>
      <c r="J124" s="28">
        <f t="shared" ref="J124" si="257">J123-J125</f>
        <v>2910.9713130086602</v>
      </c>
      <c r="K124" s="28">
        <f t="shared" ref="K124" si="258">K123-K125</f>
        <v>2685.4931830308051</v>
      </c>
      <c r="L124" s="28">
        <f t="shared" ref="L124" si="259">L123-L125</f>
        <v>2567.5495023389522</v>
      </c>
      <c r="M124" s="28">
        <f t="shared" ref="M124" si="260">M123-M125</f>
        <v>2277.8682241333299</v>
      </c>
      <c r="N124" s="21">
        <f>SUM(B124:M124)</f>
        <v>29981.314745013326</v>
      </c>
    </row>
    <row r="125" spans="1:14">
      <c r="A125" s="256" t="s">
        <v>47</v>
      </c>
      <c r="B125" s="28">
        <f>B123/(1+'Transmission Formula Rate (7)'!$B$27)</f>
        <v>116263.50256718222</v>
      </c>
      <c r="C125" s="28">
        <f>C123/(1+'Transmission Formula Rate (7)'!$B$27)</f>
        <v>113511.89288418992</v>
      </c>
      <c r="D125" s="28">
        <f>D123/(1+'Transmission Formula Rate (7)'!$B$27)</f>
        <v>120780.72840287103</v>
      </c>
      <c r="E125" s="28">
        <f>E123/(1+'Transmission Formula Rate (7)'!$B$27)</f>
        <v>114617.34686878163</v>
      </c>
      <c r="F125" s="28">
        <f>F123/(1+'Transmission Formula Rate (7)'!$B$27)</f>
        <v>136114.13659462405</v>
      </c>
      <c r="G125" s="28">
        <f>G123/(1+'Transmission Formula Rate (7)'!$B$27)</f>
        <v>144687.93726361162</v>
      </c>
      <c r="H125" s="28">
        <f>H123/(1+'Transmission Formula Rate (7)'!$B$27)</f>
        <v>148906.34348500703</v>
      </c>
      <c r="I125" s="28">
        <f>I123/(1+'Transmission Formula Rate (7)'!$B$27)</f>
        <v>161303.65369057612</v>
      </c>
      <c r="J125" s="28">
        <f>J123/(1+'Transmission Formula Rate (7)'!$B$27)</f>
        <v>157349.80070317036</v>
      </c>
      <c r="K125" s="28">
        <f>K123/(1+'Transmission Formula Rate (7)'!$B$27)</f>
        <v>145161.79367734105</v>
      </c>
      <c r="L125" s="28">
        <f>L123/(1+'Transmission Formula Rate (7)'!$B$27)</f>
        <v>138786.45958589026</v>
      </c>
      <c r="M125" s="28">
        <f>M123/(1+'Transmission Formula Rate (7)'!$B$27)</f>
        <v>123128.01211531514</v>
      </c>
      <c r="N125" s="124">
        <f>SUM(B125:M125)</f>
        <v>1620611.6078385601</v>
      </c>
    </row>
    <row r="126" spans="1:14">
      <c r="A126" s="254" t="s">
        <v>149</v>
      </c>
      <c r="B126" s="32">
        <f>B109</f>
        <v>1.274E-2</v>
      </c>
      <c r="C126" s="32">
        <f>B126</f>
        <v>1.274E-2</v>
      </c>
      <c r="D126" s="32">
        <f t="shared" ref="D126" si="261">C126</f>
        <v>1.274E-2</v>
      </c>
      <c r="E126" s="32">
        <f t="shared" ref="E126" si="262">D126</f>
        <v>1.274E-2</v>
      </c>
      <c r="F126" s="32">
        <f t="shared" ref="F126" si="263">E126</f>
        <v>1.274E-2</v>
      </c>
      <c r="G126" s="32">
        <f t="shared" ref="G126" si="264">F126</f>
        <v>1.274E-2</v>
      </c>
      <c r="H126" s="32">
        <f t="shared" ref="H126" si="265">G126</f>
        <v>1.274E-2</v>
      </c>
      <c r="I126" s="32">
        <f t="shared" ref="I126" si="266">H126</f>
        <v>1.274E-2</v>
      </c>
      <c r="J126" s="32">
        <f t="shared" ref="J126" si="267">I126</f>
        <v>1.274E-2</v>
      </c>
      <c r="K126" s="32">
        <f t="shared" ref="K126" si="268">J126</f>
        <v>1.274E-2</v>
      </c>
      <c r="L126" s="32">
        <f t="shared" ref="L126" si="269">K126</f>
        <v>1.274E-2</v>
      </c>
      <c r="M126" s="32">
        <f t="shared" ref="M126" si="270">L126</f>
        <v>1.274E-2</v>
      </c>
      <c r="N126" s="20"/>
    </row>
    <row r="127" spans="1:14">
      <c r="A127" s="254" t="s">
        <v>17</v>
      </c>
      <c r="B127" s="21">
        <f>B123*B126</f>
        <v>1508.5991676259607</v>
      </c>
      <c r="C127" s="21">
        <f t="shared" ref="C127" si="271">C123*C126</f>
        <v>1472.8951333784541</v>
      </c>
      <c r="D127" s="21">
        <f t="shared" ref="D127" si="272">D123*D126</f>
        <v>1567.2132897298495</v>
      </c>
      <c r="E127" s="21">
        <f t="shared" ref="E127" si="273">E123*E126</f>
        <v>1487.2391615917809</v>
      </c>
      <c r="F127" s="21">
        <f t="shared" ref="F127" si="274">F123*F126</f>
        <v>1766.1748410694975</v>
      </c>
      <c r="G127" s="21">
        <f t="shared" ref="G127" si="275">G123*G126</f>
        <v>1877.4258206720726</v>
      </c>
      <c r="H127" s="21">
        <f t="shared" ref="H127" si="276">H123*H126</f>
        <v>1932.1625520949708</v>
      </c>
      <c r="I127" s="21">
        <f t="shared" ref="I127" si="277">I123*I126</f>
        <v>2093.0262061562712</v>
      </c>
      <c r="J127" s="21">
        <f t="shared" ref="J127" si="278">J123*J126</f>
        <v>2041.7222354861206</v>
      </c>
      <c r="K127" s="21">
        <f t="shared" ref="K127" si="279">K123*K126</f>
        <v>1883.5744346011372</v>
      </c>
      <c r="L127" s="21">
        <f t="shared" ref="L127" si="280">L123*L126</f>
        <v>1800.8500757840402</v>
      </c>
      <c r="M127" s="21">
        <f t="shared" ref="M127" si="281">M123*M126</f>
        <v>1597.6709155245735</v>
      </c>
      <c r="N127" s="21">
        <f>SUM(B127:M127)</f>
        <v>21028.55383371473</v>
      </c>
    </row>
  </sheetData>
  <pageMargins left="0.7" right="0.7" top="0.75" bottom="0.75" header="0.3" footer="0.3"/>
  <pageSetup scale="74" orientation="portrait" r:id="rId1"/>
  <ignoredErrors>
    <ignoredError sqref="N38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52"/>
  <sheetViews>
    <sheetView zoomScaleNormal="100" workbookViewId="0">
      <pane ySplit="8" topLeftCell="A9" activePane="bottomLeft" state="frozen"/>
      <selection activeCell="A3" sqref="A1:XFD1048576"/>
      <selection pane="bottomLeft" activeCell="B2" sqref="B1:B2"/>
    </sheetView>
  </sheetViews>
  <sheetFormatPr defaultColWidth="9" defaultRowHeight="13.2"/>
  <cols>
    <col min="1" max="1" width="4.6640625" style="241" customWidth="1"/>
    <col min="2" max="2" width="15.6640625" style="241" customWidth="1"/>
    <col min="3" max="3" width="12.77734375" style="258" customWidth="1"/>
    <col min="4" max="16" width="9" style="241"/>
    <col min="17" max="17" width="10.77734375" style="241" bestFit="1" customWidth="1"/>
    <col min="18" max="16384" width="9" style="241"/>
  </cols>
  <sheetData>
    <row r="1" spans="2:24">
      <c r="B1" s="480" t="s">
        <v>501</v>
      </c>
    </row>
    <row r="2" spans="2:24">
      <c r="B2" s="480" t="s">
        <v>473</v>
      </c>
    </row>
    <row r="4" spans="2:24">
      <c r="B4" s="286" t="s">
        <v>368</v>
      </c>
    </row>
    <row r="5" spans="2:24">
      <c r="B5" s="241" t="s">
        <v>364</v>
      </c>
    </row>
    <row r="8" spans="2:24">
      <c r="D8" s="243"/>
      <c r="E8" s="243"/>
      <c r="F8" s="243"/>
      <c r="G8" s="243"/>
      <c r="H8" s="243"/>
    </row>
    <row r="10" spans="2:24">
      <c r="E10" s="290" t="s">
        <v>0</v>
      </c>
      <c r="F10" s="290" t="s">
        <v>1</v>
      </c>
      <c r="G10" s="290" t="s">
        <v>2</v>
      </c>
      <c r="H10" s="290" t="s">
        <v>3</v>
      </c>
      <c r="I10" s="290" t="s">
        <v>4</v>
      </c>
      <c r="J10" s="290" t="s">
        <v>5</v>
      </c>
      <c r="K10" s="290" t="s">
        <v>6</v>
      </c>
      <c r="L10" s="290" t="s">
        <v>7</v>
      </c>
      <c r="M10" s="290" t="s">
        <v>8</v>
      </c>
      <c r="N10" s="290" t="s">
        <v>9</v>
      </c>
      <c r="O10" s="290" t="s">
        <v>10</v>
      </c>
      <c r="P10" s="290" t="s">
        <v>11</v>
      </c>
      <c r="Q10" s="241" t="s">
        <v>12</v>
      </c>
    </row>
    <row r="11" spans="2:24">
      <c r="D11" s="243">
        <v>2014</v>
      </c>
      <c r="E11" s="373">
        <f>[12]FKEC_Transmission!C9</f>
        <v>111000</v>
      </c>
      <c r="F11" s="373">
        <f>[12]FKEC_Transmission!D9</f>
        <v>88000</v>
      </c>
      <c r="G11" s="373">
        <f>[12]FKEC_Transmission!E9</f>
        <v>111000</v>
      </c>
      <c r="H11" s="373">
        <f>[12]FKEC_Transmission!F9</f>
        <v>123000</v>
      </c>
      <c r="I11" s="373">
        <f>[12]FKEC_Transmission!G9</f>
        <v>129000</v>
      </c>
      <c r="J11" s="373">
        <f>[12]FKEC_Transmission!H9</f>
        <v>123000</v>
      </c>
      <c r="K11" s="373">
        <f>[12]FKEC_Transmission!I9</f>
        <v>140000</v>
      </c>
      <c r="L11" s="373">
        <f>[12]FKEC_Transmission!J9</f>
        <v>151000</v>
      </c>
      <c r="M11" s="373">
        <f>[12]FKEC_Transmission!K9</f>
        <v>146000</v>
      </c>
      <c r="N11" s="373">
        <f>[12]FKEC_Transmission!L9</f>
        <v>128000</v>
      </c>
      <c r="O11" s="373">
        <f>[12]FKEC_Transmission!M9</f>
        <v>137000</v>
      </c>
      <c r="P11" s="373">
        <f>[12]FKEC_Transmission!N9</f>
        <v>115000</v>
      </c>
      <c r="Q11" s="292">
        <f>SUM(E11:P11)</f>
        <v>1502000</v>
      </c>
    </row>
    <row r="12" spans="2:24">
      <c r="D12" s="243">
        <f t="shared" ref="D12:D17" si="0">1+D11</f>
        <v>2015</v>
      </c>
      <c r="E12" s="373">
        <f>[12]FKEC_Transmission!C10</f>
        <v>105000</v>
      </c>
      <c r="F12" s="373">
        <f>[12]FKEC_Transmission!D10</f>
        <v>113000</v>
      </c>
      <c r="G12" s="373">
        <f>[12]FKEC_Transmission!E10</f>
        <v>116000</v>
      </c>
      <c r="H12" s="373">
        <f>[12]FKEC_Transmission!F10</f>
        <v>120000</v>
      </c>
      <c r="I12" s="373">
        <f>[12]FKEC_Transmission!G10</f>
        <v>151000</v>
      </c>
      <c r="J12" s="373">
        <f>[12]FKEC_Transmission!H10</f>
        <v>138000</v>
      </c>
      <c r="K12" s="373">
        <f>[12]FKEC_Transmission!I10</f>
        <v>146000</v>
      </c>
      <c r="L12" s="373">
        <f>[12]FKEC_Transmission!J10</f>
        <v>152803.99085120461</v>
      </c>
      <c r="M12" s="373">
        <f>[12]FKEC_Transmission!K10</f>
        <v>149089.22817258368</v>
      </c>
      <c r="N12" s="373">
        <f>[12]FKEC_Transmission!L10</f>
        <v>137523.29672915713</v>
      </c>
      <c r="O12" s="373">
        <f>[12]FKEC_Transmission!M10</f>
        <v>131475.29222993914</v>
      </c>
      <c r="P12" s="373">
        <f>[12]FKEC_Transmission!N10</f>
        <v>116613.09603833547</v>
      </c>
      <c r="Q12" s="292">
        <f t="shared" ref="Q12:Q16" si="1">SUM(E12:P12)</f>
        <v>1576504.9040212203</v>
      </c>
    </row>
    <row r="13" spans="2:24">
      <c r="D13" s="243">
        <f t="shared" si="0"/>
        <v>2016</v>
      </c>
      <c r="E13" s="373">
        <f>[12]FKEC_Transmission!C11</f>
        <v>111160.89024836439</v>
      </c>
      <c r="F13" s="373">
        <f>[12]FKEC_Transmission!D11</f>
        <v>111353.81326672707</v>
      </c>
      <c r="G13" s="373">
        <f>[12]FKEC_Transmission!E11</f>
        <v>118484.45422819506</v>
      </c>
      <c r="H13" s="373">
        <f>[12]FKEC_Transmission!F11</f>
        <v>112438.25044284546</v>
      </c>
      <c r="I13" s="373">
        <f>[12]FKEC_Transmission!G11</f>
        <v>133526.34481025918</v>
      </c>
      <c r="J13" s="373">
        <f>[12]FKEC_Transmission!H11</f>
        <v>141937.14102220008</v>
      </c>
      <c r="K13" s="373">
        <f>[12]FKEC_Transmission!I11</f>
        <v>146075.34722002738</v>
      </c>
      <c r="L13" s="373">
        <f>[12]FKEC_Transmission!J11</f>
        <v>158236.37941839121</v>
      </c>
      <c r="M13" s="373">
        <f>[12]FKEC_Transmission!K11</f>
        <v>154358.27806108212</v>
      </c>
      <c r="N13" s="373">
        <f>[12]FKEC_Transmission!L11</f>
        <v>142401.98851323352</v>
      </c>
      <c r="O13" s="373">
        <f>[12]FKEC_Transmission!M11</f>
        <v>136147.86179669018</v>
      </c>
      <c r="P13" s="373">
        <f>[12]FKEC_Transmission!N11</f>
        <v>120787.11155826182</v>
      </c>
      <c r="Q13" s="292">
        <f t="shared" si="1"/>
        <v>1586907.8605862774</v>
      </c>
      <c r="R13" s="486"/>
      <c r="S13" s="486"/>
      <c r="T13" s="486"/>
      <c r="U13" s="486"/>
      <c r="V13" s="486"/>
      <c r="W13" s="486"/>
      <c r="X13" s="486"/>
    </row>
    <row r="14" spans="2:24">
      <c r="C14" s="259"/>
      <c r="D14" s="243">
        <f t="shared" si="0"/>
        <v>2017</v>
      </c>
      <c r="E14" s="373">
        <f>[12]FKEC_Transmission!C12</f>
        <v>115128.13163669655</v>
      </c>
      <c r="F14" s="373">
        <f>[12]FKEC_Transmission!D12</f>
        <v>112403.39279087265</v>
      </c>
      <c r="G14" s="373">
        <f>[12]FKEC_Transmission!E12</f>
        <v>119601.24451529191</v>
      </c>
      <c r="H14" s="373">
        <f>[12]FKEC_Transmission!F12</f>
        <v>113498.05146746674</v>
      </c>
      <c r="I14" s="373">
        <f>[12]FKEC_Transmission!G12</f>
        <v>134784.91434941953</v>
      </c>
      <c r="J14" s="373">
        <f>[12]FKEC_Transmission!H12</f>
        <v>143274.98759038022</v>
      </c>
      <c r="K14" s="373">
        <f>[12]FKEC_Transmission!I12</f>
        <v>147452.19897684464</v>
      </c>
      <c r="L14" s="373">
        <f>[12]FKEC_Transmission!J12</f>
        <v>158738.90960037828</v>
      </c>
      <c r="M14" s="373">
        <f>[12]FKEC_Transmission!K12</f>
        <v>155813.20163560953</v>
      </c>
      <c r="N14" s="373">
        <f>[12]FKEC_Transmission!L12</f>
        <v>143744.2165605397</v>
      </c>
      <c r="O14" s="373">
        <f>[12]FKEC_Transmission!M12</f>
        <v>137431.14077749813</v>
      </c>
      <c r="P14" s="373">
        <f>[12]FKEC_Transmission!N12</f>
        <v>121925.60583477636</v>
      </c>
      <c r="Q14" s="292">
        <f t="shared" si="1"/>
        <v>1603795.9957357745</v>
      </c>
      <c r="R14" s="486"/>
      <c r="S14" s="486"/>
      <c r="T14" s="486"/>
      <c r="U14" s="486"/>
      <c r="V14" s="486"/>
      <c r="W14" s="486"/>
      <c r="X14" s="486"/>
    </row>
    <row r="15" spans="2:24">
      <c r="C15" s="259"/>
      <c r="D15" s="243">
        <f t="shared" si="0"/>
        <v>2018</v>
      </c>
      <c r="E15" s="373">
        <f>[12]FKEC_Transmission!C13</f>
        <v>116213.28647849413</v>
      </c>
      <c r="F15" s="373">
        <f>[12]FKEC_Transmission!D13</f>
        <v>113462.86526026356</v>
      </c>
      <c r="G15" s="373">
        <f>[12]FKEC_Transmission!E13</f>
        <v>120728.56125122526</v>
      </c>
      <c r="H15" s="373">
        <f>[12]FKEC_Transmission!F13</f>
        <v>114567.84178138559</v>
      </c>
      <c r="I15" s="373">
        <f>[12]FKEC_Transmission!G13</f>
        <v>136055.34669578206</v>
      </c>
      <c r="J15" s="373">
        <f>[12]FKEC_Transmission!H13</f>
        <v>144625.44420147865</v>
      </c>
      <c r="K15" s="373">
        <f>[12]FKEC_Transmission!I13</f>
        <v>148842.02842494476</v>
      </c>
      <c r="L15" s="373">
        <f>[12]FKEC_Transmission!J13</f>
        <v>161233.76132012784</v>
      </c>
      <c r="M15" s="373">
        <f>[12]FKEC_Transmission!K13</f>
        <v>157281.83877726336</v>
      </c>
      <c r="N15" s="373">
        <f>[12]FKEC_Transmission!L13</f>
        <v>145099.09594895283</v>
      </c>
      <c r="O15" s="373">
        <f>[12]FKEC_Transmission!M13</f>
        <v>138726.51546749208</v>
      </c>
      <c r="P15" s="373">
        <f>[12]FKEC_Transmission!N13</f>
        <v>123074.83113383905</v>
      </c>
      <c r="Q15" s="292">
        <f t="shared" si="1"/>
        <v>1619911.4167412492</v>
      </c>
      <c r="R15" s="486"/>
      <c r="S15" s="486"/>
      <c r="T15" s="486"/>
      <c r="U15" s="486"/>
      <c r="V15" s="486"/>
      <c r="W15" s="486"/>
      <c r="X15" s="486"/>
    </row>
    <row r="16" spans="2:24">
      <c r="C16" s="259"/>
      <c r="D16" s="243">
        <f t="shared" si="0"/>
        <v>2019</v>
      </c>
      <c r="E16" s="373">
        <f>[12]FKEC_Transmission!C14</f>
        <v>117308.6695852165</v>
      </c>
      <c r="F16" s="373">
        <f>[12]FKEC_Transmission!D14</f>
        <v>114532.32392211292</v>
      </c>
      <c r="G16" s="373">
        <f>[12]FKEC_Transmission!E14</f>
        <v>121866.50365437689</v>
      </c>
      <c r="H16" s="373">
        <f>[12]FKEC_Transmission!F14</f>
        <v>115647.71553991832</v>
      </c>
      <c r="I16" s="373">
        <f>[12]FKEC_Transmission!G14</f>
        <v>137337.75366374431</v>
      </c>
      <c r="J16" s="373">
        <f>[12]FKEC_Transmission!H14</f>
        <v>145988.62971305815</v>
      </c>
      <c r="K16" s="373">
        <f>[12]FKEC_Transmission!I14</f>
        <v>150244.95788720675</v>
      </c>
      <c r="L16" s="373">
        <f>[12]FKEC_Transmission!J14</f>
        <v>162753.93188071551</v>
      </c>
      <c r="M16" s="373">
        <f>[12]FKEC_Transmission!K14</f>
        <v>158764.31874501408</v>
      </c>
      <c r="N16" s="373">
        <f>[12]FKEC_Transmission!L14</f>
        <v>146466.74592529683</v>
      </c>
      <c r="O16" s="373">
        <f>[12]FKEC_Transmission!M14</f>
        <v>140034.0998763167</v>
      </c>
      <c r="P16" s="373">
        <f>[12]FKEC_Transmission!N14</f>
        <v>124234.88860206721</v>
      </c>
      <c r="Q16" s="292">
        <f t="shared" si="1"/>
        <v>1635180.5389950443</v>
      </c>
    </row>
    <row r="17" spans="2:17">
      <c r="C17" s="259"/>
      <c r="D17" s="243">
        <f t="shared" si="0"/>
        <v>2020</v>
      </c>
      <c r="E17" s="373">
        <f>[12]FKEC_Transmission!C15</f>
        <v>118414.37736467509</v>
      </c>
      <c r="F17" s="373">
        <f>[12]FKEC_Transmission!D15</f>
        <v>115611.86290254742</v>
      </c>
      <c r="G17" s="373">
        <f>[12]FKEC_Transmission!E15</f>
        <v>123015.17187832414</v>
      </c>
      <c r="H17" s="373">
        <f>[12]FKEC_Transmission!F15</f>
        <v>116737.76778585408</v>
      </c>
      <c r="I17" s="373">
        <f>[12]FKEC_Transmission!G15</f>
        <v>138632.24812162461</v>
      </c>
      <c r="J17" s="373">
        <f>[12]FKEC_Transmission!H15</f>
        <v>147364.66410298843</v>
      </c>
      <c r="K17" s="373">
        <f>[12]FKEC_Transmission!I15</f>
        <v>151661.11083947966</v>
      </c>
      <c r="L17" s="373">
        <f>[12]FKEC_Transmission!J15</f>
        <v>164287.77128385176</v>
      </c>
      <c r="M17" s="373">
        <f>[12]FKEC_Transmission!K15</f>
        <v>160260.77201617902</v>
      </c>
      <c r="N17" s="373">
        <f>[12]FKEC_Transmission!L15</f>
        <v>147847.28686037185</v>
      </c>
      <c r="O17" s="373">
        <f>[12]FKEC_Transmission!M15</f>
        <v>141354.00908822921</v>
      </c>
      <c r="P17" s="373">
        <f>[12]FKEC_Transmission!N15</f>
        <v>125405.88033944847</v>
      </c>
      <c r="Q17" s="292">
        <f t="shared" ref="Q17" si="2">SUM(E17:P17)</f>
        <v>1650592.9225835737</v>
      </c>
    </row>
    <row r="18" spans="2:17">
      <c r="B18" s="344"/>
      <c r="C18" s="259"/>
      <c r="D18" s="244"/>
      <c r="E18" s="244"/>
      <c r="F18" s="244"/>
      <c r="G18" s="244"/>
      <c r="H18" s="244"/>
      <c r="Q18" s="292">
        <f>SUM(Q11:Q17)</f>
        <v>11174893.638663141</v>
      </c>
    </row>
    <row r="19" spans="2:17">
      <c r="C19" s="368" t="s">
        <v>225</v>
      </c>
      <c r="D19" s="367" t="s">
        <v>276</v>
      </c>
      <c r="E19" s="244"/>
      <c r="F19" s="244"/>
      <c r="G19" s="244"/>
      <c r="H19" s="244"/>
    </row>
    <row r="20" spans="2:17">
      <c r="C20" s="368"/>
      <c r="D20" s="367"/>
      <c r="E20" s="244"/>
      <c r="F20" s="244"/>
      <c r="G20" s="244"/>
      <c r="H20" s="244"/>
    </row>
    <row r="21" spans="2:17">
      <c r="C21" s="259"/>
      <c r="D21" s="244"/>
      <c r="E21" s="244"/>
      <c r="F21" s="244"/>
      <c r="G21" s="244"/>
      <c r="H21" s="244"/>
    </row>
    <row r="22" spans="2:17">
      <c r="C22" s="259"/>
      <c r="D22" s="244"/>
      <c r="E22" s="244"/>
      <c r="F22" s="244"/>
      <c r="G22" s="244"/>
      <c r="H22" s="244"/>
    </row>
    <row r="23" spans="2:17">
      <c r="C23" s="259"/>
      <c r="D23" s="244"/>
      <c r="E23" s="244"/>
      <c r="F23" s="244"/>
      <c r="G23" s="244"/>
      <c r="H23" s="244"/>
    </row>
    <row r="24" spans="2:17">
      <c r="C24" s="259"/>
      <c r="D24" s="244"/>
      <c r="E24" s="244"/>
      <c r="F24" s="244"/>
      <c r="G24" s="244"/>
      <c r="H24" s="244"/>
    </row>
    <row r="25" spans="2:17">
      <c r="C25" s="259"/>
      <c r="D25" s="244"/>
      <c r="E25" s="244"/>
      <c r="F25" s="244"/>
      <c r="G25" s="244"/>
      <c r="H25" s="244"/>
    </row>
    <row r="26" spans="2:17">
      <c r="C26" s="259"/>
      <c r="D26" s="244"/>
      <c r="E26" s="244"/>
      <c r="F26" s="244"/>
      <c r="G26" s="244"/>
      <c r="H26" s="244"/>
    </row>
    <row r="28" spans="2:17">
      <c r="C28" s="259"/>
      <c r="D28" s="244"/>
      <c r="E28" s="244"/>
      <c r="F28" s="244"/>
      <c r="G28" s="244"/>
      <c r="H28" s="244"/>
    </row>
    <row r="29" spans="2:17">
      <c r="C29" s="259"/>
      <c r="D29" s="244"/>
      <c r="E29" s="244"/>
      <c r="F29" s="244"/>
      <c r="G29" s="244"/>
      <c r="H29" s="244"/>
    </row>
    <row r="30" spans="2:17">
      <c r="C30" s="259"/>
      <c r="D30" s="244"/>
      <c r="E30" s="244"/>
      <c r="F30" s="244"/>
      <c r="G30" s="244"/>
      <c r="H30" s="244"/>
    </row>
    <row r="31" spans="2:17">
      <c r="C31" s="259"/>
      <c r="D31" s="244"/>
      <c r="E31" s="244"/>
      <c r="F31" s="244"/>
      <c r="G31" s="244"/>
      <c r="H31" s="244"/>
    </row>
    <row r="32" spans="2:17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6" spans="3:8">
      <c r="C36" s="259"/>
      <c r="D36" s="244"/>
      <c r="E36" s="244"/>
      <c r="F36" s="244"/>
      <c r="G36" s="244"/>
      <c r="H36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  <row r="49" spans="3:8">
      <c r="C49" s="259"/>
      <c r="D49" s="244"/>
      <c r="E49" s="244"/>
      <c r="F49" s="244"/>
      <c r="G49" s="244"/>
      <c r="H49" s="244"/>
    </row>
    <row r="50" spans="3:8">
      <c r="C50" s="259"/>
      <c r="D50" s="244"/>
      <c r="E50" s="244"/>
      <c r="F50" s="244"/>
      <c r="G50" s="244"/>
      <c r="H50" s="244"/>
    </row>
    <row r="51" spans="3:8">
      <c r="C51" s="259"/>
      <c r="D51" s="244"/>
      <c r="E51" s="244"/>
      <c r="F51" s="244"/>
      <c r="G51" s="244"/>
      <c r="H51" s="244"/>
    </row>
    <row r="52" spans="3:8">
      <c r="C52" s="259"/>
      <c r="D52" s="244"/>
      <c r="E52" s="244"/>
      <c r="F52" s="244"/>
      <c r="G52" s="244"/>
      <c r="H52" s="244"/>
    </row>
  </sheetData>
  <hyperlinks>
    <hyperlink ref="D19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8"/>
  <sheetViews>
    <sheetView zoomScale="80" zoomScaleNormal="80" workbookViewId="0">
      <selection activeCell="A2" sqref="A1:A2"/>
    </sheetView>
  </sheetViews>
  <sheetFormatPr defaultColWidth="9" defaultRowHeight="13.2"/>
  <cols>
    <col min="1" max="1" width="35.21875" style="469" customWidth="1"/>
    <col min="2" max="2" width="10.77734375" style="469" bestFit="1" customWidth="1"/>
    <col min="3" max="13" width="9.33203125" style="469" bestFit="1" customWidth="1"/>
    <col min="14" max="14" width="10.109375" style="469" bestFit="1" customWidth="1"/>
    <col min="15" max="15" width="9.21875" style="469" bestFit="1" customWidth="1"/>
    <col min="16" max="16384" width="9" style="469"/>
  </cols>
  <sheetData>
    <row r="1" spans="1:15">
      <c r="A1" s="480" t="s">
        <v>475</v>
      </c>
    </row>
    <row r="2" spans="1:15">
      <c r="A2" s="480" t="s">
        <v>473</v>
      </c>
    </row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426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42736</v>
      </c>
      <c r="C9" s="473">
        <v>42767</v>
      </c>
      <c r="D9" s="473">
        <v>42795</v>
      </c>
      <c r="E9" s="473">
        <v>42826</v>
      </c>
      <c r="F9" s="473">
        <v>42856</v>
      </c>
      <c r="G9" s="473">
        <v>42887</v>
      </c>
      <c r="H9" s="473">
        <v>42917</v>
      </c>
      <c r="I9" s="473">
        <v>42948</v>
      </c>
      <c r="J9" s="473">
        <v>42979</v>
      </c>
      <c r="K9" s="473">
        <v>43009</v>
      </c>
      <c r="L9" s="473">
        <v>43040</v>
      </c>
      <c r="M9" s="473">
        <v>43070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f>'Blountstown Network'!B65/(1+'Transmission Formula Rate (7)'!$B$27)</f>
        <v>8836.5243004418262</v>
      </c>
      <c r="C11" s="478">
        <f>'Blountstown Network'!C65/(1+'Transmission Formula Rate (7)'!$B$27)</f>
        <v>0</v>
      </c>
      <c r="D11" s="478">
        <f>'Blountstown Network'!D65/(1+'Transmission Formula Rate (7)'!$B$27)</f>
        <v>0</v>
      </c>
      <c r="E11" s="478">
        <f>'Blountstown Network'!E65/(1+'Transmission Formula Rate (7)'!$B$27)</f>
        <v>0</v>
      </c>
      <c r="F11" s="478">
        <f>'Blountstown Network'!F65/(1+'Transmission Formula Rate (7)'!$B$27)</f>
        <v>0</v>
      </c>
      <c r="G11" s="478">
        <f>'Blountstown Network'!G65/(1+'Transmission Formula Rate (7)'!$B$27)</f>
        <v>0</v>
      </c>
      <c r="H11" s="478">
        <f>'Blountstown Network'!H65/(1+'Transmission Formula Rate (7)'!$B$27)</f>
        <v>0</v>
      </c>
      <c r="I11" s="478">
        <f>'Blountstown Network'!I65/(1+'Transmission Formula Rate (7)'!$B$27)</f>
        <v>0</v>
      </c>
      <c r="J11" s="478">
        <f>'Blountstown Network'!J65/(1+'Transmission Formula Rate (7)'!$B$27)</f>
        <v>0</v>
      </c>
      <c r="K11" s="478">
        <f>'Blountstown Network'!K65/(1+'Transmission Formula Rate (7)'!$B$27)</f>
        <v>0</v>
      </c>
      <c r="L11" s="478">
        <f>'Blountstown Network'!L65/(1+'Transmission Formula Rate (7)'!$B$27)</f>
        <v>0</v>
      </c>
      <c r="M11" s="478">
        <f>'Blountstown Network'!M65/(1+'Transmission Formula Rate (7)'!$B$27)</f>
        <v>0</v>
      </c>
      <c r="N11" s="478">
        <f t="shared" ref="N11:N22" si="0">SUM(B11:M11)</f>
        <v>8836.5243004418262</v>
      </c>
      <c r="O11" s="479">
        <f t="shared" ref="O11:O23" si="1">AVERAGE(B11:M11)</f>
        <v>736.37702503681885</v>
      </c>
    </row>
    <row r="12" spans="1:15">
      <c r="A12" s="469" t="s">
        <v>397</v>
      </c>
      <c r="B12" s="478">
        <f>'Winter Park Network'!B58/(1+'Transmission Formula Rate (7)'!$B$27)</f>
        <v>58910.162002945508</v>
      </c>
      <c r="C12" s="478">
        <f>'Winter Park Network'!C58/(1+'Transmission Formula Rate (7)'!$B$27)</f>
        <v>58910.162002945508</v>
      </c>
      <c r="D12" s="478">
        <f>'Winter Park Network'!D58/(1+'Transmission Formula Rate (7)'!$B$27)</f>
        <v>43167.277859597445</v>
      </c>
      <c r="E12" s="478">
        <f>'Winter Park Network'!E58/(1+'Transmission Formula Rate (7)'!$B$27)</f>
        <v>46480.410898379967</v>
      </c>
      <c r="F12" s="478">
        <f>'Winter Park Network'!F58/(1+'Transmission Formula Rate (7)'!$B$27)</f>
        <v>63874.35935198822</v>
      </c>
      <c r="G12" s="478">
        <f>'Winter Park Network'!G58/(1+'Transmission Formula Rate (7)'!$B$27)</f>
        <v>65530.925871379477</v>
      </c>
      <c r="H12" s="478">
        <f>'Winter Park Network'!H58/(1+'Transmission Formula Rate (7)'!$B$27)</f>
        <v>63046.076092292577</v>
      </c>
      <c r="I12" s="478">
        <f>'Winter Park Network'!I58/(1+'Transmission Formula Rate (7)'!$B$27)</f>
        <v>70500.625429553256</v>
      </c>
      <c r="J12" s="478">
        <f>'Winter Park Network'!J58/(1+'Transmission Formula Rate (7)'!$B$27)</f>
        <v>58910.162002945508</v>
      </c>
      <c r="K12" s="478">
        <f>'Winter Park Network'!K58/(1+'Transmission Formula Rate (7)'!$B$27)</f>
        <v>59732.943053510069</v>
      </c>
      <c r="L12" s="478">
        <f>'Winter Park Network'!L58/(1+'Transmission Formula Rate (7)'!$B$27)</f>
        <v>42338.994599901816</v>
      </c>
      <c r="M12" s="478">
        <f>'Winter Park Network'!M58/(1+'Transmission Formula Rate (7)'!$B$27)</f>
        <v>42338.994599901816</v>
      </c>
      <c r="N12" s="478">
        <f t="shared" si="0"/>
        <v>673741.09376534121</v>
      </c>
      <c r="O12" s="479">
        <f t="shared" si="1"/>
        <v>56145.091147111765</v>
      </c>
    </row>
    <row r="13" spans="1:15">
      <c r="A13" s="469" t="s">
        <v>398</v>
      </c>
      <c r="B13" s="478">
        <f>'LCEC Network'!B65/(1+'Transmission Formula Rate (7)'!$B$27)</f>
        <v>535761.10522349365</v>
      </c>
      <c r="C13" s="478">
        <f>'LCEC Network'!C65/(1+'Transmission Formula Rate (7)'!$B$27)</f>
        <v>731632.66532773932</v>
      </c>
      <c r="D13" s="478">
        <f>'LCEC Network'!D65/(1+'Transmission Formula Rate (7)'!$B$27)</f>
        <v>656795.09253987262</v>
      </c>
      <c r="E13" s="478">
        <f>'LCEC Network'!E65/(1+'Transmission Formula Rate (7)'!$B$27)</f>
        <v>605251.97682608163</v>
      </c>
      <c r="F13" s="478">
        <f>'LCEC Network'!F65/(1+'Transmission Formula Rate (7)'!$B$27)</f>
        <v>592948.6788618596</v>
      </c>
      <c r="G13" s="478">
        <f>'LCEC Network'!G65/(1+'Transmission Formula Rate (7)'!$B$27)</f>
        <v>687090.81544073543</v>
      </c>
      <c r="H13" s="478">
        <f>'LCEC Network'!H65/(1+'Transmission Formula Rate (7)'!$B$27)</f>
        <v>754572.80918783415</v>
      </c>
      <c r="I13" s="478">
        <f>'LCEC Network'!I65/(1+'Transmission Formula Rate (7)'!$B$27)</f>
        <v>735516.90850418457</v>
      </c>
      <c r="J13" s="478">
        <f>'LCEC Network'!J65/(1+'Transmission Formula Rate (7)'!$B$27)</f>
        <v>769244.6509878186</v>
      </c>
      <c r="K13" s="478">
        <f>'LCEC Network'!K65/(1+'Transmission Formula Rate (7)'!$B$27)</f>
        <v>660594.94835775346</v>
      </c>
      <c r="L13" s="478">
        <f>'LCEC Network'!L65/(1+'Transmission Formula Rate (7)'!$B$27)</f>
        <v>695796.81723342882</v>
      </c>
      <c r="M13" s="478">
        <f>'LCEC Network'!M65/(1+'Transmission Formula Rate (7)'!$B$27)</f>
        <v>571543.56593823468</v>
      </c>
      <c r="N13" s="478">
        <f t="shared" si="0"/>
        <v>7996750.0344290361</v>
      </c>
      <c r="O13" s="479">
        <f t="shared" si="1"/>
        <v>666395.83620241971</v>
      </c>
    </row>
    <row r="14" spans="1:15">
      <c r="A14" s="469" t="s">
        <v>399</v>
      </c>
      <c r="B14" s="478">
        <f>'FKEC Network'!B65/(1+'Transmission Formula Rate (7)'!$B$27)</f>
        <v>113036.94809690383</v>
      </c>
      <c r="C14" s="478">
        <f>'FKEC Network'!C65/(1+'Transmission Formula Rate (7)'!$B$27)</f>
        <v>110361.70131651708</v>
      </c>
      <c r="D14" s="478">
        <f>'FKEC Network'!D65/(1+'Transmission Formula Rate (7)'!$B$27)</f>
        <v>117428.81150249574</v>
      </c>
      <c r="E14" s="478">
        <f>'FKEC Network'!E65/(1+'Transmission Formula Rate (7)'!$B$27)</f>
        <v>111436.47664945188</v>
      </c>
      <c r="F14" s="478">
        <f>'FKEC Network'!F65/(1+'Transmission Formula Rate (7)'!$B$27)</f>
        <v>132336.685664624</v>
      </c>
      <c r="G14" s="478">
        <f>'FKEC Network'!G65/(1+'Transmission Formula Rate (7)'!$B$27)</f>
        <v>140672.54549865509</v>
      </c>
      <c r="H14" s="478">
        <f>'FKEC Network'!H65/(1+'Transmission Formula Rate (7)'!$B$27)</f>
        <v>144773.88215694122</v>
      </c>
      <c r="I14" s="478">
        <f>'FKEC Network'!I65/(1+'Transmission Formula Rate (7)'!$B$27)</f>
        <v>155855.58134548677</v>
      </c>
      <c r="J14" s="478">
        <f>'FKEC Network'!J65/(1+'Transmission Formula Rate (7)'!$B$27)</f>
        <v>152983.01584252287</v>
      </c>
      <c r="K14" s="478">
        <f>'FKEC Network'!K65/(1+'Transmission Formula Rate (7)'!$B$27)</f>
        <v>141133.2514094646</v>
      </c>
      <c r="L14" s="478">
        <f>'FKEC Network'!L65/(1+'Transmission Formula Rate (7)'!$B$27)</f>
        <v>134934.84612420044</v>
      </c>
      <c r="M14" s="478">
        <f>'FKEC Network'!M65/(1+'Transmission Formula Rate (7)'!$B$27)</f>
        <v>119710.9532005659</v>
      </c>
      <c r="N14" s="478">
        <f t="shared" si="0"/>
        <v>1574664.6988078293</v>
      </c>
      <c r="O14" s="479">
        <f t="shared" si="1"/>
        <v>131222.05823398576</v>
      </c>
    </row>
    <row r="15" spans="1:15">
      <c r="A15" s="469" t="s">
        <v>400</v>
      </c>
      <c r="B15" s="478">
        <f>'Wauchula Network'!B65/(1+'Transmission Formula Rate (7)'!$B$27)</f>
        <v>12763.868433971527</v>
      </c>
      <c r="C15" s="478">
        <f>'Wauchula Network'!C65/(1+'Transmission Formula Rate (7)'!$B$27)</f>
        <v>0</v>
      </c>
      <c r="D15" s="478">
        <f>'Wauchula Network'!D65/(1+'Transmission Formula Rate (7)'!$B$27)</f>
        <v>0</v>
      </c>
      <c r="E15" s="478">
        <f>'Wauchula Network'!E65/(1+'Transmission Formula Rate (7)'!$B$27)</f>
        <v>0</v>
      </c>
      <c r="F15" s="478">
        <f>'Wauchula Network'!F65/(1+'Transmission Formula Rate (7)'!$B$27)</f>
        <v>0</v>
      </c>
      <c r="G15" s="478">
        <f>'Wauchula Network'!G65/(1+'Transmission Formula Rate (7)'!$B$27)</f>
        <v>0</v>
      </c>
      <c r="H15" s="478">
        <f>'Wauchula Network'!H65/(1+'Transmission Formula Rate (7)'!$B$27)</f>
        <v>0</v>
      </c>
      <c r="I15" s="478">
        <f>'Wauchula Network'!I65/(1+'Transmission Formula Rate (7)'!$B$27)</f>
        <v>0</v>
      </c>
      <c r="J15" s="478">
        <f>'Wauchula Network'!J65/(1+'Transmission Formula Rate (7)'!$B$27)</f>
        <v>0</v>
      </c>
      <c r="K15" s="478">
        <f>'Wauchula Network'!K65/(1+'Transmission Formula Rate (7)'!$B$27)</f>
        <v>0</v>
      </c>
      <c r="L15" s="478">
        <f>'Wauchula Network'!L65/(1+'Transmission Formula Rate (7)'!$B$27)</f>
        <v>0</v>
      </c>
      <c r="M15" s="478">
        <f>'Wauchula Network'!M65/(1+'Transmission Formula Rate (7)'!$B$27)</f>
        <v>0</v>
      </c>
      <c r="N15" s="478">
        <f t="shared" si="0"/>
        <v>12763.868433971527</v>
      </c>
      <c r="O15" s="479">
        <f t="shared" si="1"/>
        <v>1063.6557028309605</v>
      </c>
    </row>
    <row r="16" spans="1:15">
      <c r="A16" s="469" t="s">
        <v>401</v>
      </c>
      <c r="B16" s="478">
        <f>'Vero Beach Network'!B86</f>
        <v>179000</v>
      </c>
      <c r="C16" s="478">
        <f>'Vero Beach Network'!C86</f>
        <v>155000</v>
      </c>
      <c r="D16" s="478">
        <f>'Vero Beach Network'!D86</f>
        <v>124000</v>
      </c>
      <c r="E16" s="478">
        <f>'Vero Beach Network'!E86</f>
        <v>128000</v>
      </c>
      <c r="F16" s="478">
        <f>'Vero Beach Network'!F86</f>
        <v>141000</v>
      </c>
      <c r="G16" s="478">
        <f>'Vero Beach Network'!G86</f>
        <v>155000</v>
      </c>
      <c r="H16" s="478">
        <f>'Vero Beach Network'!H86</f>
        <v>154000</v>
      </c>
      <c r="I16" s="478">
        <f>'Vero Beach Network'!I86</f>
        <v>165000</v>
      </c>
      <c r="J16" s="478">
        <f>'Vero Beach Network'!J86</f>
        <v>156000</v>
      </c>
      <c r="K16" s="478">
        <f>'Vero Beach Network'!K86</f>
        <v>147000</v>
      </c>
      <c r="L16" s="478">
        <f>'Vero Beach Network'!L86</f>
        <v>125000</v>
      </c>
      <c r="M16" s="478">
        <f>'Vero Beach Network'!M86</f>
        <v>141000</v>
      </c>
      <c r="N16" s="478">
        <f t="shared" si="0"/>
        <v>1770000</v>
      </c>
      <c r="O16" s="479">
        <f t="shared" si="1"/>
        <v>147500</v>
      </c>
    </row>
    <row r="17" spans="1:15">
      <c r="A17" s="469" t="s">
        <v>292</v>
      </c>
      <c r="B17" s="478">
        <f>'FMPA Network'!B87</f>
        <v>423800</v>
      </c>
      <c r="C17" s="478">
        <f>'FMPA Network'!C87</f>
        <v>394800</v>
      </c>
      <c r="D17" s="478">
        <f>'FMPA Network'!D87</f>
        <v>345300</v>
      </c>
      <c r="E17" s="478">
        <f>'FMPA Network'!E87</f>
        <v>371000</v>
      </c>
      <c r="F17" s="478">
        <f>'FMPA Network'!F87</f>
        <v>418600</v>
      </c>
      <c r="G17" s="478">
        <f>'FMPA Network'!G87</f>
        <v>455300</v>
      </c>
      <c r="H17" s="478">
        <f>'FMPA Network'!H87</f>
        <v>471100</v>
      </c>
      <c r="I17" s="478">
        <f>'FMPA Network'!I87</f>
        <v>479100</v>
      </c>
      <c r="J17" s="478">
        <f>'FMPA Network'!J87</f>
        <v>437100</v>
      </c>
      <c r="K17" s="478">
        <f>'FMPA Network'!K87</f>
        <v>403900</v>
      </c>
      <c r="L17" s="478">
        <f>'FMPA Network'!L87</f>
        <v>361600</v>
      </c>
      <c r="M17" s="478">
        <f>'FMPA Network'!M87</f>
        <v>347100</v>
      </c>
      <c r="N17" s="478">
        <f t="shared" si="0"/>
        <v>4908700</v>
      </c>
      <c r="O17" s="479">
        <f t="shared" si="1"/>
        <v>409058.33333333331</v>
      </c>
    </row>
    <row r="18" spans="1:15">
      <c r="A18" s="469" t="s">
        <v>402</v>
      </c>
      <c r="B18" s="478">
        <f>'SECI Network'!B87</f>
        <v>531216</v>
      </c>
      <c r="C18" s="478">
        <f>'SECI Network'!C87</f>
        <v>421803</v>
      </c>
      <c r="D18" s="478">
        <f>'SECI Network'!D87</f>
        <v>388042</v>
      </c>
      <c r="E18" s="478">
        <f>'SECI Network'!E87</f>
        <v>367173</v>
      </c>
      <c r="F18" s="478">
        <f>'SECI Network'!F87</f>
        <v>415663</v>
      </c>
      <c r="G18" s="478">
        <f>'SECI Network'!G87</f>
        <v>449990</v>
      </c>
      <c r="H18" s="478">
        <f>'SECI Network'!H87</f>
        <v>446398</v>
      </c>
      <c r="I18" s="478">
        <f>'SECI Network'!I87</f>
        <v>445351</v>
      </c>
      <c r="J18" s="478">
        <f>'SECI Network'!J87</f>
        <v>450611</v>
      </c>
      <c r="K18" s="478">
        <f>'SECI Network'!K87</f>
        <v>390875</v>
      </c>
      <c r="L18" s="478">
        <f>'SECI Network'!L87</f>
        <v>377082</v>
      </c>
      <c r="M18" s="478">
        <f>'SECI Network'!M87</f>
        <v>408350</v>
      </c>
      <c r="N18" s="478">
        <f t="shared" si="0"/>
        <v>5092554</v>
      </c>
      <c r="O18" s="479">
        <f t="shared" si="1"/>
        <v>424379.5</v>
      </c>
    </row>
    <row r="19" spans="1:15">
      <c r="A19" s="469" t="s">
        <v>44</v>
      </c>
      <c r="B19" s="478">
        <f>'Georgia Trans Network'!B77</f>
        <v>18450</v>
      </c>
      <c r="C19" s="478">
        <f>'Georgia Trans Network'!C77</f>
        <v>18450</v>
      </c>
      <c r="D19" s="478">
        <f>'Georgia Trans Network'!D77</f>
        <v>18450</v>
      </c>
      <c r="E19" s="478">
        <f>'Georgia Trans Network'!E77</f>
        <v>18450</v>
      </c>
      <c r="F19" s="478">
        <f>'Georgia Trans Network'!F77</f>
        <v>18450</v>
      </c>
      <c r="G19" s="478">
        <f>'Georgia Trans Network'!G77</f>
        <v>15914</v>
      </c>
      <c r="H19" s="478">
        <f>'Georgia Trans Network'!H77</f>
        <v>15914</v>
      </c>
      <c r="I19" s="478">
        <f>'Georgia Trans Network'!I77</f>
        <v>15914</v>
      </c>
      <c r="J19" s="478">
        <f>'Georgia Trans Network'!J77</f>
        <v>15914</v>
      </c>
      <c r="K19" s="478">
        <f>'Georgia Trans Network'!K77</f>
        <v>18911</v>
      </c>
      <c r="L19" s="478">
        <f>'Georgia Trans Network'!L77</f>
        <v>18911</v>
      </c>
      <c r="M19" s="478">
        <f>'Georgia Trans Network'!M77</f>
        <v>18911</v>
      </c>
      <c r="N19" s="478">
        <f t="shared" si="0"/>
        <v>212639</v>
      </c>
      <c r="O19" s="479">
        <f t="shared" si="1"/>
        <v>17719.916666666668</v>
      </c>
    </row>
    <row r="20" spans="1:15">
      <c r="A20" s="469" t="s">
        <v>403</v>
      </c>
      <c r="B20" s="478">
        <f>'Lake Worth Forecast'!E13</f>
        <v>69383.549041638515</v>
      </c>
      <c r="C20" s="478">
        <f>'Lake Worth Forecast'!F13</f>
        <v>67764.130167225085</v>
      </c>
      <c r="D20" s="478">
        <f>'Lake Worth Forecast'!G13</f>
        <v>70751.505357913207</v>
      </c>
      <c r="E20" s="478">
        <f>'Lake Worth Forecast'!H13</f>
        <v>73980.284604414512</v>
      </c>
      <c r="F20" s="478">
        <f>'Lake Worth Forecast'!I13</f>
        <v>82660.772111363491</v>
      </c>
      <c r="G20" s="478">
        <f>'Lake Worth Forecast'!J13</f>
        <v>86784.75806483865</v>
      </c>
      <c r="H20" s="478">
        <f>'Lake Worth Forecast'!K13</f>
        <v>90204.648855525404</v>
      </c>
      <c r="I20" s="478">
        <f>'Lake Worth Forecast'!L13</f>
        <v>90727.69097645396</v>
      </c>
      <c r="J20" s="478">
        <f>'Lake Worth Forecast'!M13</f>
        <v>87589.438250882595</v>
      </c>
      <c r="K20" s="478">
        <f>'Lake Worth Forecast'!N13</f>
        <v>82258.432018341511</v>
      </c>
      <c r="L20" s="478">
        <f>'Lake Worth Forecast'!O13</f>
        <v>73447.183981160386</v>
      </c>
      <c r="M20" s="478">
        <f>'Lake Worth Forecast'!P13</f>
        <v>69765.772130009384</v>
      </c>
      <c r="N20" s="478">
        <f t="shared" si="0"/>
        <v>945318.16555976658</v>
      </c>
      <c r="O20" s="479">
        <f t="shared" si="1"/>
        <v>78776.51379664721</v>
      </c>
    </row>
    <row r="21" spans="1:15">
      <c r="A21" s="469" t="s">
        <v>116</v>
      </c>
      <c r="B21" s="478">
        <f>'Homestead Network Transmission'!B77/(1+'Transmission Formula Rate (7)'!$B$27)</f>
        <v>20618.556701030928</v>
      </c>
      <c r="C21" s="478">
        <f>'Homestead Network Transmission'!C77/(1+'Transmission Formula Rate (7)'!$B$27)</f>
        <v>5891.0162002945508</v>
      </c>
      <c r="D21" s="478">
        <f>'Homestead Network Transmission'!D77/(1+'Transmission Formula Rate (7)'!$B$27)</f>
        <v>0</v>
      </c>
      <c r="E21" s="478">
        <f>'Homestead Network Transmission'!E77/(1+'Transmission Formula Rate (7)'!$B$27)</f>
        <v>2945.5081001472754</v>
      </c>
      <c r="F21" s="478">
        <f>'Homestead Network Transmission'!F77/(1+'Transmission Formula Rate (7)'!$B$27)</f>
        <v>11782.032400589102</v>
      </c>
      <c r="G21" s="478">
        <f>'Homestead Network Transmission'!G77/(1+'Transmission Formula Rate (7)'!$B$27)</f>
        <v>19636.720667648504</v>
      </c>
      <c r="H21" s="478">
        <f>'Homestead Network Transmission'!H77/(1+'Transmission Formula Rate (7)'!$B$27)</f>
        <v>24545.900834560631</v>
      </c>
      <c r="I21" s="478">
        <f>'Homestead Network Transmission'!I77/(1+'Transmission Formula Rate (7)'!$B$27)</f>
        <v>20618.556701030928</v>
      </c>
      <c r="J21" s="478">
        <f>'Homestead Network Transmission'!J77/(1+'Transmission Formula Rate (7)'!$B$27)</f>
        <v>20618.556701030928</v>
      </c>
      <c r="K21" s="478">
        <f>'Homestead Network Transmission'!K77/(1+'Transmission Formula Rate (7)'!$B$27)</f>
        <v>7854.6882670594014</v>
      </c>
      <c r="L21" s="478">
        <f>'Homestead Network Transmission'!L77/(1+'Transmission Formula Rate (7)'!$B$27)</f>
        <v>0</v>
      </c>
      <c r="M21" s="478">
        <f>'Homestead Network Transmission'!M77/(1+'Transmission Formula Rate (7)'!$B$27)</f>
        <v>0</v>
      </c>
      <c r="N21" s="478">
        <f>'Homestead Network Transmission'!N77/(1+'Transmission Formula Rate (7)'!$B$27)</f>
        <v>134511.53657339225</v>
      </c>
      <c r="O21" s="479">
        <f t="shared" si="1"/>
        <v>11209.294714449354</v>
      </c>
    </row>
    <row r="22" spans="1:15">
      <c r="A22" s="469" t="s">
        <v>408</v>
      </c>
      <c r="B22" s="478">
        <f>'New Smyrna Network'!B78/(1+'Transmission Formula Rate (7)'!$B$27)</f>
        <v>24545.900834560631</v>
      </c>
      <c r="C22" s="478">
        <f>'New Smyrna Network'!C78/(1+'Transmission Formula Rate (7)'!$B$27)</f>
        <v>44182.621502209135</v>
      </c>
      <c r="D22" s="478">
        <f>'New Smyrna Network'!D78/(1+'Transmission Formula Rate (7)'!$B$27)</f>
        <v>44182.621502209135</v>
      </c>
      <c r="E22" s="478">
        <f>'New Smyrna Network'!E78/(1+'Transmission Formula Rate (7)'!$B$27)</f>
        <v>29455.081001472754</v>
      </c>
      <c r="F22" s="478">
        <f>'New Smyrna Network'!F78/(1+'Transmission Formula Rate (7)'!$B$27)</f>
        <v>19636.720667648504</v>
      </c>
      <c r="G22" s="478">
        <f>'New Smyrna Network'!G78/(1+'Transmission Formula Rate (7)'!$B$27)</f>
        <v>29455.081001472754</v>
      </c>
      <c r="H22" s="478">
        <f>'New Smyrna Network'!H78/(1+'Transmission Formula Rate (7)'!$B$27)</f>
        <v>44182.621502209135</v>
      </c>
      <c r="I22" s="478">
        <f>'New Smyrna Network'!I78/(1+'Transmission Formula Rate (7)'!$B$27)</f>
        <v>44182.621502209135</v>
      </c>
      <c r="J22" s="478">
        <f>'New Smyrna Network'!J78/(1+'Transmission Formula Rate (7)'!$B$27)</f>
        <v>44182.621502209135</v>
      </c>
      <c r="K22" s="478">
        <f>'New Smyrna Network'!K78/(1+'Transmission Formula Rate (7)'!$B$27)</f>
        <v>29455.081001472754</v>
      </c>
      <c r="L22" s="478">
        <f>'New Smyrna Network'!L78/(1+'Transmission Formula Rate (7)'!$B$27)</f>
        <v>34364.261168384881</v>
      </c>
      <c r="M22" s="478">
        <f>'New Smyrna Network'!M78/(1+'Transmission Formula Rate (7)'!$B$27)</f>
        <v>0</v>
      </c>
      <c r="N22" s="478">
        <f t="shared" si="0"/>
        <v>387825.23318605794</v>
      </c>
      <c r="O22" s="479">
        <f t="shared" si="1"/>
        <v>32318.769432171495</v>
      </c>
    </row>
    <row r="23" spans="1:15">
      <c r="A23" s="469" t="s">
        <v>450</v>
      </c>
      <c r="B23" s="478">
        <f>'Quincy Transmission'!B58/(1+'Transmission Formula Rate (7)'!$B$27)</f>
        <v>18654.88463426608</v>
      </c>
      <c r="C23" s="478">
        <f>'Quincy Transmission'!C58/(1+'Transmission Formula Rate (7)'!$B$27)</f>
        <v>23342.474226804126</v>
      </c>
      <c r="D23" s="478">
        <f>'Quincy Transmission'!D58/(1+'Transmission Formula Rate (7)'!$B$27)</f>
        <v>21369.366715758471</v>
      </c>
      <c r="E23" s="478">
        <f>'Quincy Transmission'!E58/(1+'Transmission Formula Rate (7)'!$B$27)</f>
        <v>19162.444771723123</v>
      </c>
      <c r="F23" s="478">
        <f>'Quincy Transmission'!F58/(1+'Transmission Formula Rate (7)'!$B$27)</f>
        <v>22637.054491899853</v>
      </c>
      <c r="G23" s="478">
        <f>'Quincy Transmission'!G58/(1+'Transmission Formula Rate (7)'!$B$27)</f>
        <v>27179.73490427099</v>
      </c>
      <c r="H23" s="478">
        <f>'Quincy Transmission'!H58/(1+'Transmission Formula Rate (7)'!$B$27)</f>
        <v>26867.982326951402</v>
      </c>
      <c r="I23" s="478">
        <f>'Quincy Transmission'!I58/(1+'Transmission Formula Rate (7)'!$B$27)</f>
        <v>18654.88463426608</v>
      </c>
      <c r="J23" s="478">
        <f>'Quincy Transmission'!J58/(1+'Transmission Formula Rate (7)'!$B$27)</f>
        <v>24822.503681885126</v>
      </c>
      <c r="K23" s="478">
        <f>'Quincy Transmission'!K58/(1+'Transmission Formula Rate (7)'!$B$27)</f>
        <v>21870.397643593522</v>
      </c>
      <c r="L23" s="478">
        <f>'Quincy Transmission'!L58/(1+'Transmission Formula Rate (7)'!$B$27)</f>
        <v>25166.863033873346</v>
      </c>
      <c r="M23" s="478">
        <f>'Quincy Transmission'!M58/(1+'Transmission Formula Rate (7)'!$B$27)</f>
        <v>22615.581737849781</v>
      </c>
      <c r="N23" s="478">
        <f>'Quincy Transmission'!N58/(1+'Transmission Formula Rate (7)'!$B$27)</f>
        <v>272344.17280314193</v>
      </c>
      <c r="O23" s="479">
        <f t="shared" si="1"/>
        <v>22695.347733595161</v>
      </c>
    </row>
    <row r="24" spans="1:15">
      <c r="A24" s="480" t="s">
        <v>404</v>
      </c>
      <c r="B24" s="481">
        <f>SUM(B11:B23)</f>
        <v>2014977.4992692526</v>
      </c>
      <c r="C24" s="481">
        <f t="shared" ref="C24:O24" si="2">SUM(C11:C23)</f>
        <v>2032137.7707437351</v>
      </c>
      <c r="D24" s="481">
        <f t="shared" si="2"/>
        <v>1829486.6754778468</v>
      </c>
      <c r="E24" s="481">
        <f t="shared" si="2"/>
        <v>1773335.1828516712</v>
      </c>
      <c r="F24" s="481">
        <f t="shared" si="2"/>
        <v>1919589.3035499728</v>
      </c>
      <c r="G24" s="481">
        <f t="shared" si="2"/>
        <v>2132554.5814490011</v>
      </c>
      <c r="H24" s="481">
        <f t="shared" si="2"/>
        <v>2235605.9209563145</v>
      </c>
      <c r="I24" s="481">
        <f t="shared" si="2"/>
        <v>2241421.8690931848</v>
      </c>
      <c r="J24" s="481">
        <f t="shared" si="2"/>
        <v>2217975.9489692948</v>
      </c>
      <c r="K24" s="481">
        <f t="shared" si="2"/>
        <v>1963585.7417511952</v>
      </c>
      <c r="L24" s="481">
        <f t="shared" si="2"/>
        <v>1888641.9661409496</v>
      </c>
      <c r="M24" s="481">
        <f t="shared" si="2"/>
        <v>1741335.8676065619</v>
      </c>
      <c r="N24" s="481">
        <f t="shared" si="2"/>
        <v>23990648.327858977</v>
      </c>
      <c r="O24" s="481">
        <f t="shared" si="2"/>
        <v>1999220.6939882485</v>
      </c>
    </row>
    <row r="25" spans="1:15">
      <c r="O25" s="477"/>
    </row>
    <row r="26" spans="1:15">
      <c r="A26" s="476" t="s">
        <v>405</v>
      </c>
      <c r="O26" s="477"/>
    </row>
    <row r="27" spans="1:15">
      <c r="A27" s="469" t="s">
        <v>23</v>
      </c>
      <c r="B27" s="478">
        <f>'TSAS Demand Revenues (7)'!B227</f>
        <v>37056</v>
      </c>
      <c r="C27" s="478">
        <f>'TSAS Demand Revenues (7)'!C158</f>
        <v>37056</v>
      </c>
      <c r="D27" s="478">
        <f>'TSAS Demand Revenues (7)'!D158</f>
        <v>37056</v>
      </c>
      <c r="E27" s="478">
        <f>'TSAS Demand Revenues (7)'!E158</f>
        <v>37056</v>
      </c>
      <c r="F27" s="478">
        <f>'TSAS Demand Revenues (7)'!F158</f>
        <v>37056</v>
      </c>
      <c r="G27" s="478">
        <f>'TSAS Demand Revenues (7)'!G158</f>
        <v>37056</v>
      </c>
      <c r="H27" s="478">
        <f>'TSAS Demand Revenues (7)'!H158</f>
        <v>37056</v>
      </c>
      <c r="I27" s="478">
        <f>'TSAS Demand Revenues (7)'!I158</f>
        <v>37056</v>
      </c>
      <c r="J27" s="478">
        <f>'TSAS Demand Revenues (7)'!J158</f>
        <v>37056</v>
      </c>
      <c r="K27" s="478">
        <f>'TSAS Demand Revenues (7)'!K158</f>
        <v>37056</v>
      </c>
      <c r="L27" s="478">
        <f>'TSAS Demand Revenues (7)'!L158</f>
        <v>37056</v>
      </c>
      <c r="M27" s="478">
        <f>'TSAS Demand Revenues (7)'!M158</f>
        <v>37056</v>
      </c>
      <c r="N27" s="489">
        <f>SUM(B27:M27)</f>
        <v>444672</v>
      </c>
      <c r="O27" s="479">
        <f t="shared" ref="O27:O33" si="3">AVERAGE(B27:M27)</f>
        <v>37056</v>
      </c>
    </row>
    <row r="28" spans="1:15">
      <c r="A28" s="469" t="s">
        <v>24</v>
      </c>
      <c r="B28" s="478">
        <f>'TSAS Demand Revenues (7)'!B232</f>
        <v>62000</v>
      </c>
      <c r="C28" s="478">
        <f>'TSAS Demand Revenues (7)'!C163</f>
        <v>62000</v>
      </c>
      <c r="D28" s="478">
        <f>'TSAS Demand Revenues (7)'!D163</f>
        <v>62000</v>
      </c>
      <c r="E28" s="478">
        <f>'TSAS Demand Revenues (7)'!E163</f>
        <v>62000</v>
      </c>
      <c r="F28" s="478">
        <f>'TSAS Demand Revenues (7)'!F163</f>
        <v>62000</v>
      </c>
      <c r="G28" s="478">
        <f>'TSAS Demand Revenues (7)'!G163</f>
        <v>62000</v>
      </c>
      <c r="H28" s="478">
        <f>'TSAS Demand Revenues (7)'!H163</f>
        <v>62000</v>
      </c>
      <c r="I28" s="478">
        <f>'TSAS Demand Revenues (7)'!I163</f>
        <v>62000</v>
      </c>
      <c r="J28" s="478">
        <f>'TSAS Demand Revenues (7)'!J163</f>
        <v>62000</v>
      </c>
      <c r="K28" s="478">
        <f>'TSAS Demand Revenues (7)'!K163</f>
        <v>62000</v>
      </c>
      <c r="L28" s="478">
        <f>'TSAS Demand Revenues (7)'!L163</f>
        <v>62000</v>
      </c>
      <c r="M28" s="478">
        <f>'TSAS Demand Revenues (7)'!M163</f>
        <v>62000</v>
      </c>
      <c r="N28" s="489">
        <f t="shared" ref="N28:N33" si="4">SUM(B28:M28)</f>
        <v>744000</v>
      </c>
      <c r="O28" s="479">
        <f t="shared" si="3"/>
        <v>62000</v>
      </c>
    </row>
    <row r="29" spans="1:15">
      <c r="A29" s="469" t="s">
        <v>116</v>
      </c>
      <c r="B29" s="478">
        <f>'TSAS Demand Revenues (7)'!B237</f>
        <v>40000</v>
      </c>
      <c r="C29" s="478">
        <f>'TSAS Demand Revenues (7)'!C168</f>
        <v>40000</v>
      </c>
      <c r="D29" s="478">
        <f>'TSAS Demand Revenues (7)'!D168</f>
        <v>40000</v>
      </c>
      <c r="E29" s="478">
        <f>'TSAS Demand Revenues (7)'!E168</f>
        <v>40000</v>
      </c>
      <c r="F29" s="478">
        <f>'TSAS Demand Revenues (7)'!F168</f>
        <v>40000</v>
      </c>
      <c r="G29" s="478">
        <f>'TSAS Demand Revenues (7)'!G168</f>
        <v>40000</v>
      </c>
      <c r="H29" s="478">
        <f>'TSAS Demand Revenues (7)'!H168</f>
        <v>40000</v>
      </c>
      <c r="I29" s="478">
        <f>'TSAS Demand Revenues (7)'!I168</f>
        <v>40000</v>
      </c>
      <c r="J29" s="478">
        <f>'TSAS Demand Revenues (7)'!J168</f>
        <v>40000</v>
      </c>
      <c r="K29" s="478">
        <f>'TSAS Demand Revenues (7)'!K168</f>
        <v>40000</v>
      </c>
      <c r="L29" s="478">
        <f>'TSAS Demand Revenues (7)'!L168</f>
        <v>40000</v>
      </c>
      <c r="M29" s="478">
        <f>'TSAS Demand Revenues (7)'!M168</f>
        <v>40000</v>
      </c>
      <c r="N29" s="489">
        <f t="shared" si="4"/>
        <v>480000</v>
      </c>
      <c r="O29" s="479">
        <f t="shared" si="3"/>
        <v>40000</v>
      </c>
    </row>
    <row r="30" spans="1:15">
      <c r="A30" s="469" t="s">
        <v>237</v>
      </c>
      <c r="B30" s="478">
        <f>'TSAS Demand Revenues (7)'!B242</f>
        <v>3000</v>
      </c>
      <c r="C30" s="478">
        <f>'TSAS Demand Revenues (7)'!C173</f>
        <v>4000</v>
      </c>
      <c r="D30" s="478">
        <f>'TSAS Demand Revenues (7)'!D173</f>
        <v>4000</v>
      </c>
      <c r="E30" s="478">
        <f>'TSAS Demand Revenues (7)'!E173</f>
        <v>4000</v>
      </c>
      <c r="F30" s="478">
        <f>'TSAS Demand Revenues (7)'!F173</f>
        <v>4000</v>
      </c>
      <c r="G30" s="478">
        <f>'TSAS Demand Revenues (7)'!G173</f>
        <v>4000</v>
      </c>
      <c r="H30" s="478">
        <f>'TSAS Demand Revenues (7)'!H173</f>
        <v>4000</v>
      </c>
      <c r="I30" s="478">
        <f>'TSAS Demand Revenues (7)'!I173</f>
        <v>4000</v>
      </c>
      <c r="J30" s="478">
        <f>'TSAS Demand Revenues (7)'!J173</f>
        <v>4000</v>
      </c>
      <c r="K30" s="478">
        <f>'TSAS Demand Revenues (7)'!K173</f>
        <v>4000</v>
      </c>
      <c r="L30" s="478">
        <f>'TSAS Demand Revenues (7)'!L173</f>
        <v>3000</v>
      </c>
      <c r="M30" s="478">
        <f>'TSAS Demand Revenues (7)'!M173</f>
        <v>3000</v>
      </c>
      <c r="N30" s="489">
        <f t="shared" si="4"/>
        <v>45000</v>
      </c>
      <c r="O30" s="479">
        <f t="shared" si="3"/>
        <v>3750</v>
      </c>
    </row>
    <row r="31" spans="1:15">
      <c r="A31" s="469" t="s">
        <v>117</v>
      </c>
      <c r="B31" s="478">
        <f>'TSAS Demand Revenues (7)'!B257</f>
        <v>150000</v>
      </c>
      <c r="C31" s="478">
        <f>'TSAS Demand Revenues (7)'!C188</f>
        <v>150000</v>
      </c>
      <c r="D31" s="478">
        <f>'TSAS Demand Revenues (7)'!D188</f>
        <v>150000</v>
      </c>
      <c r="E31" s="478">
        <f>'TSAS Demand Revenues (7)'!E188</f>
        <v>150000</v>
      </c>
      <c r="F31" s="478">
        <f>'TSAS Demand Revenues (7)'!F188</f>
        <v>150000</v>
      </c>
      <c r="G31" s="478">
        <f>'TSAS Demand Revenues (7)'!G188</f>
        <v>150000</v>
      </c>
      <c r="H31" s="478">
        <f>'TSAS Demand Revenues (7)'!H188</f>
        <v>150000</v>
      </c>
      <c r="I31" s="478">
        <f>'TSAS Demand Revenues (7)'!I188</f>
        <v>150000</v>
      </c>
      <c r="J31" s="478">
        <f>'TSAS Demand Revenues (7)'!J188</f>
        <v>150000</v>
      </c>
      <c r="K31" s="478">
        <f>'TSAS Demand Revenues (7)'!K188</f>
        <v>150000</v>
      </c>
      <c r="L31" s="478">
        <f>'TSAS Demand Revenues (7)'!L188</f>
        <v>150000</v>
      </c>
      <c r="M31" s="478">
        <f>'TSAS Demand Revenues (7)'!M188</f>
        <v>150000</v>
      </c>
      <c r="N31" s="489">
        <f t="shared" si="4"/>
        <v>1800000</v>
      </c>
      <c r="O31" s="479">
        <f t="shared" si="3"/>
        <v>150000</v>
      </c>
    </row>
    <row r="32" spans="1:15">
      <c r="A32" s="469" t="s">
        <v>410</v>
      </c>
      <c r="B32" s="478">
        <v>0</v>
      </c>
      <c r="C32" s="478">
        <v>0</v>
      </c>
      <c r="D32" s="478">
        <v>0</v>
      </c>
      <c r="E32" s="478">
        <v>0</v>
      </c>
      <c r="F32" s="478">
        <v>0</v>
      </c>
      <c r="G32" s="478">
        <v>0</v>
      </c>
      <c r="H32" s="478">
        <v>0</v>
      </c>
      <c r="I32" s="478">
        <v>0</v>
      </c>
      <c r="J32" s="478">
        <v>0</v>
      </c>
      <c r="K32" s="478">
        <v>0</v>
      </c>
      <c r="L32" s="478">
        <v>0</v>
      </c>
      <c r="M32" s="478">
        <v>0</v>
      </c>
      <c r="N32" s="489">
        <f t="shared" si="4"/>
        <v>0</v>
      </c>
      <c r="O32" s="479">
        <f t="shared" si="3"/>
        <v>0</v>
      </c>
    </row>
    <row r="33" spans="1:15">
      <c r="A33" s="469" t="s">
        <v>406</v>
      </c>
      <c r="B33" s="478">
        <f>'TSAS Demand Revenues (7)'!B212</f>
        <v>5000</v>
      </c>
      <c r="C33" s="478">
        <f>'TSAS Demand Revenues (7)'!C212</f>
        <v>5000</v>
      </c>
      <c r="D33" s="478">
        <f>'TSAS Demand Revenues (7)'!D212</f>
        <v>5000</v>
      </c>
      <c r="E33" s="478">
        <f>'TSAS Demand Revenues (7)'!E212</f>
        <v>5000</v>
      </c>
      <c r="F33" s="478">
        <f>'TSAS Demand Revenues (7)'!F212</f>
        <v>5000</v>
      </c>
      <c r="G33" s="478">
        <f>'TSAS Demand Revenues (7)'!G212</f>
        <v>5000</v>
      </c>
      <c r="H33" s="478">
        <f>'TSAS Demand Revenues (7)'!H212</f>
        <v>5000</v>
      </c>
      <c r="I33" s="478">
        <f>'TSAS Demand Revenues (7)'!I212</f>
        <v>5000</v>
      </c>
      <c r="J33" s="478">
        <f>'TSAS Demand Revenues (7)'!J212</f>
        <v>5000</v>
      </c>
      <c r="K33" s="478">
        <f>'TSAS Demand Revenues (7)'!K212</f>
        <v>5000</v>
      </c>
      <c r="L33" s="478">
        <f>'TSAS Demand Revenues (7)'!L212</f>
        <v>5000</v>
      </c>
      <c r="M33" s="478">
        <f>'TSAS Demand Revenues (7)'!M212</f>
        <v>5000</v>
      </c>
      <c r="N33" s="489">
        <f t="shared" si="4"/>
        <v>60000</v>
      </c>
      <c r="O33" s="479">
        <f t="shared" si="3"/>
        <v>5000</v>
      </c>
    </row>
    <row r="34" spans="1:15">
      <c r="A34" s="480" t="s">
        <v>407</v>
      </c>
      <c r="B34" s="481">
        <f t="shared" ref="B34:O34" si="5">SUM(B27:B33)</f>
        <v>297056</v>
      </c>
      <c r="C34" s="481">
        <f t="shared" si="5"/>
        <v>298056</v>
      </c>
      <c r="D34" s="481">
        <f t="shared" si="5"/>
        <v>298056</v>
      </c>
      <c r="E34" s="481">
        <f t="shared" si="5"/>
        <v>298056</v>
      </c>
      <c r="F34" s="481">
        <f t="shared" si="5"/>
        <v>298056</v>
      </c>
      <c r="G34" s="481">
        <f t="shared" si="5"/>
        <v>298056</v>
      </c>
      <c r="H34" s="481">
        <f t="shared" si="5"/>
        <v>298056</v>
      </c>
      <c r="I34" s="481">
        <f t="shared" si="5"/>
        <v>298056</v>
      </c>
      <c r="J34" s="481">
        <f t="shared" si="5"/>
        <v>298056</v>
      </c>
      <c r="K34" s="481">
        <f t="shared" si="5"/>
        <v>298056</v>
      </c>
      <c r="L34" s="481">
        <f t="shared" si="5"/>
        <v>297056</v>
      </c>
      <c r="M34" s="481">
        <f t="shared" si="5"/>
        <v>297056</v>
      </c>
      <c r="N34" s="481">
        <f t="shared" si="5"/>
        <v>3573672</v>
      </c>
      <c r="O34" s="482">
        <f t="shared" si="5"/>
        <v>297806</v>
      </c>
    </row>
    <row r="35" spans="1:15">
      <c r="O35" s="477"/>
    </row>
    <row r="36" spans="1:15">
      <c r="O36" s="477"/>
    </row>
    <row r="37" spans="1:15" ht="13.8" thickBot="1">
      <c r="A37" s="480" t="s">
        <v>467</v>
      </c>
      <c r="B37" s="483">
        <f t="shared" ref="B37:O37" si="6">+B24+B34</f>
        <v>2312033.4992692526</v>
      </c>
      <c r="C37" s="483">
        <f t="shared" si="6"/>
        <v>2330193.7707437351</v>
      </c>
      <c r="D37" s="483">
        <f t="shared" si="6"/>
        <v>2127542.6754778465</v>
      </c>
      <c r="E37" s="483">
        <f t="shared" si="6"/>
        <v>2071391.1828516712</v>
      </c>
      <c r="F37" s="483">
        <f t="shared" si="6"/>
        <v>2217645.3035499728</v>
      </c>
      <c r="G37" s="483">
        <f t="shared" si="6"/>
        <v>2430610.5814490011</v>
      </c>
      <c r="H37" s="483">
        <f t="shared" si="6"/>
        <v>2533661.9209563145</v>
      </c>
      <c r="I37" s="483">
        <f t="shared" si="6"/>
        <v>2539477.8690931848</v>
      </c>
      <c r="J37" s="483">
        <f t="shared" si="6"/>
        <v>2516031.9489692948</v>
      </c>
      <c r="K37" s="483">
        <f t="shared" si="6"/>
        <v>2261641.7417511949</v>
      </c>
      <c r="L37" s="483">
        <f t="shared" si="6"/>
        <v>2185697.9661409496</v>
      </c>
      <c r="M37" s="483">
        <f t="shared" si="6"/>
        <v>2038391.8676065619</v>
      </c>
      <c r="N37" s="483">
        <f t="shared" si="6"/>
        <v>27564320.327858977</v>
      </c>
      <c r="O37" s="484">
        <f t="shared" si="6"/>
        <v>2297026.6939882487</v>
      </c>
    </row>
    <row r="38" spans="1:15" ht="14.4" thickTop="1" thickBot="1">
      <c r="O38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4"/>
  <sheetViews>
    <sheetView zoomScaleNormal="100" zoomScaleSheetLayoutView="100" workbookViewId="0">
      <selection activeCell="A2" sqref="A1:A2"/>
    </sheetView>
  </sheetViews>
  <sheetFormatPr defaultColWidth="9" defaultRowHeight="12"/>
  <cols>
    <col min="1" max="1" width="16.44140625" style="250" customWidth="1"/>
    <col min="2" max="2" width="9.44140625" style="22" customWidth="1"/>
    <col min="3" max="3" width="8.44140625" style="22" customWidth="1"/>
    <col min="4" max="5" width="7.88671875" style="22" customWidth="1"/>
    <col min="6" max="7" width="7.33203125" style="22" customWidth="1"/>
    <col min="8" max="8" width="8.109375" style="22" customWidth="1"/>
    <col min="9" max="9" width="7.21875" style="22" customWidth="1"/>
    <col min="10" max="10" width="7.77734375" style="22" customWidth="1"/>
    <col min="11" max="11" width="9.88671875" style="22" customWidth="1"/>
    <col min="12" max="12" width="8.21875" style="22" customWidth="1"/>
    <col min="13" max="13" width="8.109375" style="22" customWidth="1"/>
    <col min="14" max="14" width="9.77734375" style="22" customWidth="1"/>
    <col min="15" max="16384" width="9" style="22"/>
  </cols>
  <sheetData>
    <row r="1" spans="1:16" ht="13.2">
      <c r="A1" s="480" t="s">
        <v>502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200</v>
      </c>
      <c r="B6" s="15"/>
      <c r="C6" s="15"/>
      <c r="D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  <c r="B7" s="245">
        <v>1</v>
      </c>
      <c r="C7" s="245">
        <f>1+B7</f>
        <v>2</v>
      </c>
      <c r="D7" s="245">
        <f t="shared" ref="D7:M7" si="0">1+C7</f>
        <v>3</v>
      </c>
      <c r="E7" s="245">
        <f t="shared" si="0"/>
        <v>4</v>
      </c>
      <c r="F7" s="245">
        <f t="shared" si="0"/>
        <v>5</v>
      </c>
      <c r="G7" s="245">
        <f t="shared" si="0"/>
        <v>6</v>
      </c>
      <c r="H7" s="245">
        <f t="shared" si="0"/>
        <v>7</v>
      </c>
      <c r="I7" s="245">
        <f t="shared" si="0"/>
        <v>8</v>
      </c>
      <c r="J7" s="245">
        <f t="shared" si="0"/>
        <v>9</v>
      </c>
      <c r="K7" s="245">
        <f t="shared" si="0"/>
        <v>10</v>
      </c>
      <c r="L7" s="245">
        <f t="shared" si="0"/>
        <v>11</v>
      </c>
      <c r="M7" s="245">
        <f t="shared" si="0"/>
        <v>12</v>
      </c>
    </row>
    <row r="8" spans="1:16" s="20" customFormat="1" ht="10.199999999999999">
      <c r="A8" s="253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</row>
    <row r="9" spans="1:16" s="20" customFormat="1" ht="10.199999999999999">
      <c r="A9" s="254"/>
    </row>
    <row r="10" spans="1:16" s="20" customFormat="1" ht="10.199999999999999">
      <c r="A10" s="25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  <c r="L11" s="24" t="s">
        <v>10</v>
      </c>
      <c r="M11" s="24" t="s">
        <v>11</v>
      </c>
      <c r="N11" s="24" t="s">
        <v>12</v>
      </c>
    </row>
    <row r="12" spans="1:16">
      <c r="A12" s="255">
        <v>2014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>
      <c r="A13" s="254" t="s">
        <v>37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6">
      <c r="A14" s="256" t="s">
        <v>47</v>
      </c>
      <c r="B14" s="239">
        <f>'Wauchula Forecast'!E10</f>
        <v>9000</v>
      </c>
      <c r="C14" s="239">
        <f>'Wauchula Forecast'!F10</f>
        <v>12000</v>
      </c>
      <c r="D14" s="239">
        <f>'Wauchula Forecast'!G10</f>
        <v>9000</v>
      </c>
      <c r="E14" s="239">
        <f>'Wauchula Forecast'!H10</f>
        <v>8000</v>
      </c>
      <c r="F14" s="239">
        <f>'Wauchula Forecast'!I10</f>
        <v>12000</v>
      </c>
      <c r="G14" s="239">
        <f>'Wauchula Forecast'!J10</f>
        <v>13000</v>
      </c>
      <c r="H14" s="239">
        <f>'Wauchula Forecast'!K10</f>
        <v>13000</v>
      </c>
      <c r="I14" s="239">
        <f>'Wauchula Forecast'!L10</f>
        <v>13000</v>
      </c>
      <c r="J14" s="239">
        <f>'Wauchula Forecast'!M10</f>
        <v>14000</v>
      </c>
      <c r="K14" s="239">
        <f>'Wauchula Forecast'!N10</f>
        <v>12000</v>
      </c>
      <c r="L14" s="239">
        <f>'Wauchula Forecast'!O10</f>
        <v>12000</v>
      </c>
      <c r="M14" s="239">
        <f>'Wauchula Forecast'!P10</f>
        <v>9000</v>
      </c>
      <c r="N14" s="21">
        <f>SUM(B14:M14)</f>
        <v>136000</v>
      </c>
    </row>
    <row r="15" spans="1:16">
      <c r="A15" s="256" t="s">
        <v>45</v>
      </c>
      <c r="B15" s="28">
        <f>ROUND(B14*'Transmission Formula Rate (7)'!$B$27,0)</f>
        <v>167</v>
      </c>
      <c r="C15" s="28">
        <f>ROUND(C14*'Transmission Formula Rate (7)'!$B$27,0)</f>
        <v>222</v>
      </c>
      <c r="D15" s="28">
        <f>ROUND(D14*'Transmission Formula Rate (7)'!$B$27,0)</f>
        <v>167</v>
      </c>
      <c r="E15" s="28">
        <f>ROUND(E14*'Transmission Formula Rate (7)'!$B$27,0)</f>
        <v>148</v>
      </c>
      <c r="F15" s="28">
        <f>ROUND(F14*'Transmission Formula Rate (7)'!$B$27,0)</f>
        <v>222</v>
      </c>
      <c r="G15" s="28">
        <f>ROUND(G14*'Transmission Formula Rate (7)'!$B$27,0)</f>
        <v>241</v>
      </c>
      <c r="H15" s="28">
        <f>ROUND(H14*'Transmission Formula Rate (7)'!$B$27,0)</f>
        <v>241</v>
      </c>
      <c r="I15" s="28">
        <f>ROUND(I14*'Transmission Formula Rate (7)'!$B$27,0)</f>
        <v>241</v>
      </c>
      <c r="J15" s="28">
        <f>ROUND(J14*'Transmission Formula Rate (7)'!$B$27,0)</f>
        <v>259</v>
      </c>
      <c r="K15" s="28">
        <f>ROUND(K14*'Transmission Formula Rate (7)'!$B$27,0)</f>
        <v>222</v>
      </c>
      <c r="L15" s="28">
        <f>ROUND(L14*'Transmission Formula Rate (7)'!$B$27,0)</f>
        <v>222</v>
      </c>
      <c r="M15" s="28">
        <f>ROUND(M14*'Transmission Formula Rate (7)'!$B$27,0)</f>
        <v>167</v>
      </c>
      <c r="N15" s="21">
        <f>SUM(B15:M15)</f>
        <v>2519</v>
      </c>
    </row>
    <row r="16" spans="1:16">
      <c r="A16" s="256" t="s">
        <v>210</v>
      </c>
      <c r="B16" s="28">
        <f t="shared" ref="B16:M16" si="1">B14+B15</f>
        <v>9167</v>
      </c>
      <c r="C16" s="28">
        <f t="shared" si="1"/>
        <v>12222</v>
      </c>
      <c r="D16" s="28">
        <f t="shared" si="1"/>
        <v>9167</v>
      </c>
      <c r="E16" s="28">
        <f t="shared" si="1"/>
        <v>8148</v>
      </c>
      <c r="F16" s="28">
        <f t="shared" si="1"/>
        <v>12222</v>
      </c>
      <c r="G16" s="28">
        <f t="shared" si="1"/>
        <v>13241</v>
      </c>
      <c r="H16" s="28">
        <f t="shared" si="1"/>
        <v>13241</v>
      </c>
      <c r="I16" s="28">
        <f t="shared" si="1"/>
        <v>13241</v>
      </c>
      <c r="J16" s="28">
        <f t="shared" si="1"/>
        <v>14259</v>
      </c>
      <c r="K16" s="28">
        <f t="shared" si="1"/>
        <v>12222</v>
      </c>
      <c r="L16" s="28">
        <f t="shared" si="1"/>
        <v>12222</v>
      </c>
      <c r="M16" s="28">
        <f t="shared" si="1"/>
        <v>9167</v>
      </c>
      <c r="N16" s="124">
        <f>SUM(B16:M16)</f>
        <v>138519</v>
      </c>
    </row>
    <row r="17" spans="1:14">
      <c r="A17" s="254" t="s">
        <v>20</v>
      </c>
      <c r="B17" s="30">
        <f>'Transmission Formula Rate (7)'!B8</f>
        <v>1.59</v>
      </c>
      <c r="C17" s="30">
        <f>'Transmission Formula Rate (7)'!C8</f>
        <v>1.59</v>
      </c>
      <c r="D17" s="30">
        <f>'Transmission Formula Rate (7)'!D8</f>
        <v>1.59</v>
      </c>
      <c r="E17" s="30">
        <f>'Transmission Formula Rate (7)'!E8</f>
        <v>1.59</v>
      </c>
      <c r="F17" s="30">
        <f>'Transmission Formula Rate (7)'!F8</f>
        <v>1.59</v>
      </c>
      <c r="G17" s="30">
        <f>'Transmission Formula Rate (7)'!G8</f>
        <v>1.59</v>
      </c>
      <c r="H17" s="30">
        <f>'Transmission Formula Rate (7)'!H8</f>
        <v>1.59</v>
      </c>
      <c r="I17" s="30">
        <f>'Transmission Formula Rate (7)'!I8</f>
        <v>1.59</v>
      </c>
      <c r="J17" s="30">
        <f>'Transmission Formula Rate (7)'!J8</f>
        <v>1.59</v>
      </c>
      <c r="K17" s="30">
        <f>'Transmission Formula Rate (7)'!K8</f>
        <v>1.59</v>
      </c>
      <c r="L17" s="30">
        <f>'Transmission Formula Rate (7)'!L8</f>
        <v>1.59</v>
      </c>
      <c r="M17" s="30">
        <f>'Transmission Formula Rate (7)'!M8</f>
        <v>1.59</v>
      </c>
      <c r="N17" s="20"/>
    </row>
    <row r="18" spans="1:14">
      <c r="A18" s="254" t="s">
        <v>17</v>
      </c>
      <c r="B18" s="21">
        <f t="shared" ref="B18:M18" si="2">B16*B17</f>
        <v>14575.53</v>
      </c>
      <c r="C18" s="21">
        <f t="shared" si="2"/>
        <v>19432.98</v>
      </c>
      <c r="D18" s="21">
        <f t="shared" si="2"/>
        <v>14575.53</v>
      </c>
      <c r="E18" s="21">
        <f t="shared" si="2"/>
        <v>12955.320000000002</v>
      </c>
      <c r="F18" s="21">
        <f t="shared" si="2"/>
        <v>19432.98</v>
      </c>
      <c r="G18" s="21">
        <f t="shared" si="2"/>
        <v>21053.190000000002</v>
      </c>
      <c r="H18" s="21">
        <f t="shared" si="2"/>
        <v>21053.190000000002</v>
      </c>
      <c r="I18" s="21">
        <f t="shared" si="2"/>
        <v>21053.190000000002</v>
      </c>
      <c r="J18" s="21">
        <f t="shared" si="2"/>
        <v>22671.81</v>
      </c>
      <c r="K18" s="21">
        <f t="shared" si="2"/>
        <v>19432.98</v>
      </c>
      <c r="L18" s="21">
        <f t="shared" si="2"/>
        <v>19432.98</v>
      </c>
      <c r="M18" s="21">
        <f t="shared" si="2"/>
        <v>14575.53</v>
      </c>
      <c r="N18" s="21">
        <f>SUM(B18:M18)</f>
        <v>220245.21000000002</v>
      </c>
    </row>
    <row r="19" spans="1:14">
      <c r="A19" s="25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54" t="s">
        <v>141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56" t="s">
        <v>47</v>
      </c>
      <c r="B21" s="239">
        <f>B14</f>
        <v>9000</v>
      </c>
      <c r="C21" s="239">
        <f t="shared" ref="C21:M21" si="3">C14</f>
        <v>12000</v>
      </c>
      <c r="D21" s="239">
        <f t="shared" si="3"/>
        <v>9000</v>
      </c>
      <c r="E21" s="239">
        <f t="shared" si="3"/>
        <v>8000</v>
      </c>
      <c r="F21" s="239">
        <f t="shared" si="3"/>
        <v>12000</v>
      </c>
      <c r="G21" s="239">
        <f t="shared" si="3"/>
        <v>13000</v>
      </c>
      <c r="H21" s="239">
        <f t="shared" si="3"/>
        <v>13000</v>
      </c>
      <c r="I21" s="239">
        <f t="shared" si="3"/>
        <v>13000</v>
      </c>
      <c r="J21" s="239">
        <f t="shared" si="3"/>
        <v>14000</v>
      </c>
      <c r="K21" s="239">
        <f t="shared" si="3"/>
        <v>12000</v>
      </c>
      <c r="L21" s="239">
        <f t="shared" si="3"/>
        <v>12000</v>
      </c>
      <c r="M21" s="239">
        <f t="shared" si="3"/>
        <v>9000</v>
      </c>
      <c r="N21" s="21">
        <f>SUM(B21:M21)</f>
        <v>136000</v>
      </c>
    </row>
    <row r="22" spans="1:14">
      <c r="A22" s="256" t="s">
        <v>45</v>
      </c>
      <c r="B22" s="28">
        <f>ROUND(B21*'Transmission Formula Rate (7)'!$B$27,0)</f>
        <v>167</v>
      </c>
      <c r="C22" s="28">
        <f>ROUND(C21*'Transmission Formula Rate (7)'!$B$27,0)</f>
        <v>222</v>
      </c>
      <c r="D22" s="28">
        <f>ROUND(D21*'Transmission Formula Rate (7)'!$B$27,0)</f>
        <v>167</v>
      </c>
      <c r="E22" s="28">
        <f>ROUND(E21*'Transmission Formula Rate (7)'!$B$27,0)</f>
        <v>148</v>
      </c>
      <c r="F22" s="28">
        <f>ROUND(F21*'Transmission Formula Rate (7)'!$B$27,0)</f>
        <v>222</v>
      </c>
      <c r="G22" s="28">
        <f>ROUND(G21*'Transmission Formula Rate (7)'!$B$27,0)</f>
        <v>241</v>
      </c>
      <c r="H22" s="28">
        <f>ROUND(H21*'Transmission Formula Rate (7)'!$B$27,0)</f>
        <v>241</v>
      </c>
      <c r="I22" s="28">
        <f>ROUND(I21*'Transmission Formula Rate (7)'!$B$27,0)</f>
        <v>241</v>
      </c>
      <c r="J22" s="28">
        <f>ROUND(J21*'Transmission Formula Rate (7)'!$B$27,0)</f>
        <v>259</v>
      </c>
      <c r="K22" s="28">
        <f>ROUND(K21*'Transmission Formula Rate (7)'!$B$27,0)</f>
        <v>222</v>
      </c>
      <c r="L22" s="28">
        <f>ROUND(L21*'Transmission Formula Rate (7)'!$B$27,0)</f>
        <v>222</v>
      </c>
      <c r="M22" s="28">
        <f>ROUND(M21*'Transmission Formula Rate (7)'!$B$27,0)</f>
        <v>167</v>
      </c>
      <c r="N22" s="21">
        <f>SUM(B22:M22)</f>
        <v>2519</v>
      </c>
    </row>
    <row r="23" spans="1:14">
      <c r="A23" s="256" t="s">
        <v>210</v>
      </c>
      <c r="B23" s="28">
        <f>B21+B22</f>
        <v>9167</v>
      </c>
      <c r="C23" s="28">
        <f t="shared" ref="C23:M23" si="4">C21+C22</f>
        <v>12222</v>
      </c>
      <c r="D23" s="28">
        <f t="shared" si="4"/>
        <v>9167</v>
      </c>
      <c r="E23" s="28">
        <f t="shared" si="4"/>
        <v>8148</v>
      </c>
      <c r="F23" s="28">
        <f t="shared" si="4"/>
        <v>12222</v>
      </c>
      <c r="G23" s="28">
        <f t="shared" si="4"/>
        <v>13241</v>
      </c>
      <c r="H23" s="28">
        <f t="shared" si="4"/>
        <v>13241</v>
      </c>
      <c r="I23" s="28">
        <f t="shared" si="4"/>
        <v>13241</v>
      </c>
      <c r="J23" s="28">
        <f t="shared" si="4"/>
        <v>14259</v>
      </c>
      <c r="K23" s="28">
        <f t="shared" si="4"/>
        <v>12222</v>
      </c>
      <c r="L23" s="28">
        <f t="shared" si="4"/>
        <v>12222</v>
      </c>
      <c r="M23" s="28">
        <f t="shared" si="4"/>
        <v>9167</v>
      </c>
      <c r="N23" s="124">
        <f>SUM(B23:M23)</f>
        <v>138519</v>
      </c>
    </row>
    <row r="24" spans="1:14">
      <c r="A24" s="254" t="s">
        <v>149</v>
      </c>
      <c r="B24" s="32">
        <f>'charges (1 &amp; 2)'!E33</f>
        <v>1.274E-2</v>
      </c>
      <c r="C24" s="32">
        <f>B24</f>
        <v>1.274E-2</v>
      </c>
      <c r="D24" s="32">
        <f t="shared" ref="D24:M24" si="5">C24</f>
        <v>1.274E-2</v>
      </c>
      <c r="E24" s="32">
        <f t="shared" si="5"/>
        <v>1.274E-2</v>
      </c>
      <c r="F24" s="32">
        <f t="shared" si="5"/>
        <v>1.274E-2</v>
      </c>
      <c r="G24" s="32">
        <f t="shared" si="5"/>
        <v>1.274E-2</v>
      </c>
      <c r="H24" s="32">
        <f t="shared" si="5"/>
        <v>1.274E-2</v>
      </c>
      <c r="I24" s="32">
        <f t="shared" si="5"/>
        <v>1.274E-2</v>
      </c>
      <c r="J24" s="32">
        <f t="shared" si="5"/>
        <v>1.274E-2</v>
      </c>
      <c r="K24" s="32">
        <f t="shared" si="5"/>
        <v>1.274E-2</v>
      </c>
      <c r="L24" s="32">
        <f t="shared" si="5"/>
        <v>1.274E-2</v>
      </c>
      <c r="M24" s="32">
        <f t="shared" si="5"/>
        <v>1.274E-2</v>
      </c>
      <c r="N24" s="20"/>
    </row>
    <row r="25" spans="1:14">
      <c r="A25" s="254" t="s">
        <v>17</v>
      </c>
      <c r="B25" s="21">
        <f t="shared" ref="B25:M25" si="6">B23*B24</f>
        <v>116.78757999999999</v>
      </c>
      <c r="C25" s="21">
        <f t="shared" si="6"/>
        <v>155.70828</v>
      </c>
      <c r="D25" s="21">
        <f t="shared" si="6"/>
        <v>116.78757999999999</v>
      </c>
      <c r="E25" s="21">
        <f t="shared" si="6"/>
        <v>103.80552</v>
      </c>
      <c r="F25" s="21">
        <f t="shared" si="6"/>
        <v>155.70828</v>
      </c>
      <c r="G25" s="21">
        <f t="shared" si="6"/>
        <v>168.69033999999999</v>
      </c>
      <c r="H25" s="21">
        <f t="shared" si="6"/>
        <v>168.69033999999999</v>
      </c>
      <c r="I25" s="21">
        <f t="shared" si="6"/>
        <v>168.69033999999999</v>
      </c>
      <c r="J25" s="21">
        <f t="shared" si="6"/>
        <v>181.65966</v>
      </c>
      <c r="K25" s="21">
        <f t="shared" si="6"/>
        <v>155.70828</v>
      </c>
      <c r="L25" s="21">
        <f t="shared" si="6"/>
        <v>155.70828</v>
      </c>
      <c r="M25" s="21">
        <f t="shared" si="6"/>
        <v>116.78757999999999</v>
      </c>
      <c r="N25" s="21">
        <f>SUM(B25:M25)</f>
        <v>1764.73206</v>
      </c>
    </row>
    <row r="26" spans="1:14">
      <c r="A26" s="25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57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B28" s="24" t="s">
        <v>0</v>
      </c>
      <c r="C28" s="24" t="s">
        <v>1</v>
      </c>
      <c r="D28" s="24" t="s">
        <v>2</v>
      </c>
      <c r="E28" s="24" t="s">
        <v>3</v>
      </c>
      <c r="F28" s="24" t="s">
        <v>4</v>
      </c>
      <c r="G28" s="24" t="s">
        <v>5</v>
      </c>
      <c r="H28" s="24" t="s">
        <v>6</v>
      </c>
      <c r="I28" s="2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24" t="s">
        <v>12</v>
      </c>
    </row>
    <row r="29" spans="1:14">
      <c r="A29" s="255">
        <f>+A12+1</f>
        <v>2015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>
      <c r="A30" s="254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56" t="s">
        <v>210</v>
      </c>
      <c r="B31" s="239">
        <f>'Wauchula Forecast'!E11</f>
        <v>9000</v>
      </c>
      <c r="C31" s="239">
        <f>'Wauchula Forecast'!F11</f>
        <v>8000</v>
      </c>
      <c r="D31" s="239">
        <f>'Wauchula Forecast'!G11</f>
        <v>13000</v>
      </c>
      <c r="E31" s="239">
        <f>'Wauchula Forecast'!H11</f>
        <v>10000</v>
      </c>
      <c r="F31" s="239">
        <f>'Wauchula Forecast'!I11</f>
        <v>11000</v>
      </c>
      <c r="G31" s="239">
        <f>'Wauchula Forecast'!J11</f>
        <v>12000</v>
      </c>
      <c r="H31" s="239">
        <f>'Wauchula Forecast'!K11</f>
        <v>13000</v>
      </c>
      <c r="I31" s="239">
        <f>'Wauchula Forecast'!L11</f>
        <v>12000</v>
      </c>
      <c r="J31" s="239">
        <f>'Wauchula Forecast'!M11</f>
        <v>13000</v>
      </c>
      <c r="K31" s="239">
        <f>'Wauchula Forecast'!N11</f>
        <v>13000</v>
      </c>
      <c r="L31" s="239">
        <f>'Wauchula Forecast'!O11</f>
        <v>13000</v>
      </c>
      <c r="M31" s="239">
        <f>'Wauchula Forecast'!P11</f>
        <v>13000</v>
      </c>
      <c r="N31" s="21">
        <f>SUM(B31:M31)</f>
        <v>140000</v>
      </c>
    </row>
    <row r="32" spans="1:14">
      <c r="A32" s="256" t="s">
        <v>45</v>
      </c>
      <c r="B32" s="28">
        <f>B31-B33</f>
        <v>163.4756995581738</v>
      </c>
      <c r="C32" s="28">
        <f t="shared" ref="C32:M32" si="7">C31-C33</f>
        <v>145.31173294059863</v>
      </c>
      <c r="D32" s="28">
        <f t="shared" si="7"/>
        <v>236.13156602847266</v>
      </c>
      <c r="E32" s="28">
        <f t="shared" si="7"/>
        <v>181.63966617574806</v>
      </c>
      <c r="F32" s="28">
        <f t="shared" si="7"/>
        <v>199.80363279332232</v>
      </c>
      <c r="G32" s="28">
        <f t="shared" si="7"/>
        <v>217.9675994108984</v>
      </c>
      <c r="H32" s="28">
        <f t="shared" si="7"/>
        <v>236.13156602847266</v>
      </c>
      <c r="I32" s="28">
        <f t="shared" si="7"/>
        <v>217.9675994108984</v>
      </c>
      <c r="J32" s="28">
        <f t="shared" si="7"/>
        <v>236.13156602847266</v>
      </c>
      <c r="K32" s="28">
        <f t="shared" si="7"/>
        <v>236.13156602847266</v>
      </c>
      <c r="L32" s="28">
        <f t="shared" si="7"/>
        <v>236.13156602847266</v>
      </c>
      <c r="M32" s="28">
        <f t="shared" si="7"/>
        <v>236.13156602847266</v>
      </c>
      <c r="N32" s="21">
        <f>SUM(B32:M32)</f>
        <v>2542.9553264604756</v>
      </c>
    </row>
    <row r="33" spans="1:14">
      <c r="A33" s="256" t="s">
        <v>47</v>
      </c>
      <c r="B33" s="28">
        <f>B31/(1+'Transmission Formula Rate (7)'!$B$27)</f>
        <v>8836.5243004418262</v>
      </c>
      <c r="C33" s="28">
        <f>C31/(1+'Transmission Formula Rate (7)'!$B$27)</f>
        <v>7854.6882670594014</v>
      </c>
      <c r="D33" s="28">
        <f>D31/(1+'Transmission Formula Rate (7)'!$B$27)</f>
        <v>12763.868433971527</v>
      </c>
      <c r="E33" s="28">
        <f>E31/(1+'Transmission Formula Rate (7)'!$B$27)</f>
        <v>9818.3603338242519</v>
      </c>
      <c r="F33" s="28">
        <f>F31/(1+'Transmission Formula Rate (7)'!$B$27)</f>
        <v>10800.196367206678</v>
      </c>
      <c r="G33" s="28">
        <f>G31/(1+'Transmission Formula Rate (7)'!$B$27)</f>
        <v>11782.032400589102</v>
      </c>
      <c r="H33" s="28">
        <f>H31/(1+'Transmission Formula Rate (7)'!$B$27)</f>
        <v>12763.868433971527</v>
      </c>
      <c r="I33" s="28">
        <f>I31/(1+'Transmission Formula Rate (7)'!$B$27)</f>
        <v>11782.032400589102</v>
      </c>
      <c r="J33" s="28">
        <f>J31/(1+'Transmission Formula Rate (7)'!$B$27)</f>
        <v>12763.868433971527</v>
      </c>
      <c r="K33" s="28">
        <f>K31/(1+'Transmission Formula Rate (7)'!$B$27)</f>
        <v>12763.868433971527</v>
      </c>
      <c r="L33" s="28">
        <f>L31/(1+'Transmission Formula Rate (7)'!$B$27)</f>
        <v>12763.868433971527</v>
      </c>
      <c r="M33" s="28">
        <f>M31/(1+'Transmission Formula Rate (7)'!$B$27)</f>
        <v>12763.868433971527</v>
      </c>
      <c r="N33" s="124">
        <f>SUM(B33:M33)</f>
        <v>137457.04467353952</v>
      </c>
    </row>
    <row r="34" spans="1:14">
      <c r="A34" s="254" t="s">
        <v>20</v>
      </c>
      <c r="B34" s="30">
        <f>'Transmission Formula Rate (7)'!B10</f>
        <v>1.59</v>
      </c>
      <c r="C34" s="30">
        <f>'Transmission Formula Rate (7)'!C10</f>
        <v>1.59</v>
      </c>
      <c r="D34" s="30">
        <f>'Transmission Formula Rate (7)'!D10</f>
        <v>1.59</v>
      </c>
      <c r="E34" s="30">
        <f>'Transmission Formula Rate (7)'!E10</f>
        <v>1.59</v>
      </c>
      <c r="F34" s="30">
        <f>'Transmission Formula Rate (7)'!F10</f>
        <v>1.59</v>
      </c>
      <c r="G34" s="30">
        <f>'Transmission Formula Rate (7)'!G10</f>
        <v>1.59</v>
      </c>
      <c r="H34" s="30">
        <f>'Transmission Formula Rate (7)'!H10</f>
        <v>1.59</v>
      </c>
      <c r="I34" s="30">
        <f>'Transmission Formula Rate (7)'!I10</f>
        <v>1.59</v>
      </c>
      <c r="J34" s="30">
        <f>'Transmission Formula Rate (7)'!J10</f>
        <v>1.59</v>
      </c>
      <c r="K34" s="30">
        <f>'Transmission Formula Rate (7)'!K10</f>
        <v>1.59</v>
      </c>
      <c r="L34" s="30">
        <f>'Transmission Formula Rate (7)'!L10</f>
        <v>1.59</v>
      </c>
      <c r="M34" s="30">
        <f>'Transmission Formula Rate (7)'!M10</f>
        <v>1.59</v>
      </c>
      <c r="N34" s="20"/>
    </row>
    <row r="35" spans="1:14">
      <c r="A35" s="254" t="s">
        <v>17</v>
      </c>
      <c r="B35" s="21">
        <f>B31*B34</f>
        <v>14310</v>
      </c>
      <c r="C35" s="21">
        <f t="shared" ref="C35:M35" si="8">C31*C34</f>
        <v>12720</v>
      </c>
      <c r="D35" s="21">
        <f t="shared" si="8"/>
        <v>20670</v>
      </c>
      <c r="E35" s="21">
        <f t="shared" si="8"/>
        <v>15900</v>
      </c>
      <c r="F35" s="21">
        <f t="shared" si="8"/>
        <v>17490</v>
      </c>
      <c r="G35" s="21">
        <f t="shared" si="8"/>
        <v>19080</v>
      </c>
      <c r="H35" s="21">
        <f t="shared" si="8"/>
        <v>20670</v>
      </c>
      <c r="I35" s="21">
        <f t="shared" si="8"/>
        <v>19080</v>
      </c>
      <c r="J35" s="21">
        <f t="shared" si="8"/>
        <v>20670</v>
      </c>
      <c r="K35" s="21">
        <f t="shared" si="8"/>
        <v>20670</v>
      </c>
      <c r="L35" s="21">
        <f t="shared" si="8"/>
        <v>20670</v>
      </c>
      <c r="M35" s="21">
        <f t="shared" si="8"/>
        <v>20670</v>
      </c>
      <c r="N35" s="21">
        <f>SUM(B35:M35)</f>
        <v>222600</v>
      </c>
    </row>
    <row r="36" spans="1:14">
      <c r="A36" s="257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54" t="s">
        <v>141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56" t="s">
        <v>210</v>
      </c>
      <c r="B38" s="239">
        <f>B31</f>
        <v>9000</v>
      </c>
      <c r="C38" s="239">
        <f t="shared" ref="C38:M38" si="9">C31</f>
        <v>8000</v>
      </c>
      <c r="D38" s="239">
        <f t="shared" si="9"/>
        <v>13000</v>
      </c>
      <c r="E38" s="239">
        <f t="shared" si="9"/>
        <v>10000</v>
      </c>
      <c r="F38" s="239">
        <f t="shared" si="9"/>
        <v>11000</v>
      </c>
      <c r="G38" s="239">
        <f t="shared" si="9"/>
        <v>12000</v>
      </c>
      <c r="H38" s="239">
        <f t="shared" si="9"/>
        <v>13000</v>
      </c>
      <c r="I38" s="239">
        <f t="shared" si="9"/>
        <v>12000</v>
      </c>
      <c r="J38" s="239">
        <f t="shared" si="9"/>
        <v>13000</v>
      </c>
      <c r="K38" s="239">
        <f t="shared" si="9"/>
        <v>13000</v>
      </c>
      <c r="L38" s="239">
        <f t="shared" si="9"/>
        <v>13000</v>
      </c>
      <c r="M38" s="239">
        <f t="shared" si="9"/>
        <v>13000</v>
      </c>
      <c r="N38" s="21">
        <f>SUM(B38:M38)</f>
        <v>140000</v>
      </c>
    </row>
    <row r="39" spans="1:14">
      <c r="A39" s="256" t="s">
        <v>45</v>
      </c>
      <c r="B39" s="28">
        <f>B38-B40</f>
        <v>163.4756995581738</v>
      </c>
      <c r="C39" s="28">
        <f t="shared" ref="C39" si="10">C38-C40</f>
        <v>145.31173294059863</v>
      </c>
      <c r="D39" s="28">
        <f t="shared" ref="D39" si="11">D38-D40</f>
        <v>236.13156602847266</v>
      </c>
      <c r="E39" s="28">
        <f t="shared" ref="E39" si="12">E38-E40</f>
        <v>181.63966617574806</v>
      </c>
      <c r="F39" s="28">
        <f t="shared" ref="F39" si="13">F38-F40</f>
        <v>199.80363279332232</v>
      </c>
      <c r="G39" s="28">
        <f t="shared" ref="G39" si="14">G38-G40</f>
        <v>217.9675994108984</v>
      </c>
      <c r="H39" s="28">
        <f t="shared" ref="H39" si="15">H38-H40</f>
        <v>236.13156602847266</v>
      </c>
      <c r="I39" s="28">
        <f t="shared" ref="I39" si="16">I38-I40</f>
        <v>217.9675994108984</v>
      </c>
      <c r="J39" s="28">
        <f t="shared" ref="J39" si="17">J38-J40</f>
        <v>236.13156602847266</v>
      </c>
      <c r="K39" s="28">
        <f t="shared" ref="K39" si="18">K38-K40</f>
        <v>236.13156602847266</v>
      </c>
      <c r="L39" s="28">
        <f t="shared" ref="L39" si="19">L38-L40</f>
        <v>236.13156602847266</v>
      </c>
      <c r="M39" s="28">
        <f t="shared" ref="M39" si="20">M38-M40</f>
        <v>236.13156602847266</v>
      </c>
      <c r="N39" s="21">
        <f>SUM(B39:M39)</f>
        <v>2542.9553264604756</v>
      </c>
    </row>
    <row r="40" spans="1:14">
      <c r="A40" s="256" t="s">
        <v>47</v>
      </c>
      <c r="B40" s="28">
        <f>B38/(1+'Transmission Formula Rate (7)'!$B$27)</f>
        <v>8836.5243004418262</v>
      </c>
      <c r="C40" s="28">
        <f>C38/(1+'Transmission Formula Rate (7)'!$B$27)</f>
        <v>7854.6882670594014</v>
      </c>
      <c r="D40" s="28">
        <f>D38/(1+'Transmission Formula Rate (7)'!$B$27)</f>
        <v>12763.868433971527</v>
      </c>
      <c r="E40" s="28">
        <f>E38/(1+'Transmission Formula Rate (7)'!$B$27)</f>
        <v>9818.3603338242519</v>
      </c>
      <c r="F40" s="28">
        <f>F38/(1+'Transmission Formula Rate (7)'!$B$27)</f>
        <v>10800.196367206678</v>
      </c>
      <c r="G40" s="28">
        <f>G38/(1+'Transmission Formula Rate (7)'!$B$27)</f>
        <v>11782.032400589102</v>
      </c>
      <c r="H40" s="28">
        <f>H38/(1+'Transmission Formula Rate (7)'!$B$27)</f>
        <v>12763.868433971527</v>
      </c>
      <c r="I40" s="28">
        <f>I38/(1+'Transmission Formula Rate (7)'!$B$27)</f>
        <v>11782.032400589102</v>
      </c>
      <c r="J40" s="28">
        <f>J38/(1+'Transmission Formula Rate (7)'!$B$27)</f>
        <v>12763.868433971527</v>
      </c>
      <c r="K40" s="28">
        <f>K38/(1+'Transmission Formula Rate (7)'!$B$27)</f>
        <v>12763.868433971527</v>
      </c>
      <c r="L40" s="28">
        <f>L38/(1+'Transmission Formula Rate (7)'!$B$27)</f>
        <v>12763.868433971527</v>
      </c>
      <c r="M40" s="28">
        <f>M38/(1+'Transmission Formula Rate (7)'!$B$27)</f>
        <v>12763.868433971527</v>
      </c>
      <c r="N40" s="124">
        <f>SUM(B40:M40)</f>
        <v>137457.04467353952</v>
      </c>
    </row>
    <row r="41" spans="1:14">
      <c r="A41" s="254" t="s">
        <v>149</v>
      </c>
      <c r="B41" s="32">
        <f>'charges (1 &amp; 2)'!F33</f>
        <v>1.274E-2</v>
      </c>
      <c r="C41" s="32">
        <f>B41</f>
        <v>1.274E-2</v>
      </c>
      <c r="D41" s="32">
        <f t="shared" ref="D41:M41" si="21">C41</f>
        <v>1.274E-2</v>
      </c>
      <c r="E41" s="32">
        <f t="shared" si="21"/>
        <v>1.274E-2</v>
      </c>
      <c r="F41" s="32">
        <f t="shared" si="21"/>
        <v>1.274E-2</v>
      </c>
      <c r="G41" s="32">
        <f t="shared" si="21"/>
        <v>1.274E-2</v>
      </c>
      <c r="H41" s="32">
        <f t="shared" si="21"/>
        <v>1.274E-2</v>
      </c>
      <c r="I41" s="32">
        <f t="shared" si="21"/>
        <v>1.274E-2</v>
      </c>
      <c r="J41" s="32">
        <f t="shared" si="21"/>
        <v>1.274E-2</v>
      </c>
      <c r="K41" s="32">
        <f t="shared" si="21"/>
        <v>1.274E-2</v>
      </c>
      <c r="L41" s="32">
        <f t="shared" si="21"/>
        <v>1.274E-2</v>
      </c>
      <c r="M41" s="32">
        <f t="shared" si="21"/>
        <v>1.274E-2</v>
      </c>
      <c r="N41" s="20"/>
    </row>
    <row r="42" spans="1:14">
      <c r="A42" s="254" t="s">
        <v>17</v>
      </c>
      <c r="B42" s="21">
        <f>B38*B41</f>
        <v>114.66</v>
      </c>
      <c r="C42" s="21">
        <f t="shared" ref="C42" si="22">C38*C41</f>
        <v>101.92</v>
      </c>
      <c r="D42" s="21">
        <f t="shared" ref="D42" si="23">D38*D41</f>
        <v>165.62</v>
      </c>
      <c r="E42" s="21">
        <f t="shared" ref="E42" si="24">E38*E41</f>
        <v>127.39999999999999</v>
      </c>
      <c r="F42" s="21">
        <f t="shared" ref="F42" si="25">F38*F41</f>
        <v>140.13999999999999</v>
      </c>
      <c r="G42" s="21">
        <f t="shared" ref="G42" si="26">G38*G41</f>
        <v>152.88</v>
      </c>
      <c r="H42" s="21">
        <f t="shared" ref="H42" si="27">H38*H41</f>
        <v>165.62</v>
      </c>
      <c r="I42" s="21">
        <f t="shared" ref="I42" si="28">I38*I41</f>
        <v>152.88</v>
      </c>
      <c r="J42" s="21">
        <f t="shared" ref="J42" si="29">J38*J41</f>
        <v>165.62</v>
      </c>
      <c r="K42" s="21">
        <f t="shared" ref="K42" si="30">K38*K41</f>
        <v>165.62</v>
      </c>
      <c r="L42" s="21">
        <f t="shared" ref="L42" si="31">L38*L41</f>
        <v>165.62</v>
      </c>
      <c r="M42" s="21">
        <f t="shared" ref="M42" si="32">M38*M41</f>
        <v>165.62</v>
      </c>
      <c r="N42" s="21">
        <f>SUM(B42:M42)</f>
        <v>1783.5999999999995</v>
      </c>
    </row>
    <row r="43" spans="1:14">
      <c r="A43" s="25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5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</row>
    <row r="46" spans="1:14">
      <c r="A46" s="255">
        <f>+A29+1</f>
        <v>2016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>
      <c r="A47" s="254" t="s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56" t="s">
        <v>210</v>
      </c>
      <c r="B48" s="239">
        <f>'Wauchula Forecast'!E12</f>
        <v>13000</v>
      </c>
      <c r="C48" s="239">
        <f>'Wauchula Forecast'!F12</f>
        <v>13000</v>
      </c>
      <c r="D48" s="239">
        <f>'Wauchula Forecast'!G12</f>
        <v>13000</v>
      </c>
      <c r="E48" s="239">
        <f>'Wauchula Forecast'!H12</f>
        <v>13000</v>
      </c>
      <c r="F48" s="239">
        <f>'Wauchula Forecast'!I12</f>
        <v>13000</v>
      </c>
      <c r="G48" s="239">
        <f>'Wauchula Forecast'!J12</f>
        <v>13000</v>
      </c>
      <c r="H48" s="239">
        <f>'Wauchula Forecast'!K12</f>
        <v>13000</v>
      </c>
      <c r="I48" s="239">
        <f>'Wauchula Forecast'!L12</f>
        <v>13000</v>
      </c>
      <c r="J48" s="239">
        <f>'Wauchula Forecast'!M12</f>
        <v>13000</v>
      </c>
      <c r="K48" s="239">
        <f>'Wauchula Forecast'!N12</f>
        <v>13000</v>
      </c>
      <c r="L48" s="239">
        <f>'Wauchula Forecast'!O12</f>
        <v>13000</v>
      </c>
      <c r="M48" s="239">
        <f>'Wauchula Forecast'!P12</f>
        <v>13000</v>
      </c>
      <c r="N48" s="21">
        <f>SUM(B48:M48)</f>
        <v>156000</v>
      </c>
    </row>
    <row r="49" spans="1:14">
      <c r="A49" s="256" t="s">
        <v>45</v>
      </c>
      <c r="B49" s="28">
        <f>B48-B50</f>
        <v>236.13156602847266</v>
      </c>
      <c r="C49" s="28">
        <f t="shared" ref="C49" si="33">C48-C50</f>
        <v>236.13156602847266</v>
      </c>
      <c r="D49" s="28">
        <f t="shared" ref="D49" si="34">D48-D50</f>
        <v>236.13156602847266</v>
      </c>
      <c r="E49" s="28">
        <f t="shared" ref="E49" si="35">E48-E50</f>
        <v>236.13156602847266</v>
      </c>
      <c r="F49" s="28">
        <f t="shared" ref="F49" si="36">F48-F50</f>
        <v>236.13156602847266</v>
      </c>
      <c r="G49" s="28">
        <f t="shared" ref="G49" si="37">G48-G50</f>
        <v>236.13156602847266</v>
      </c>
      <c r="H49" s="28">
        <f t="shared" ref="H49" si="38">H48-H50</f>
        <v>236.13156602847266</v>
      </c>
      <c r="I49" s="28">
        <f t="shared" ref="I49" si="39">I48-I50</f>
        <v>236.13156602847266</v>
      </c>
      <c r="J49" s="28">
        <f t="shared" ref="J49" si="40">J48-J50</f>
        <v>236.13156602847266</v>
      </c>
      <c r="K49" s="28">
        <f t="shared" ref="K49" si="41">K48-K50</f>
        <v>236.13156602847266</v>
      </c>
      <c r="L49" s="28">
        <f t="shared" ref="L49" si="42">L48-L50</f>
        <v>236.13156602847266</v>
      </c>
      <c r="M49" s="28">
        <f t="shared" ref="M49" si="43">M48-M50</f>
        <v>236.13156602847266</v>
      </c>
      <c r="N49" s="21">
        <f>SUM(B49:M49)</f>
        <v>2833.5787923416719</v>
      </c>
    </row>
    <row r="50" spans="1:14">
      <c r="A50" s="256" t="s">
        <v>47</v>
      </c>
      <c r="B50" s="28">
        <f>B48/(1+'Transmission Formula Rate (7)'!$B$27)</f>
        <v>12763.868433971527</v>
      </c>
      <c r="C50" s="28">
        <f>C48/(1+'Transmission Formula Rate (7)'!$B$27)</f>
        <v>12763.868433971527</v>
      </c>
      <c r="D50" s="28">
        <f>D48/(1+'Transmission Formula Rate (7)'!$B$27)</f>
        <v>12763.868433971527</v>
      </c>
      <c r="E50" s="28">
        <f>E48/(1+'Transmission Formula Rate (7)'!$B$27)</f>
        <v>12763.868433971527</v>
      </c>
      <c r="F50" s="28">
        <f>F48/(1+'Transmission Formula Rate (7)'!$B$27)</f>
        <v>12763.868433971527</v>
      </c>
      <c r="G50" s="28">
        <f>G48/(1+'Transmission Formula Rate (7)'!$B$27)</f>
        <v>12763.868433971527</v>
      </c>
      <c r="H50" s="28">
        <f>H48/(1+'Transmission Formula Rate (7)'!$B$27)</f>
        <v>12763.868433971527</v>
      </c>
      <c r="I50" s="28">
        <f>I48/(1+'Transmission Formula Rate (7)'!$B$27)</f>
        <v>12763.868433971527</v>
      </c>
      <c r="J50" s="28">
        <f>J48/(1+'Transmission Formula Rate (7)'!$B$27)</f>
        <v>12763.868433971527</v>
      </c>
      <c r="K50" s="28">
        <f>K48/(1+'Transmission Formula Rate (7)'!$B$27)</f>
        <v>12763.868433971527</v>
      </c>
      <c r="L50" s="28">
        <f>L48/(1+'Transmission Formula Rate (7)'!$B$27)</f>
        <v>12763.868433971527</v>
      </c>
      <c r="M50" s="28">
        <f>M48/(1+'Transmission Formula Rate (7)'!$B$27)</f>
        <v>12763.868433971527</v>
      </c>
      <c r="N50" s="124">
        <f>SUM(B50:M50)</f>
        <v>153166.42120765834</v>
      </c>
    </row>
    <row r="51" spans="1:14">
      <c r="A51" s="254" t="s">
        <v>20</v>
      </c>
      <c r="B51" s="30">
        <f>'Transmission Formula Rate (7)'!B12</f>
        <v>1.59</v>
      </c>
      <c r="C51" s="30">
        <f>'Transmission Formula Rate (7)'!C12</f>
        <v>1.59</v>
      </c>
      <c r="D51" s="30">
        <f>'Transmission Formula Rate (7)'!D12</f>
        <v>1.59</v>
      </c>
      <c r="E51" s="30">
        <f>'Transmission Formula Rate (7)'!E12</f>
        <v>1.59</v>
      </c>
      <c r="F51" s="30">
        <f>'Transmission Formula Rate (7)'!F12</f>
        <v>1.59</v>
      </c>
      <c r="G51" s="30">
        <f>'Transmission Formula Rate (7)'!G12</f>
        <v>1.59</v>
      </c>
      <c r="H51" s="30">
        <f>'Transmission Formula Rate (7)'!H12</f>
        <v>1.59</v>
      </c>
      <c r="I51" s="30">
        <f>'Transmission Formula Rate (7)'!I12</f>
        <v>1.59</v>
      </c>
      <c r="J51" s="30">
        <f>'Transmission Formula Rate (7)'!J12</f>
        <v>1.59</v>
      </c>
      <c r="K51" s="30">
        <f>'Transmission Formula Rate (7)'!K12</f>
        <v>1.59</v>
      </c>
      <c r="L51" s="30">
        <f>'Transmission Formula Rate (7)'!L12</f>
        <v>1.59</v>
      </c>
      <c r="M51" s="30">
        <f>'Transmission Formula Rate (7)'!M12</f>
        <v>1.59</v>
      </c>
      <c r="N51" s="20"/>
    </row>
    <row r="52" spans="1:14">
      <c r="A52" s="254" t="s">
        <v>17</v>
      </c>
      <c r="B52" s="21">
        <f>B48*B51</f>
        <v>20670</v>
      </c>
      <c r="C52" s="21">
        <f t="shared" ref="C52" si="44">C48*C51</f>
        <v>20670</v>
      </c>
      <c r="D52" s="21">
        <f t="shared" ref="D52" si="45">D48*D51</f>
        <v>20670</v>
      </c>
      <c r="E52" s="21">
        <f t="shared" ref="E52" si="46">E48*E51</f>
        <v>20670</v>
      </c>
      <c r="F52" s="21">
        <f t="shared" ref="F52" si="47">F48*F51</f>
        <v>20670</v>
      </c>
      <c r="G52" s="21">
        <f t="shared" ref="G52" si="48">G48*G51</f>
        <v>20670</v>
      </c>
      <c r="H52" s="21">
        <f t="shared" ref="H52" si="49">H48*H51</f>
        <v>20670</v>
      </c>
      <c r="I52" s="21">
        <f t="shared" ref="I52" si="50">I48*I51</f>
        <v>20670</v>
      </c>
      <c r="J52" s="21">
        <f t="shared" ref="J52" si="51">J48*J51</f>
        <v>20670</v>
      </c>
      <c r="K52" s="21">
        <f t="shared" ref="K52" si="52">K48*K51</f>
        <v>20670</v>
      </c>
      <c r="L52" s="21">
        <f t="shared" ref="L52" si="53">L48*L51</f>
        <v>20670</v>
      </c>
      <c r="M52" s="21">
        <f t="shared" ref="M52" si="54">M48*M51</f>
        <v>20670</v>
      </c>
      <c r="N52" s="21">
        <f>SUM(B52:M52)</f>
        <v>248040</v>
      </c>
    </row>
    <row r="54" spans="1:14">
      <c r="A54" s="254" t="s">
        <v>141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56" t="s">
        <v>210</v>
      </c>
      <c r="B55" s="239">
        <f>B48</f>
        <v>13000</v>
      </c>
      <c r="C55" s="239">
        <f t="shared" ref="C55:M55" si="55">C48</f>
        <v>13000</v>
      </c>
      <c r="D55" s="239">
        <f t="shared" si="55"/>
        <v>13000</v>
      </c>
      <c r="E55" s="239">
        <f t="shared" si="55"/>
        <v>13000</v>
      </c>
      <c r="F55" s="239">
        <f t="shared" si="55"/>
        <v>13000</v>
      </c>
      <c r="G55" s="239">
        <f t="shared" si="55"/>
        <v>13000</v>
      </c>
      <c r="H55" s="239">
        <f t="shared" si="55"/>
        <v>13000</v>
      </c>
      <c r="I55" s="239">
        <f t="shared" si="55"/>
        <v>13000</v>
      </c>
      <c r="J55" s="239">
        <f t="shared" si="55"/>
        <v>13000</v>
      </c>
      <c r="K55" s="239">
        <f t="shared" si="55"/>
        <v>13000</v>
      </c>
      <c r="L55" s="239">
        <f t="shared" si="55"/>
        <v>13000</v>
      </c>
      <c r="M55" s="239">
        <f t="shared" si="55"/>
        <v>13000</v>
      </c>
      <c r="N55" s="21">
        <f>SUM(B55:M55)</f>
        <v>156000</v>
      </c>
    </row>
    <row r="56" spans="1:14">
      <c r="A56" s="256" t="s">
        <v>45</v>
      </c>
      <c r="B56" s="28">
        <f>B55-B57</f>
        <v>236.13156602847266</v>
      </c>
      <c r="C56" s="28">
        <f t="shared" ref="C56" si="56">C55-C57</f>
        <v>236.13156602847266</v>
      </c>
      <c r="D56" s="28">
        <f t="shared" ref="D56" si="57">D55-D57</f>
        <v>236.13156602847266</v>
      </c>
      <c r="E56" s="28">
        <f t="shared" ref="E56" si="58">E55-E57</f>
        <v>236.13156602847266</v>
      </c>
      <c r="F56" s="28">
        <f t="shared" ref="F56" si="59">F55-F57</f>
        <v>236.13156602847266</v>
      </c>
      <c r="G56" s="28">
        <f t="shared" ref="G56" si="60">G55-G57</f>
        <v>236.13156602847266</v>
      </c>
      <c r="H56" s="28">
        <f t="shared" ref="H56" si="61">H55-H57</f>
        <v>236.13156602847266</v>
      </c>
      <c r="I56" s="28">
        <f t="shared" ref="I56" si="62">I55-I57</f>
        <v>236.13156602847266</v>
      </c>
      <c r="J56" s="28">
        <f t="shared" ref="J56" si="63">J55-J57</f>
        <v>236.13156602847266</v>
      </c>
      <c r="K56" s="28">
        <f t="shared" ref="K56" si="64">K55-K57</f>
        <v>236.13156602847266</v>
      </c>
      <c r="L56" s="28">
        <f t="shared" ref="L56" si="65">L55-L57</f>
        <v>236.13156602847266</v>
      </c>
      <c r="M56" s="28">
        <f t="shared" ref="M56" si="66">M55-M57</f>
        <v>236.13156602847266</v>
      </c>
      <c r="N56" s="21">
        <f>SUM(B56:M56)</f>
        <v>2833.5787923416719</v>
      </c>
    </row>
    <row r="57" spans="1:14">
      <c r="A57" s="256" t="s">
        <v>47</v>
      </c>
      <c r="B57" s="28">
        <f>B55/(1+'Transmission Formula Rate (7)'!$B$27)</f>
        <v>12763.868433971527</v>
      </c>
      <c r="C57" s="28">
        <f>C55/(1+'Transmission Formula Rate (7)'!$B$27)</f>
        <v>12763.868433971527</v>
      </c>
      <c r="D57" s="28">
        <f>D55/(1+'Transmission Formula Rate (7)'!$B$27)</f>
        <v>12763.868433971527</v>
      </c>
      <c r="E57" s="28">
        <f>E55/(1+'Transmission Formula Rate (7)'!$B$27)</f>
        <v>12763.868433971527</v>
      </c>
      <c r="F57" s="28">
        <f>F55/(1+'Transmission Formula Rate (7)'!$B$27)</f>
        <v>12763.868433971527</v>
      </c>
      <c r="G57" s="28">
        <f>G55/(1+'Transmission Formula Rate (7)'!$B$27)</f>
        <v>12763.868433971527</v>
      </c>
      <c r="H57" s="28">
        <f>H55/(1+'Transmission Formula Rate (7)'!$B$27)</f>
        <v>12763.868433971527</v>
      </c>
      <c r="I57" s="28">
        <f>I55/(1+'Transmission Formula Rate (7)'!$B$27)</f>
        <v>12763.868433971527</v>
      </c>
      <c r="J57" s="28">
        <f>J55/(1+'Transmission Formula Rate (7)'!$B$27)</f>
        <v>12763.868433971527</v>
      </c>
      <c r="K57" s="28">
        <f>K55/(1+'Transmission Formula Rate (7)'!$B$27)</f>
        <v>12763.868433971527</v>
      </c>
      <c r="L57" s="28">
        <f>L55/(1+'Transmission Formula Rate (7)'!$B$27)</f>
        <v>12763.868433971527</v>
      </c>
      <c r="M57" s="28">
        <f>M55/(1+'Transmission Formula Rate (7)'!$B$27)</f>
        <v>12763.868433971527</v>
      </c>
      <c r="N57" s="124">
        <f>SUM(B57:M57)</f>
        <v>153166.42120765834</v>
      </c>
    </row>
    <row r="58" spans="1:14">
      <c r="A58" s="254" t="s">
        <v>149</v>
      </c>
      <c r="B58" s="32">
        <f>'charges (1 &amp; 2)'!G33</f>
        <v>1.274E-2</v>
      </c>
      <c r="C58" s="32">
        <f>B58</f>
        <v>1.274E-2</v>
      </c>
      <c r="D58" s="32">
        <f t="shared" ref="D58:M58" si="67">C58</f>
        <v>1.274E-2</v>
      </c>
      <c r="E58" s="32">
        <f t="shared" si="67"/>
        <v>1.274E-2</v>
      </c>
      <c r="F58" s="32">
        <f t="shared" si="67"/>
        <v>1.274E-2</v>
      </c>
      <c r="G58" s="32">
        <f t="shared" si="67"/>
        <v>1.274E-2</v>
      </c>
      <c r="H58" s="32">
        <f t="shared" si="67"/>
        <v>1.274E-2</v>
      </c>
      <c r="I58" s="32">
        <f t="shared" si="67"/>
        <v>1.274E-2</v>
      </c>
      <c r="J58" s="32">
        <f t="shared" si="67"/>
        <v>1.274E-2</v>
      </c>
      <c r="K58" s="32">
        <f t="shared" si="67"/>
        <v>1.274E-2</v>
      </c>
      <c r="L58" s="32">
        <f t="shared" si="67"/>
        <v>1.274E-2</v>
      </c>
      <c r="M58" s="32">
        <f t="shared" si="67"/>
        <v>1.274E-2</v>
      </c>
      <c r="N58" s="20"/>
    </row>
    <row r="59" spans="1:14">
      <c r="A59" s="254" t="s">
        <v>17</v>
      </c>
      <c r="B59" s="21">
        <f>B55*B58</f>
        <v>165.62</v>
      </c>
      <c r="C59" s="21">
        <f t="shared" ref="C59" si="68">C55*C58</f>
        <v>165.62</v>
      </c>
      <c r="D59" s="21">
        <f t="shared" ref="D59" si="69">D55*D58</f>
        <v>165.62</v>
      </c>
      <c r="E59" s="21">
        <f t="shared" ref="E59" si="70">E55*E58</f>
        <v>165.62</v>
      </c>
      <c r="F59" s="21">
        <f t="shared" ref="F59" si="71">F55*F58</f>
        <v>165.62</v>
      </c>
      <c r="G59" s="21">
        <f t="shared" ref="G59" si="72">G55*G58</f>
        <v>165.62</v>
      </c>
      <c r="H59" s="21">
        <f t="shared" ref="H59" si="73">H55*H58</f>
        <v>165.62</v>
      </c>
      <c r="I59" s="21">
        <f t="shared" ref="I59" si="74">I55*I58</f>
        <v>165.62</v>
      </c>
      <c r="J59" s="21">
        <f t="shared" ref="J59" si="75">J55*J58</f>
        <v>165.62</v>
      </c>
      <c r="K59" s="21">
        <f t="shared" ref="K59" si="76">K55*K58</f>
        <v>165.62</v>
      </c>
      <c r="L59" s="21">
        <f t="shared" ref="L59" si="77">L55*L58</f>
        <v>165.62</v>
      </c>
      <c r="M59" s="21">
        <f t="shared" ref="M59" si="78">M55*M58</f>
        <v>165.62</v>
      </c>
      <c r="N59" s="21">
        <f>SUM(B59:M59)</f>
        <v>1987.4399999999996</v>
      </c>
    </row>
    <row r="62" spans="1:14"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</row>
    <row r="63" spans="1:14">
      <c r="A63" s="255">
        <f>+A46+1</f>
        <v>2017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>
      <c r="A64" s="254" t="s">
        <v>37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5">
      <c r="A65" s="256" t="s">
        <v>210</v>
      </c>
      <c r="B65" s="239">
        <f>'Wauchula Forecast'!E13</f>
        <v>13000</v>
      </c>
      <c r="C65" s="239">
        <f>'Wauchula Forecast'!F13</f>
        <v>0</v>
      </c>
      <c r="D65" s="239">
        <f>'Wauchula Forecast'!G13</f>
        <v>0</v>
      </c>
      <c r="E65" s="239">
        <f>'Wauchula Forecast'!H13</f>
        <v>0</v>
      </c>
      <c r="F65" s="239">
        <f>'Wauchula Forecast'!I13</f>
        <v>0</v>
      </c>
      <c r="G65" s="239">
        <f>'Wauchula Forecast'!J13</f>
        <v>0</v>
      </c>
      <c r="H65" s="239">
        <f>'Wauchula Forecast'!K13</f>
        <v>0</v>
      </c>
      <c r="I65" s="239">
        <f>'Wauchula Forecast'!L13</f>
        <v>0</v>
      </c>
      <c r="J65" s="239">
        <f>'Wauchula Forecast'!M13</f>
        <v>0</v>
      </c>
      <c r="K65" s="239">
        <f>'Wauchula Forecast'!N13</f>
        <v>0</v>
      </c>
      <c r="L65" s="239">
        <f>'Wauchula Forecast'!O13</f>
        <v>0</v>
      </c>
      <c r="M65" s="239">
        <f>'Wauchula Forecast'!P13</f>
        <v>0</v>
      </c>
      <c r="N65" s="21">
        <f>SUM(B65:M65)</f>
        <v>13000</v>
      </c>
    </row>
    <row r="66" spans="1:15">
      <c r="A66" s="256" t="s">
        <v>45</v>
      </c>
      <c r="B66" s="28">
        <f>B65-B67</f>
        <v>236.13156602847266</v>
      </c>
      <c r="C66" s="28">
        <f t="shared" ref="C66" si="79">C65-C67</f>
        <v>0</v>
      </c>
      <c r="D66" s="28">
        <f t="shared" ref="D66" si="80">D65-D67</f>
        <v>0</v>
      </c>
      <c r="E66" s="28">
        <f t="shared" ref="E66" si="81">E65-E67</f>
        <v>0</v>
      </c>
      <c r="F66" s="28">
        <f t="shared" ref="F66" si="82">F65-F67</f>
        <v>0</v>
      </c>
      <c r="G66" s="28">
        <f t="shared" ref="G66" si="83">G65-G67</f>
        <v>0</v>
      </c>
      <c r="H66" s="28">
        <f t="shared" ref="H66" si="84">H65-H67</f>
        <v>0</v>
      </c>
      <c r="I66" s="28">
        <f t="shared" ref="I66" si="85">I65-I67</f>
        <v>0</v>
      </c>
      <c r="J66" s="28">
        <f t="shared" ref="J66" si="86">J65-J67</f>
        <v>0</v>
      </c>
      <c r="K66" s="28">
        <f t="shared" ref="K66" si="87">K65-K67</f>
        <v>0</v>
      </c>
      <c r="L66" s="28">
        <f t="shared" ref="L66" si="88">L65-L67</f>
        <v>0</v>
      </c>
      <c r="M66" s="28">
        <f t="shared" ref="M66" si="89">M65-M67</f>
        <v>0</v>
      </c>
      <c r="N66" s="21">
        <f>SUM(B66:M66)</f>
        <v>236.13156602847266</v>
      </c>
    </row>
    <row r="67" spans="1:15">
      <c r="A67" s="256" t="s">
        <v>47</v>
      </c>
      <c r="B67" s="28">
        <f>B65/(1+'Transmission Formula Rate (7)'!$B$27)</f>
        <v>12763.868433971527</v>
      </c>
      <c r="C67" s="28">
        <f>C65/(1+'Transmission Formula Rate (7)'!$B$27)</f>
        <v>0</v>
      </c>
      <c r="D67" s="28">
        <f>D65/(1+'Transmission Formula Rate (7)'!$B$27)</f>
        <v>0</v>
      </c>
      <c r="E67" s="28">
        <f>E65/(1+'Transmission Formula Rate (7)'!$B$27)</f>
        <v>0</v>
      </c>
      <c r="F67" s="28">
        <f>F65/(1+'Transmission Formula Rate (7)'!$B$27)</f>
        <v>0</v>
      </c>
      <c r="G67" s="28">
        <f>G65/(1+'Transmission Formula Rate (7)'!$B$27)</f>
        <v>0</v>
      </c>
      <c r="H67" s="28">
        <f>H65/(1+'Transmission Formula Rate (7)'!$B$27)</f>
        <v>0</v>
      </c>
      <c r="I67" s="28">
        <f>I65/(1+'Transmission Formula Rate (7)'!$B$27)</f>
        <v>0</v>
      </c>
      <c r="J67" s="28">
        <f>J65/(1+'Transmission Formula Rate (7)'!$B$27)</f>
        <v>0</v>
      </c>
      <c r="K67" s="28">
        <f>K65/(1+'Transmission Formula Rate (7)'!$B$27)</f>
        <v>0</v>
      </c>
      <c r="L67" s="28">
        <f>L65/(1+'Transmission Formula Rate (7)'!$B$27)</f>
        <v>0</v>
      </c>
      <c r="M67" s="28">
        <f>M65/(1+'Transmission Formula Rate (7)'!$B$27)</f>
        <v>0</v>
      </c>
      <c r="N67" s="124">
        <f>SUM(B67:M67)</f>
        <v>12763.868433971527</v>
      </c>
    </row>
    <row r="68" spans="1:15">
      <c r="A68" s="254" t="s">
        <v>20</v>
      </c>
      <c r="B68" s="30">
        <f>'Transmission Formula Rate (7)'!B14</f>
        <v>1.59</v>
      </c>
      <c r="C68" s="30">
        <f>'Transmission Formula Rate (7)'!C14</f>
        <v>1.59</v>
      </c>
      <c r="D68" s="30">
        <f>'Transmission Formula Rate (7)'!D14</f>
        <v>1.59</v>
      </c>
      <c r="E68" s="30">
        <f>'Transmission Formula Rate (7)'!E14</f>
        <v>1.59</v>
      </c>
      <c r="F68" s="30">
        <f>'Transmission Formula Rate (7)'!F14</f>
        <v>1.59</v>
      </c>
      <c r="G68" s="30">
        <f>'Transmission Formula Rate (7)'!G14</f>
        <v>1.59</v>
      </c>
      <c r="H68" s="30">
        <f>'Transmission Formula Rate (7)'!H14</f>
        <v>1.59</v>
      </c>
      <c r="I68" s="30">
        <f>'Transmission Formula Rate (7)'!I14</f>
        <v>1.59</v>
      </c>
      <c r="J68" s="30">
        <f>'Transmission Formula Rate (7)'!J14</f>
        <v>1.59</v>
      </c>
      <c r="K68" s="30">
        <f>'Transmission Formula Rate (7)'!K14</f>
        <v>1.59</v>
      </c>
      <c r="L68" s="30">
        <f>'Transmission Formula Rate (7)'!L14</f>
        <v>1.59</v>
      </c>
      <c r="M68" s="30">
        <f>'Transmission Formula Rate (7)'!M14</f>
        <v>1.59</v>
      </c>
      <c r="N68" s="20"/>
      <c r="O68" s="277" t="s">
        <v>232</v>
      </c>
    </row>
    <row r="69" spans="1:15">
      <c r="A69" s="254" t="s">
        <v>17</v>
      </c>
      <c r="B69" s="21">
        <f>B65*B68</f>
        <v>20670</v>
      </c>
      <c r="C69" s="21">
        <f t="shared" ref="C69" si="90">C65*C68</f>
        <v>0</v>
      </c>
      <c r="D69" s="21">
        <f t="shared" ref="D69" si="91">D65*D68</f>
        <v>0</v>
      </c>
      <c r="E69" s="21">
        <f t="shared" ref="E69" si="92">E65*E68</f>
        <v>0</v>
      </c>
      <c r="F69" s="21">
        <f t="shared" ref="F69" si="93">F65*F68</f>
        <v>0</v>
      </c>
      <c r="G69" s="21">
        <f t="shared" ref="G69" si="94">G65*G68</f>
        <v>0</v>
      </c>
      <c r="H69" s="21">
        <f t="shared" ref="H69" si="95">H65*H68</f>
        <v>0</v>
      </c>
      <c r="I69" s="21">
        <f t="shared" ref="I69" si="96">I65*I68</f>
        <v>0</v>
      </c>
      <c r="J69" s="21">
        <f t="shared" ref="J69" si="97">J65*J68</f>
        <v>0</v>
      </c>
      <c r="K69" s="21">
        <f t="shared" ref="K69" si="98">K65*K68</f>
        <v>0</v>
      </c>
      <c r="L69" s="21">
        <f t="shared" ref="L69" si="99">L65*L68</f>
        <v>0</v>
      </c>
      <c r="M69" s="21">
        <f t="shared" ref="M69" si="100">M65*M68</f>
        <v>0</v>
      </c>
      <c r="N69" s="21">
        <f>SUM(B69:M69)</f>
        <v>20670</v>
      </c>
    </row>
    <row r="71" spans="1:15">
      <c r="A71" s="254" t="s">
        <v>141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5">
      <c r="A72" s="256" t="s">
        <v>210</v>
      </c>
      <c r="B72" s="239">
        <f>B65</f>
        <v>13000</v>
      </c>
      <c r="C72" s="239">
        <f t="shared" ref="C72:M72" si="101">C65</f>
        <v>0</v>
      </c>
      <c r="D72" s="239">
        <f t="shared" si="101"/>
        <v>0</v>
      </c>
      <c r="E72" s="239">
        <f t="shared" si="101"/>
        <v>0</v>
      </c>
      <c r="F72" s="239">
        <f t="shared" si="101"/>
        <v>0</v>
      </c>
      <c r="G72" s="239">
        <f t="shared" si="101"/>
        <v>0</v>
      </c>
      <c r="H72" s="239">
        <f t="shared" si="101"/>
        <v>0</v>
      </c>
      <c r="I72" s="239">
        <f t="shared" si="101"/>
        <v>0</v>
      </c>
      <c r="J72" s="239">
        <f t="shared" si="101"/>
        <v>0</v>
      </c>
      <c r="K72" s="239">
        <f t="shared" si="101"/>
        <v>0</v>
      </c>
      <c r="L72" s="239">
        <f t="shared" si="101"/>
        <v>0</v>
      </c>
      <c r="M72" s="239">
        <f t="shared" si="101"/>
        <v>0</v>
      </c>
      <c r="N72" s="21">
        <f>SUM(B72:M72)</f>
        <v>13000</v>
      </c>
    </row>
    <row r="73" spans="1:15">
      <c r="A73" s="256" t="s">
        <v>45</v>
      </c>
      <c r="B73" s="28">
        <f>B72-B74</f>
        <v>236.13156602847266</v>
      </c>
      <c r="C73" s="28">
        <f t="shared" ref="C73" si="102">C72-C74</f>
        <v>0</v>
      </c>
      <c r="D73" s="28">
        <f t="shared" ref="D73" si="103">D72-D74</f>
        <v>0</v>
      </c>
      <c r="E73" s="28">
        <f t="shared" ref="E73" si="104">E72-E74</f>
        <v>0</v>
      </c>
      <c r="F73" s="28">
        <f t="shared" ref="F73" si="105">F72-F74</f>
        <v>0</v>
      </c>
      <c r="G73" s="28">
        <f t="shared" ref="G73" si="106">G72-G74</f>
        <v>0</v>
      </c>
      <c r="H73" s="28">
        <f t="shared" ref="H73" si="107">H72-H74</f>
        <v>0</v>
      </c>
      <c r="I73" s="28">
        <f t="shared" ref="I73" si="108">I72-I74</f>
        <v>0</v>
      </c>
      <c r="J73" s="28">
        <f t="shared" ref="J73" si="109">J72-J74</f>
        <v>0</v>
      </c>
      <c r="K73" s="28">
        <f t="shared" ref="K73" si="110">K72-K74</f>
        <v>0</v>
      </c>
      <c r="L73" s="28">
        <f t="shared" ref="L73" si="111">L72-L74</f>
        <v>0</v>
      </c>
      <c r="M73" s="28">
        <f t="shared" ref="M73" si="112">M72-M74</f>
        <v>0</v>
      </c>
      <c r="N73" s="21">
        <f>SUM(B73:M73)</f>
        <v>236.13156602847266</v>
      </c>
    </row>
    <row r="74" spans="1:15">
      <c r="A74" s="256" t="s">
        <v>47</v>
      </c>
      <c r="B74" s="28">
        <f>B72/(1+'Transmission Formula Rate (7)'!$B$27)</f>
        <v>12763.868433971527</v>
      </c>
      <c r="C74" s="28">
        <f>C72/(1+'Transmission Formula Rate (7)'!$B$27)</f>
        <v>0</v>
      </c>
      <c r="D74" s="28">
        <f>D72/(1+'Transmission Formula Rate (7)'!$B$27)</f>
        <v>0</v>
      </c>
      <c r="E74" s="28">
        <f>E72/(1+'Transmission Formula Rate (7)'!$B$27)</f>
        <v>0</v>
      </c>
      <c r="F74" s="28">
        <f>F72/(1+'Transmission Formula Rate (7)'!$B$27)</f>
        <v>0</v>
      </c>
      <c r="G74" s="28">
        <f>G72/(1+'Transmission Formula Rate (7)'!$B$27)</f>
        <v>0</v>
      </c>
      <c r="H74" s="28">
        <f>H72/(1+'Transmission Formula Rate (7)'!$B$27)</f>
        <v>0</v>
      </c>
      <c r="I74" s="28">
        <f>I72/(1+'Transmission Formula Rate (7)'!$B$27)</f>
        <v>0</v>
      </c>
      <c r="J74" s="28">
        <f>J72/(1+'Transmission Formula Rate (7)'!$B$27)</f>
        <v>0</v>
      </c>
      <c r="K74" s="28">
        <f>K72/(1+'Transmission Formula Rate (7)'!$B$27)</f>
        <v>0</v>
      </c>
      <c r="L74" s="28">
        <f>L72/(1+'Transmission Formula Rate (7)'!$B$27)</f>
        <v>0</v>
      </c>
      <c r="M74" s="28">
        <f>M72/(1+'Transmission Formula Rate (7)'!$B$27)</f>
        <v>0</v>
      </c>
      <c r="N74" s="124">
        <f>SUM(B74:M74)</f>
        <v>12763.868433971527</v>
      </c>
    </row>
    <row r="75" spans="1:15">
      <c r="A75" s="254" t="s">
        <v>149</v>
      </c>
      <c r="B75" s="32">
        <f>'charges (1 &amp; 2)'!H33</f>
        <v>1.274E-2</v>
      </c>
      <c r="C75" s="32">
        <f>B75</f>
        <v>1.274E-2</v>
      </c>
      <c r="D75" s="32">
        <f t="shared" ref="D75:M75" si="113">C75</f>
        <v>1.274E-2</v>
      </c>
      <c r="E75" s="32">
        <f t="shared" si="113"/>
        <v>1.274E-2</v>
      </c>
      <c r="F75" s="32">
        <f t="shared" si="113"/>
        <v>1.274E-2</v>
      </c>
      <c r="G75" s="32">
        <f t="shared" si="113"/>
        <v>1.274E-2</v>
      </c>
      <c r="H75" s="32">
        <f t="shared" si="113"/>
        <v>1.274E-2</v>
      </c>
      <c r="I75" s="32">
        <f t="shared" si="113"/>
        <v>1.274E-2</v>
      </c>
      <c r="J75" s="32">
        <f t="shared" si="113"/>
        <v>1.274E-2</v>
      </c>
      <c r="K75" s="32">
        <f t="shared" si="113"/>
        <v>1.274E-2</v>
      </c>
      <c r="L75" s="32">
        <f t="shared" si="113"/>
        <v>1.274E-2</v>
      </c>
      <c r="M75" s="32">
        <f t="shared" si="113"/>
        <v>1.274E-2</v>
      </c>
      <c r="N75" s="20"/>
    </row>
    <row r="76" spans="1:15">
      <c r="A76" s="254" t="s">
        <v>17</v>
      </c>
      <c r="B76" s="21">
        <f t="shared" ref="B76:M76" si="114">B74*B75</f>
        <v>162.61168384879724</v>
      </c>
      <c r="C76" s="21">
        <f t="shared" si="114"/>
        <v>0</v>
      </c>
      <c r="D76" s="21">
        <f t="shared" si="114"/>
        <v>0</v>
      </c>
      <c r="E76" s="21">
        <f t="shared" si="114"/>
        <v>0</v>
      </c>
      <c r="F76" s="21">
        <f t="shared" si="114"/>
        <v>0</v>
      </c>
      <c r="G76" s="21">
        <f t="shared" si="114"/>
        <v>0</v>
      </c>
      <c r="H76" s="21">
        <f t="shared" si="114"/>
        <v>0</v>
      </c>
      <c r="I76" s="21">
        <f t="shared" si="114"/>
        <v>0</v>
      </c>
      <c r="J76" s="21">
        <f t="shared" si="114"/>
        <v>0</v>
      </c>
      <c r="K76" s="21">
        <f t="shared" si="114"/>
        <v>0</v>
      </c>
      <c r="L76" s="21">
        <f t="shared" si="114"/>
        <v>0</v>
      </c>
      <c r="M76" s="21">
        <f t="shared" si="114"/>
        <v>0</v>
      </c>
      <c r="N76" s="21">
        <f>SUM(B76:M76)</f>
        <v>162.61168384879724</v>
      </c>
    </row>
    <row r="79" spans="1:15">
      <c r="B79" s="24" t="s">
        <v>0</v>
      </c>
      <c r="C79" s="24" t="s">
        <v>1</v>
      </c>
      <c r="D79" s="24" t="s">
        <v>2</v>
      </c>
      <c r="E79" s="24" t="s">
        <v>3</v>
      </c>
      <c r="F79" s="24" t="s">
        <v>4</v>
      </c>
      <c r="G79" s="24" t="s">
        <v>5</v>
      </c>
      <c r="H79" s="24" t="s">
        <v>6</v>
      </c>
      <c r="I79" s="24" t="s">
        <v>7</v>
      </c>
      <c r="J79" s="24" t="s">
        <v>8</v>
      </c>
      <c r="K79" s="24" t="s">
        <v>9</v>
      </c>
      <c r="L79" s="24" t="s">
        <v>10</v>
      </c>
      <c r="M79" s="24" t="s">
        <v>11</v>
      </c>
      <c r="N79" s="24" t="s">
        <v>12</v>
      </c>
    </row>
    <row r="80" spans="1:15">
      <c r="A80" s="255">
        <f>+A63+1</f>
        <v>2018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5">
      <c r="A81" s="254" t="s">
        <v>37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5">
      <c r="A82" s="256" t="s">
        <v>210</v>
      </c>
      <c r="B82" s="239">
        <f>'Wauchula Forecast'!E14</f>
        <v>0</v>
      </c>
      <c r="C82" s="239">
        <f>'Wauchula Forecast'!F14</f>
        <v>0</v>
      </c>
      <c r="D82" s="239">
        <f>'Wauchula Forecast'!G14</f>
        <v>0</v>
      </c>
      <c r="E82" s="239">
        <f>'Wauchula Forecast'!H14</f>
        <v>0</v>
      </c>
      <c r="F82" s="239">
        <f>'Wauchula Forecast'!I14</f>
        <v>0</v>
      </c>
      <c r="G82" s="239">
        <f>'Wauchula Forecast'!J14</f>
        <v>0</v>
      </c>
      <c r="H82" s="239">
        <f>'Wauchula Forecast'!K14</f>
        <v>0</v>
      </c>
      <c r="I82" s="239">
        <f>'Wauchula Forecast'!L14</f>
        <v>0</v>
      </c>
      <c r="J82" s="239">
        <f>'Wauchula Forecast'!M14</f>
        <v>0</v>
      </c>
      <c r="K82" s="239">
        <f>'Wauchula Forecast'!N14</f>
        <v>0</v>
      </c>
      <c r="L82" s="239">
        <f>'Wauchula Forecast'!O14</f>
        <v>0</v>
      </c>
      <c r="M82" s="239">
        <f>'Wauchula Forecast'!P14</f>
        <v>0</v>
      </c>
      <c r="N82" s="21">
        <f>SUM(B82:M82)</f>
        <v>0</v>
      </c>
    </row>
    <row r="83" spans="1:15">
      <c r="A83" s="256" t="s">
        <v>45</v>
      </c>
      <c r="B83" s="28">
        <f>ROUND(B82*'Transmission Formula Rate (7)'!$B$27,0)</f>
        <v>0</v>
      </c>
      <c r="C83" s="28">
        <f>ROUND(C82*'Transmission Formula Rate (7)'!$B$27,0)</f>
        <v>0</v>
      </c>
      <c r="D83" s="28">
        <f>ROUND(D82*'Transmission Formula Rate (7)'!$B$27,0)</f>
        <v>0</v>
      </c>
      <c r="E83" s="28">
        <f>ROUND(E82*'Transmission Formula Rate (7)'!$B$27,0)</f>
        <v>0</v>
      </c>
      <c r="F83" s="28">
        <f>ROUND(F82*'Transmission Formula Rate (7)'!$B$27,0)</f>
        <v>0</v>
      </c>
      <c r="G83" s="28">
        <f>ROUND(G82*'Transmission Formula Rate (7)'!$B$27,0)</f>
        <v>0</v>
      </c>
      <c r="H83" s="28">
        <f>ROUND(H82*'Transmission Formula Rate (7)'!$B$27,0)</f>
        <v>0</v>
      </c>
      <c r="I83" s="28">
        <f>ROUND(I82*'Transmission Formula Rate (7)'!$B$27,0)</f>
        <v>0</v>
      </c>
      <c r="J83" s="28">
        <f>ROUND(J82*'Transmission Formula Rate (7)'!$B$27,0)</f>
        <v>0</v>
      </c>
      <c r="K83" s="28">
        <f>ROUND(K82*'Transmission Formula Rate (7)'!$B$27,0)</f>
        <v>0</v>
      </c>
      <c r="L83" s="28">
        <f>ROUND(L82*'Transmission Formula Rate (7)'!$B$27,0)</f>
        <v>0</v>
      </c>
      <c r="M83" s="28">
        <f>ROUND(M82*'Transmission Formula Rate (7)'!$B$27,0)</f>
        <v>0</v>
      </c>
      <c r="N83" s="21">
        <f>SUM(B83:M83)</f>
        <v>0</v>
      </c>
    </row>
    <row r="84" spans="1:15">
      <c r="A84" s="256" t="s">
        <v>47</v>
      </c>
      <c r="B84" s="28">
        <f t="shared" ref="B84:M84" si="115">B82+B83</f>
        <v>0</v>
      </c>
      <c r="C84" s="28">
        <f t="shared" si="115"/>
        <v>0</v>
      </c>
      <c r="D84" s="28">
        <f t="shared" si="115"/>
        <v>0</v>
      </c>
      <c r="E84" s="28">
        <f t="shared" si="115"/>
        <v>0</v>
      </c>
      <c r="F84" s="28">
        <f t="shared" si="115"/>
        <v>0</v>
      </c>
      <c r="G84" s="28">
        <f t="shared" si="115"/>
        <v>0</v>
      </c>
      <c r="H84" s="28">
        <f t="shared" si="115"/>
        <v>0</v>
      </c>
      <c r="I84" s="28">
        <f t="shared" si="115"/>
        <v>0</v>
      </c>
      <c r="J84" s="28">
        <f t="shared" si="115"/>
        <v>0</v>
      </c>
      <c r="K84" s="28">
        <f t="shared" si="115"/>
        <v>0</v>
      </c>
      <c r="L84" s="28">
        <f t="shared" si="115"/>
        <v>0</v>
      </c>
      <c r="M84" s="28">
        <f t="shared" si="115"/>
        <v>0</v>
      </c>
      <c r="N84" s="124">
        <f>SUM(B84:M84)</f>
        <v>0</v>
      </c>
    </row>
    <row r="85" spans="1:15">
      <c r="A85" s="254" t="s">
        <v>20</v>
      </c>
      <c r="B85" s="30">
        <f>'Transmission Formula Rate (7)'!B16</f>
        <v>1.59</v>
      </c>
      <c r="C85" s="30">
        <f>'Transmission Formula Rate (7)'!C33</f>
        <v>0</v>
      </c>
      <c r="D85" s="30">
        <f>'Transmission Formula Rate (7)'!D33</f>
        <v>0</v>
      </c>
      <c r="E85" s="30">
        <f>'Transmission Formula Rate (7)'!E33</f>
        <v>0</v>
      </c>
      <c r="F85" s="30">
        <f>'Transmission Formula Rate (7)'!F33</f>
        <v>0</v>
      </c>
      <c r="G85" s="30">
        <f>'Transmission Formula Rate (7)'!G33</f>
        <v>0</v>
      </c>
      <c r="H85" s="30">
        <f>'Transmission Formula Rate (7)'!H33</f>
        <v>0</v>
      </c>
      <c r="I85" s="30">
        <f>'Transmission Formula Rate (7)'!I33</f>
        <v>0</v>
      </c>
      <c r="J85" s="30">
        <f>'Transmission Formula Rate (7)'!J33</f>
        <v>0</v>
      </c>
      <c r="K85" s="30">
        <f>'Transmission Formula Rate (7)'!K33</f>
        <v>0</v>
      </c>
      <c r="L85" s="30">
        <f>'Transmission Formula Rate (7)'!L33</f>
        <v>0</v>
      </c>
      <c r="M85" s="30">
        <f>'Transmission Formula Rate (7)'!M33</f>
        <v>0</v>
      </c>
      <c r="N85" s="20"/>
      <c r="O85" s="277" t="s">
        <v>232</v>
      </c>
    </row>
    <row r="86" spans="1:15">
      <c r="A86" s="254" t="s">
        <v>17</v>
      </c>
      <c r="B86" s="21">
        <f t="shared" ref="B86:M86" si="116">B84*B85</f>
        <v>0</v>
      </c>
      <c r="C86" s="21">
        <f t="shared" si="116"/>
        <v>0</v>
      </c>
      <c r="D86" s="21">
        <f t="shared" si="116"/>
        <v>0</v>
      </c>
      <c r="E86" s="21">
        <f t="shared" si="116"/>
        <v>0</v>
      </c>
      <c r="F86" s="21">
        <f t="shared" si="116"/>
        <v>0</v>
      </c>
      <c r="G86" s="21">
        <f t="shared" si="116"/>
        <v>0</v>
      </c>
      <c r="H86" s="21">
        <f t="shared" si="116"/>
        <v>0</v>
      </c>
      <c r="I86" s="21">
        <f t="shared" si="116"/>
        <v>0</v>
      </c>
      <c r="J86" s="21">
        <f t="shared" si="116"/>
        <v>0</v>
      </c>
      <c r="K86" s="21">
        <f t="shared" si="116"/>
        <v>0</v>
      </c>
      <c r="L86" s="21">
        <f t="shared" si="116"/>
        <v>0</v>
      </c>
      <c r="M86" s="21">
        <f t="shared" si="116"/>
        <v>0</v>
      </c>
      <c r="N86" s="21">
        <f>SUM(B86:M86)</f>
        <v>0</v>
      </c>
    </row>
    <row r="88" spans="1:15">
      <c r="A88" s="254" t="s">
        <v>141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5">
      <c r="A89" s="256" t="s">
        <v>210</v>
      </c>
      <c r="B89" s="239">
        <f>B82</f>
        <v>0</v>
      </c>
      <c r="C89" s="239">
        <f t="shared" ref="C89:M89" si="117">C82</f>
        <v>0</v>
      </c>
      <c r="D89" s="239">
        <f t="shared" si="117"/>
        <v>0</v>
      </c>
      <c r="E89" s="239">
        <f t="shared" si="117"/>
        <v>0</v>
      </c>
      <c r="F89" s="239">
        <f t="shared" si="117"/>
        <v>0</v>
      </c>
      <c r="G89" s="239">
        <f t="shared" si="117"/>
        <v>0</v>
      </c>
      <c r="H89" s="239">
        <f t="shared" si="117"/>
        <v>0</v>
      </c>
      <c r="I89" s="239">
        <f t="shared" si="117"/>
        <v>0</v>
      </c>
      <c r="J89" s="239">
        <f t="shared" si="117"/>
        <v>0</v>
      </c>
      <c r="K89" s="239">
        <f t="shared" si="117"/>
        <v>0</v>
      </c>
      <c r="L89" s="239">
        <f t="shared" si="117"/>
        <v>0</v>
      </c>
      <c r="M89" s="239">
        <f t="shared" si="117"/>
        <v>0</v>
      </c>
      <c r="N89" s="21">
        <f>SUM(B89:M89)</f>
        <v>0</v>
      </c>
    </row>
    <row r="90" spans="1:15">
      <c r="A90" s="256" t="s">
        <v>45</v>
      </c>
      <c r="B90" s="28">
        <f>ROUND(B89*'Transmission Formula Rate (7)'!$B$27,0)</f>
        <v>0</v>
      </c>
      <c r="C90" s="28">
        <f>ROUND(C89*'Transmission Formula Rate (7)'!$B$27,0)</f>
        <v>0</v>
      </c>
      <c r="D90" s="28">
        <f>ROUND(D89*'Transmission Formula Rate (7)'!$B$27,0)</f>
        <v>0</v>
      </c>
      <c r="E90" s="28">
        <f>ROUND(E89*'Transmission Formula Rate (7)'!$B$27,0)</f>
        <v>0</v>
      </c>
      <c r="F90" s="28">
        <f>ROUND(F89*'Transmission Formula Rate (7)'!$B$27,0)</f>
        <v>0</v>
      </c>
      <c r="G90" s="28">
        <f>ROUND(G89*'Transmission Formula Rate (7)'!$B$27,0)</f>
        <v>0</v>
      </c>
      <c r="H90" s="28">
        <f>ROUND(H89*'Transmission Formula Rate (7)'!$B$27,0)</f>
        <v>0</v>
      </c>
      <c r="I90" s="28">
        <f>ROUND(I89*'Transmission Formula Rate (7)'!$B$27,0)</f>
        <v>0</v>
      </c>
      <c r="J90" s="28">
        <f>ROUND(J89*'Transmission Formula Rate (7)'!$B$27,0)</f>
        <v>0</v>
      </c>
      <c r="K90" s="28">
        <f>ROUND(K89*'Transmission Formula Rate (7)'!$B$27,0)</f>
        <v>0</v>
      </c>
      <c r="L90" s="28">
        <f>ROUND(L89*'Transmission Formula Rate (7)'!$B$27,0)</f>
        <v>0</v>
      </c>
      <c r="M90" s="28">
        <f>ROUND(M89*'Transmission Formula Rate (7)'!$B$27,0)</f>
        <v>0</v>
      </c>
      <c r="N90" s="21">
        <f>SUM(B90:M90)</f>
        <v>0</v>
      </c>
    </row>
    <row r="91" spans="1:15">
      <c r="A91" s="256" t="s">
        <v>47</v>
      </c>
      <c r="B91" s="28">
        <f t="shared" ref="B91:M91" si="118">B89+B90</f>
        <v>0</v>
      </c>
      <c r="C91" s="28">
        <f t="shared" si="118"/>
        <v>0</v>
      </c>
      <c r="D91" s="28">
        <f t="shared" si="118"/>
        <v>0</v>
      </c>
      <c r="E91" s="28">
        <f t="shared" si="118"/>
        <v>0</v>
      </c>
      <c r="F91" s="28">
        <f t="shared" si="118"/>
        <v>0</v>
      </c>
      <c r="G91" s="28">
        <f t="shared" si="118"/>
        <v>0</v>
      </c>
      <c r="H91" s="28">
        <f t="shared" si="118"/>
        <v>0</v>
      </c>
      <c r="I91" s="28">
        <f t="shared" si="118"/>
        <v>0</v>
      </c>
      <c r="J91" s="28">
        <f t="shared" si="118"/>
        <v>0</v>
      </c>
      <c r="K91" s="28">
        <f t="shared" si="118"/>
        <v>0</v>
      </c>
      <c r="L91" s="28">
        <f t="shared" si="118"/>
        <v>0</v>
      </c>
      <c r="M91" s="28">
        <f t="shared" si="118"/>
        <v>0</v>
      </c>
      <c r="N91" s="124">
        <f>SUM(B91:M91)</f>
        <v>0</v>
      </c>
    </row>
    <row r="92" spans="1:15">
      <c r="A92" s="254" t="s">
        <v>149</v>
      </c>
      <c r="B92" s="32">
        <f>'charges (1 &amp; 2)'!H39</f>
        <v>1.274E-2</v>
      </c>
      <c r="C92" s="32">
        <f>B92</f>
        <v>1.274E-2</v>
      </c>
      <c r="D92" s="32">
        <f t="shared" ref="D92" si="119">C92</f>
        <v>1.274E-2</v>
      </c>
      <c r="E92" s="32">
        <f t="shared" ref="E92" si="120">D92</f>
        <v>1.274E-2</v>
      </c>
      <c r="F92" s="32">
        <f t="shared" ref="F92" si="121">E92</f>
        <v>1.274E-2</v>
      </c>
      <c r="G92" s="32">
        <f t="shared" ref="G92" si="122">F92</f>
        <v>1.274E-2</v>
      </c>
      <c r="H92" s="32">
        <f t="shared" ref="H92" si="123">G92</f>
        <v>1.274E-2</v>
      </c>
      <c r="I92" s="32">
        <f t="shared" ref="I92" si="124">H92</f>
        <v>1.274E-2</v>
      </c>
      <c r="J92" s="32">
        <f t="shared" ref="J92" si="125">I92</f>
        <v>1.274E-2</v>
      </c>
      <c r="K92" s="32">
        <f t="shared" ref="K92" si="126">J92</f>
        <v>1.274E-2</v>
      </c>
      <c r="L92" s="32">
        <f t="shared" ref="L92" si="127">K92</f>
        <v>1.274E-2</v>
      </c>
      <c r="M92" s="32">
        <f t="shared" ref="M92" si="128">L92</f>
        <v>1.274E-2</v>
      </c>
      <c r="N92" s="20"/>
    </row>
    <row r="93" spans="1:15">
      <c r="A93" s="254" t="s">
        <v>17</v>
      </c>
      <c r="B93" s="21">
        <f t="shared" ref="B93:M93" si="129">B91*B92</f>
        <v>0</v>
      </c>
      <c r="C93" s="21">
        <f t="shared" si="129"/>
        <v>0</v>
      </c>
      <c r="D93" s="21">
        <f t="shared" si="129"/>
        <v>0</v>
      </c>
      <c r="E93" s="21">
        <f t="shared" si="129"/>
        <v>0</v>
      </c>
      <c r="F93" s="21">
        <f t="shared" si="129"/>
        <v>0</v>
      </c>
      <c r="G93" s="21">
        <f t="shared" si="129"/>
        <v>0</v>
      </c>
      <c r="H93" s="21">
        <f t="shared" si="129"/>
        <v>0</v>
      </c>
      <c r="I93" s="21">
        <f t="shared" si="129"/>
        <v>0</v>
      </c>
      <c r="J93" s="21">
        <f t="shared" si="129"/>
        <v>0</v>
      </c>
      <c r="K93" s="21">
        <f t="shared" si="129"/>
        <v>0</v>
      </c>
      <c r="L93" s="21">
        <f t="shared" si="129"/>
        <v>0</v>
      </c>
      <c r="M93" s="21">
        <f t="shared" si="129"/>
        <v>0</v>
      </c>
      <c r="N93" s="21">
        <f>SUM(B93:M93)</f>
        <v>0</v>
      </c>
    </row>
    <row r="94" spans="1:15">
      <c r="A94" s="369" t="s">
        <v>234</v>
      </c>
      <c r="B94" s="330" t="s">
        <v>233</v>
      </c>
    </row>
  </sheetData>
  <hyperlinks>
    <hyperlink ref="B94" r:id="rId1"/>
  </hyperlinks>
  <pageMargins left="0.7" right="0.7" top="0.75" bottom="0.75" header="0.3" footer="0.3"/>
  <pageSetup scale="74" orientation="landscape" r:id="rId2"/>
  <rowBreaks count="1" manualBreakCount="1">
    <brk id="42" max="16383" man="1"/>
  </rowBreaks>
  <ignoredErrors>
    <ignoredError sqref="N21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48"/>
  <sheetViews>
    <sheetView workbookViewId="0">
      <selection activeCell="B2" sqref="B1:B2"/>
    </sheetView>
  </sheetViews>
  <sheetFormatPr defaultColWidth="9" defaultRowHeight="13.2"/>
  <cols>
    <col min="1" max="1" width="4.6640625" style="241" customWidth="1"/>
    <col min="2" max="2" width="10.88671875" style="241" customWidth="1"/>
    <col min="3" max="3" width="1.6640625" style="258" hidden="1" customWidth="1"/>
    <col min="4" max="16384" width="9" style="241"/>
  </cols>
  <sheetData>
    <row r="1" spans="2:18">
      <c r="B1" s="480" t="s">
        <v>503</v>
      </c>
    </row>
    <row r="2" spans="2:18">
      <c r="B2" s="480" t="s">
        <v>473</v>
      </c>
    </row>
    <row r="4" spans="2:18">
      <c r="B4" s="286" t="s">
        <v>365</v>
      </c>
    </row>
    <row r="5" spans="2:18">
      <c r="B5" s="241" t="s">
        <v>190</v>
      </c>
    </row>
    <row r="6" spans="2:18">
      <c r="B6" s="241" t="s">
        <v>414</v>
      </c>
    </row>
    <row r="9" spans="2:18">
      <c r="B9" s="241" t="s">
        <v>201</v>
      </c>
      <c r="E9" s="290" t="s">
        <v>0</v>
      </c>
      <c r="F9" s="290" t="s">
        <v>1</v>
      </c>
      <c r="G9" s="290" t="s">
        <v>2</v>
      </c>
      <c r="H9" s="290" t="s">
        <v>3</v>
      </c>
      <c r="I9" s="290" t="s">
        <v>4</v>
      </c>
      <c r="J9" s="290" t="s">
        <v>5</v>
      </c>
      <c r="K9" s="290" t="s">
        <v>6</v>
      </c>
      <c r="L9" s="290" t="s">
        <v>7</v>
      </c>
      <c r="M9" s="290" t="s">
        <v>8</v>
      </c>
      <c r="N9" s="290" t="s">
        <v>9</v>
      </c>
      <c r="O9" s="290" t="s">
        <v>10</v>
      </c>
      <c r="P9" s="290" t="s">
        <v>11</v>
      </c>
      <c r="Q9" s="291" t="s">
        <v>12</v>
      </c>
    </row>
    <row r="10" spans="2:18">
      <c r="D10" s="243">
        <v>2014</v>
      </c>
      <c r="E10" s="244">
        <f>[12]Wauchula_Transmission!C8</f>
        <v>9000</v>
      </c>
      <c r="F10" s="244">
        <f>[12]Wauchula_Transmission!D8</f>
        <v>12000</v>
      </c>
      <c r="G10" s="244">
        <f>[12]Wauchula_Transmission!E8</f>
        <v>9000</v>
      </c>
      <c r="H10" s="244">
        <f>[12]Wauchula_Transmission!F8</f>
        <v>8000</v>
      </c>
      <c r="I10" s="244">
        <f>[12]Wauchula_Transmission!G8</f>
        <v>12000</v>
      </c>
      <c r="J10" s="244">
        <f>[12]Wauchula_Transmission!H8</f>
        <v>13000</v>
      </c>
      <c r="K10" s="244">
        <f>[12]Wauchula_Transmission!I8</f>
        <v>13000</v>
      </c>
      <c r="L10" s="244">
        <f>[12]Wauchula_Transmission!J8</f>
        <v>13000</v>
      </c>
      <c r="M10" s="244">
        <f>[12]Wauchula_Transmission!K8</f>
        <v>14000</v>
      </c>
      <c r="N10" s="244">
        <f>[12]Wauchula_Transmission!L8</f>
        <v>12000</v>
      </c>
      <c r="O10" s="244">
        <f>[12]Wauchula_Transmission!M8</f>
        <v>12000</v>
      </c>
      <c r="P10" s="244">
        <f>[12]Wauchula_Transmission!N8</f>
        <v>9000</v>
      </c>
      <c r="Q10" s="242">
        <f>SUM(E10:P10)</f>
        <v>136000</v>
      </c>
    </row>
    <row r="11" spans="2:18">
      <c r="D11" s="243">
        <f>1+D10</f>
        <v>2015</v>
      </c>
      <c r="E11" s="244">
        <f>[12]Wauchula_Transmission!C9</f>
        <v>9000</v>
      </c>
      <c r="F11" s="244">
        <f>[12]Wauchula_Transmission!D9</f>
        <v>8000</v>
      </c>
      <c r="G11" s="244">
        <f>[12]Wauchula_Transmission!E9</f>
        <v>13000</v>
      </c>
      <c r="H11" s="244">
        <f>[12]Wauchula_Transmission!F9</f>
        <v>10000</v>
      </c>
      <c r="I11" s="244">
        <f>[12]Wauchula_Transmission!G9</f>
        <v>11000</v>
      </c>
      <c r="J11" s="244">
        <f>[12]Wauchula_Transmission!H9</f>
        <v>12000</v>
      </c>
      <c r="K11" s="244">
        <f>[12]Wauchula_Transmission!I9</f>
        <v>13000</v>
      </c>
      <c r="L11" s="244">
        <f>[12]Wauchula_Transmission!J9</f>
        <v>12000</v>
      </c>
      <c r="M11" s="244">
        <f>[12]Wauchula_Transmission!K9</f>
        <v>13000</v>
      </c>
      <c r="N11" s="244">
        <f>[12]Wauchula_Transmission!L9</f>
        <v>13000</v>
      </c>
      <c r="O11" s="244">
        <f>[12]Wauchula_Transmission!M9</f>
        <v>13000</v>
      </c>
      <c r="P11" s="244">
        <f>[12]Wauchula_Transmission!N9</f>
        <v>13000</v>
      </c>
      <c r="Q11" s="242">
        <f>SUM(E11:P11)</f>
        <v>140000</v>
      </c>
    </row>
    <row r="12" spans="2:18">
      <c r="D12" s="243">
        <f>1+D11</f>
        <v>2016</v>
      </c>
      <c r="E12" s="244">
        <f>[12]Wauchula_Transmission!C10</f>
        <v>13000</v>
      </c>
      <c r="F12" s="244">
        <f>[12]Wauchula_Transmission!D10</f>
        <v>13000</v>
      </c>
      <c r="G12" s="244">
        <f>[12]Wauchula_Transmission!E10</f>
        <v>13000</v>
      </c>
      <c r="H12" s="244">
        <f>[12]Wauchula_Transmission!F10</f>
        <v>13000</v>
      </c>
      <c r="I12" s="244">
        <f>[12]Wauchula_Transmission!G10</f>
        <v>13000</v>
      </c>
      <c r="J12" s="244">
        <f>[12]Wauchula_Transmission!H10</f>
        <v>13000</v>
      </c>
      <c r="K12" s="244">
        <f>[12]Wauchula_Transmission!I10</f>
        <v>13000</v>
      </c>
      <c r="L12" s="244">
        <f>[12]Wauchula_Transmission!J10</f>
        <v>13000</v>
      </c>
      <c r="M12" s="244">
        <f>[12]Wauchula_Transmission!K10</f>
        <v>13000</v>
      </c>
      <c r="N12" s="244">
        <f>[12]Wauchula_Transmission!L10</f>
        <v>13000</v>
      </c>
      <c r="O12" s="244">
        <f>[12]Wauchula_Transmission!M10</f>
        <v>13000</v>
      </c>
      <c r="P12" s="244">
        <f>[12]Wauchula_Transmission!N10</f>
        <v>13000</v>
      </c>
      <c r="Q12" s="242">
        <f>SUM(E12:P12)</f>
        <v>156000</v>
      </c>
    </row>
    <row r="13" spans="2:18">
      <c r="D13" s="243">
        <f>1+D12</f>
        <v>2017</v>
      </c>
      <c r="E13" s="244">
        <f>[12]Wauchula_Transmission!C11</f>
        <v>13000</v>
      </c>
      <c r="F13" s="244">
        <f>[12]Wauchula_Transmission!D11</f>
        <v>0</v>
      </c>
      <c r="G13" s="244">
        <f>[12]Wauchula_Transmission!E11</f>
        <v>0</v>
      </c>
      <c r="H13" s="244">
        <f>[12]Wauchula_Transmission!F11</f>
        <v>0</v>
      </c>
      <c r="I13" s="244">
        <f>[12]Wauchula_Transmission!G11</f>
        <v>0</v>
      </c>
      <c r="J13" s="244">
        <f>[12]Wauchula_Transmission!H11</f>
        <v>0</v>
      </c>
      <c r="K13" s="244">
        <f>[12]Wauchula_Transmission!I11</f>
        <v>0</v>
      </c>
      <c r="L13" s="244">
        <f>[12]Wauchula_Transmission!J11</f>
        <v>0</v>
      </c>
      <c r="M13" s="244">
        <f>[12]Wauchula_Transmission!K11</f>
        <v>0</v>
      </c>
      <c r="N13" s="244">
        <f>[12]Wauchula_Transmission!L11</f>
        <v>0</v>
      </c>
      <c r="O13" s="244">
        <f>[12]Wauchula_Transmission!M11</f>
        <v>0</v>
      </c>
      <c r="P13" s="244">
        <f>[12]Wauchula_Transmission!N11</f>
        <v>0</v>
      </c>
      <c r="Q13" s="242">
        <f>SUM(E13:P13)</f>
        <v>13000</v>
      </c>
      <c r="R13" s="344" t="s">
        <v>244</v>
      </c>
    </row>
    <row r="14" spans="2:18">
      <c r="D14" s="243">
        <f>1+D13</f>
        <v>2018</v>
      </c>
      <c r="E14" s="244">
        <f>[12]Wauchula_Transmission!$C$12</f>
        <v>0</v>
      </c>
      <c r="F14" s="244">
        <f>0</f>
        <v>0</v>
      </c>
      <c r="G14" s="244">
        <f>0</f>
        <v>0</v>
      </c>
      <c r="H14" s="244">
        <f>0</f>
        <v>0</v>
      </c>
      <c r="I14" s="244">
        <f>0</f>
        <v>0</v>
      </c>
      <c r="J14" s="244">
        <f>0</f>
        <v>0</v>
      </c>
      <c r="K14" s="244">
        <f>0</f>
        <v>0</v>
      </c>
      <c r="L14" s="244">
        <f>0</f>
        <v>0</v>
      </c>
      <c r="M14" s="244">
        <f>0</f>
        <v>0</v>
      </c>
      <c r="N14" s="244">
        <f>0</f>
        <v>0</v>
      </c>
      <c r="O14" s="244">
        <f>0</f>
        <v>0</v>
      </c>
      <c r="P14" s="244">
        <f>0</f>
        <v>0</v>
      </c>
      <c r="Q14" s="242">
        <f>SUM(E14:P14)</f>
        <v>0</v>
      </c>
    </row>
    <row r="15" spans="2:18">
      <c r="C15" s="259"/>
      <c r="D15" s="244"/>
      <c r="E15" s="244"/>
      <c r="F15" s="244"/>
      <c r="G15" s="244"/>
      <c r="H15" s="244"/>
    </row>
    <row r="16" spans="2:18">
      <c r="C16" s="259"/>
      <c r="D16" s="244"/>
      <c r="E16" s="244"/>
      <c r="F16" s="244"/>
      <c r="G16" s="244"/>
      <c r="H16" s="244"/>
    </row>
    <row r="17" spans="3:8">
      <c r="C17" s="259"/>
      <c r="D17" s="244"/>
      <c r="E17" s="244"/>
      <c r="F17" s="244"/>
      <c r="G17" s="244"/>
      <c r="H17" s="244"/>
    </row>
    <row r="18" spans="3:8">
      <c r="C18" s="259"/>
      <c r="D18" s="244"/>
      <c r="E18" s="244"/>
      <c r="F18" s="244"/>
      <c r="G18" s="244"/>
      <c r="H18" s="244"/>
    </row>
    <row r="19" spans="3:8">
      <c r="C19" s="259"/>
      <c r="D19" s="244"/>
      <c r="E19" s="244"/>
      <c r="F19" s="244"/>
      <c r="G19" s="244"/>
      <c r="H19" s="244"/>
    </row>
    <row r="20" spans="3:8">
      <c r="C20" s="259"/>
      <c r="D20" s="244"/>
      <c r="E20" s="244"/>
      <c r="F20" s="244"/>
      <c r="G20" s="244"/>
      <c r="H20" s="244"/>
    </row>
    <row r="21" spans="3:8">
      <c r="C21" s="259"/>
      <c r="D21" s="244"/>
      <c r="E21" s="244"/>
      <c r="F21" s="244"/>
      <c r="G21" s="244"/>
      <c r="H21" s="244"/>
    </row>
    <row r="22" spans="3:8">
      <c r="C22" s="259"/>
      <c r="D22" s="244"/>
      <c r="E22" s="244"/>
      <c r="F22" s="244"/>
      <c r="G22" s="244"/>
      <c r="H22" s="244"/>
    </row>
    <row r="24" spans="3:8">
      <c r="C24" s="259"/>
      <c r="D24" s="244"/>
      <c r="E24" s="244"/>
      <c r="F24" s="244"/>
      <c r="G24" s="244"/>
      <c r="H24" s="244"/>
    </row>
    <row r="25" spans="3:8">
      <c r="C25" s="259"/>
      <c r="D25" s="244"/>
      <c r="E25" s="244"/>
      <c r="F25" s="244"/>
      <c r="G25" s="244"/>
      <c r="H25" s="244"/>
    </row>
    <row r="26" spans="3:8">
      <c r="C26" s="259"/>
      <c r="D26" s="244"/>
      <c r="E26" s="244"/>
      <c r="F26" s="244"/>
      <c r="G26" s="244"/>
      <c r="H26" s="244"/>
    </row>
    <row r="27" spans="3:8">
      <c r="C27" s="259"/>
      <c r="D27" s="244"/>
      <c r="E27" s="244"/>
      <c r="F27" s="244"/>
      <c r="G27" s="244"/>
      <c r="H27" s="244"/>
    </row>
    <row r="28" spans="3:8">
      <c r="C28" s="259"/>
      <c r="D28" s="244"/>
      <c r="E28" s="244"/>
      <c r="F28" s="244"/>
      <c r="G28" s="244"/>
      <c r="H28" s="244"/>
    </row>
    <row r="29" spans="3:8">
      <c r="C29" s="259"/>
      <c r="D29" s="244"/>
      <c r="E29" s="244"/>
      <c r="F29" s="244"/>
      <c r="G29" s="244"/>
      <c r="H29" s="244"/>
    </row>
    <row r="30" spans="3:8">
      <c r="C30" s="259"/>
      <c r="D30" s="244"/>
      <c r="E30" s="244"/>
      <c r="F30" s="244"/>
      <c r="G30" s="244"/>
      <c r="H30" s="244"/>
    </row>
    <row r="31" spans="3:8">
      <c r="C31" s="259"/>
      <c r="D31" s="244"/>
      <c r="E31" s="244"/>
      <c r="F31" s="244"/>
      <c r="G31" s="244"/>
      <c r="H31" s="244"/>
    </row>
    <row r="32" spans="3:8">
      <c r="C32" s="259"/>
      <c r="D32" s="244"/>
      <c r="E32" s="244"/>
      <c r="F32" s="244"/>
      <c r="G32" s="244"/>
      <c r="H32" s="244"/>
    </row>
    <row r="33" spans="3:8">
      <c r="C33" s="259"/>
      <c r="D33" s="244"/>
      <c r="E33" s="244"/>
      <c r="F33" s="244"/>
      <c r="G33" s="244"/>
      <c r="H33" s="244"/>
    </row>
    <row r="34" spans="3:8">
      <c r="C34" s="259"/>
      <c r="D34" s="244"/>
      <c r="E34" s="244"/>
      <c r="F34" s="244"/>
      <c r="G34" s="244"/>
      <c r="H34" s="244"/>
    </row>
    <row r="35" spans="3:8">
      <c r="C35" s="259"/>
      <c r="D35" s="244"/>
      <c r="E35" s="244"/>
      <c r="F35" s="244"/>
      <c r="G35" s="244"/>
      <c r="H35" s="244"/>
    </row>
    <row r="37" spans="3:8">
      <c r="C37" s="259"/>
      <c r="D37" s="244"/>
      <c r="E37" s="244"/>
      <c r="F37" s="244"/>
      <c r="G37" s="244"/>
      <c r="H37" s="244"/>
    </row>
    <row r="38" spans="3:8">
      <c r="C38" s="259"/>
      <c r="D38" s="244"/>
      <c r="E38" s="244"/>
      <c r="F38" s="244"/>
      <c r="G38" s="244"/>
      <c r="H38" s="244"/>
    </row>
    <row r="39" spans="3:8">
      <c r="C39" s="259"/>
      <c r="D39" s="244"/>
      <c r="E39" s="244"/>
      <c r="F39" s="244"/>
      <c r="G39" s="244"/>
      <c r="H39" s="244"/>
    </row>
    <row r="40" spans="3:8">
      <c r="C40" s="259"/>
      <c r="D40" s="244"/>
      <c r="E40" s="244"/>
      <c r="F40" s="244"/>
      <c r="G40" s="244"/>
      <c r="H40" s="244"/>
    </row>
    <row r="41" spans="3:8">
      <c r="C41" s="259"/>
      <c r="D41" s="244"/>
      <c r="E41" s="244"/>
      <c r="F41" s="244"/>
      <c r="G41" s="244"/>
      <c r="H41" s="244"/>
    </row>
    <row r="42" spans="3:8">
      <c r="C42" s="259"/>
      <c r="D42" s="244"/>
      <c r="E42" s="244"/>
      <c r="F42" s="244"/>
      <c r="G42" s="244"/>
      <c r="H42" s="244"/>
    </row>
    <row r="43" spans="3:8">
      <c r="C43" s="259"/>
      <c r="D43" s="244"/>
      <c r="E43" s="244"/>
      <c r="F43" s="244"/>
      <c r="G43" s="244"/>
      <c r="H43" s="244"/>
    </row>
    <row r="44" spans="3:8">
      <c r="C44" s="259"/>
      <c r="D44" s="244"/>
      <c r="E44" s="244"/>
      <c r="F44" s="244"/>
      <c r="G44" s="244"/>
      <c r="H44" s="244"/>
    </row>
    <row r="45" spans="3:8">
      <c r="C45" s="259"/>
      <c r="D45" s="244"/>
      <c r="E45" s="244"/>
      <c r="F45" s="244"/>
      <c r="G45" s="244"/>
      <c r="H45" s="244"/>
    </row>
    <row r="46" spans="3:8">
      <c r="C46" s="259"/>
      <c r="D46" s="244"/>
      <c r="E46" s="244"/>
      <c r="F46" s="244"/>
      <c r="G46" s="244"/>
      <c r="H46" s="244"/>
    </row>
    <row r="47" spans="3:8">
      <c r="C47" s="259"/>
      <c r="D47" s="244"/>
      <c r="E47" s="244"/>
      <c r="F47" s="244"/>
      <c r="G47" s="244"/>
      <c r="H47" s="244"/>
    </row>
    <row r="48" spans="3:8">
      <c r="C48" s="259"/>
      <c r="D48" s="244"/>
      <c r="E48" s="244"/>
      <c r="F48" s="244"/>
      <c r="G48" s="244"/>
      <c r="H48" s="244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00B050"/>
    <pageSetUpPr fitToPage="1"/>
  </sheetPr>
  <dimension ref="A1:N34"/>
  <sheetViews>
    <sheetView zoomScale="85" workbookViewId="0">
      <pane xSplit="1" ySplit="8" topLeftCell="B9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3.2"/>
  <cols>
    <col min="1" max="1" width="11.6640625" style="193" customWidth="1"/>
    <col min="2" max="13" width="10.6640625" style="193" customWidth="1"/>
    <col min="14" max="14" width="12.6640625" style="193" customWidth="1"/>
    <col min="15" max="16384" width="9" style="193"/>
  </cols>
  <sheetData>
    <row r="1" spans="1:14">
      <c r="A1" s="480" t="s">
        <v>504</v>
      </c>
    </row>
    <row r="2" spans="1:14">
      <c r="A2" s="480" t="s">
        <v>473</v>
      </c>
    </row>
    <row r="4" spans="1:14">
      <c r="A4" s="193" t="s">
        <v>41</v>
      </c>
    </row>
    <row r="5" spans="1:14">
      <c r="A5" s="193" t="s">
        <v>42</v>
      </c>
    </row>
    <row r="6" spans="1:14">
      <c r="A6" s="345" t="s">
        <v>331</v>
      </c>
    </row>
    <row r="8" spans="1:14">
      <c r="B8" s="195" t="s">
        <v>95</v>
      </c>
      <c r="C8" s="195" t="s">
        <v>96</v>
      </c>
      <c r="D8" s="195" t="s">
        <v>2</v>
      </c>
      <c r="E8" s="195" t="s">
        <v>98</v>
      </c>
      <c r="F8" s="195" t="s">
        <v>99</v>
      </c>
      <c r="G8" s="195" t="s">
        <v>207</v>
      </c>
      <c r="H8" s="195" t="s">
        <v>208</v>
      </c>
      <c r="I8" s="195" t="s">
        <v>102</v>
      </c>
      <c r="J8" s="195" t="s">
        <v>209</v>
      </c>
      <c r="K8" s="195" t="s">
        <v>104</v>
      </c>
      <c r="L8" s="195" t="s">
        <v>105</v>
      </c>
      <c r="M8" s="195" t="s">
        <v>106</v>
      </c>
      <c r="N8" s="194" t="s">
        <v>12</v>
      </c>
    </row>
    <row r="9" spans="1:14">
      <c r="A9" s="193" t="s">
        <v>43</v>
      </c>
      <c r="B9" s="289">
        <v>13007.96</v>
      </c>
      <c r="C9" s="289">
        <v>13007.96</v>
      </c>
      <c r="D9" s="289">
        <v>13007.96</v>
      </c>
      <c r="E9" s="289">
        <v>13007.96</v>
      </c>
      <c r="F9" s="289">
        <v>13007.96</v>
      </c>
      <c r="G9" s="289">
        <v>13007.96</v>
      </c>
      <c r="H9" s="289">
        <v>13007.96</v>
      </c>
      <c r="I9" s="289">
        <v>13007.96</v>
      </c>
      <c r="J9" s="289">
        <v>13007.96</v>
      </c>
      <c r="K9" s="289">
        <v>13007.96</v>
      </c>
      <c r="L9" s="289">
        <v>13007.96</v>
      </c>
      <c r="M9" s="289">
        <v>13007.96</v>
      </c>
      <c r="N9" s="230">
        <f>SUM(B9:M9)</f>
        <v>156095.51999999996</v>
      </c>
    </row>
    <row r="11" spans="1:14">
      <c r="A11" s="68"/>
      <c r="B11" s="68"/>
      <c r="C11" s="68"/>
    </row>
    <row r="12" spans="1:14">
      <c r="A12" s="68"/>
      <c r="B12" s="392" t="s">
        <v>330</v>
      </c>
      <c r="C12" s="393"/>
      <c r="D12" s="393"/>
      <c r="E12" s="393"/>
    </row>
    <row r="13" spans="1:14" ht="13.5" customHeight="1">
      <c r="A13" s="68"/>
      <c r="B13" s="68"/>
      <c r="C13" s="68"/>
    </row>
    <row r="14" spans="1:14" ht="14.4">
      <c r="A14" s="320"/>
      <c r="B14" s="346" t="s">
        <v>471</v>
      </c>
      <c r="C14" s="68"/>
    </row>
    <row r="15" spans="1:14">
      <c r="A15" s="68"/>
      <c r="B15" s="347"/>
      <c r="C15" s="68"/>
      <c r="D15" s="68"/>
      <c r="E15" s="68"/>
      <c r="F15" s="68"/>
    </row>
    <row r="16" spans="1:14">
      <c r="B16" s="348"/>
      <c r="C16" s="68"/>
      <c r="D16" s="230"/>
      <c r="E16" s="229"/>
      <c r="F16" s="68"/>
    </row>
    <row r="17" spans="2:6">
      <c r="B17" s="348"/>
      <c r="C17" s="68"/>
      <c r="D17" s="230"/>
      <c r="E17" s="230"/>
      <c r="F17" s="68"/>
    </row>
    <row r="18" spans="2:6">
      <c r="B18" s="348"/>
      <c r="C18" s="68"/>
      <c r="D18" s="230"/>
      <c r="E18" s="230"/>
      <c r="F18" s="68"/>
    </row>
    <row r="19" spans="2:6">
      <c r="B19" s="348"/>
      <c r="C19" s="68"/>
      <c r="D19" s="230"/>
      <c r="E19" s="230"/>
      <c r="F19" s="68"/>
    </row>
    <row r="20" spans="2:6">
      <c r="B20" s="348"/>
      <c r="C20" s="68"/>
      <c r="D20" s="230"/>
      <c r="E20" s="230"/>
      <c r="F20" s="68"/>
    </row>
    <row r="21" spans="2:6">
      <c r="B21" s="68"/>
      <c r="C21" s="68"/>
      <c r="D21" s="230"/>
      <c r="E21" s="230"/>
      <c r="F21" s="68"/>
    </row>
    <row r="22" spans="2:6">
      <c r="B22" s="68"/>
      <c r="C22" s="68"/>
      <c r="D22" s="230"/>
      <c r="E22" s="230"/>
      <c r="F22" s="68"/>
    </row>
    <row r="23" spans="2:6">
      <c r="B23" s="68"/>
      <c r="C23" s="68"/>
      <c r="D23" s="230"/>
      <c r="E23" s="230"/>
      <c r="F23" s="68"/>
    </row>
    <row r="24" spans="2:6">
      <c r="B24" s="68"/>
      <c r="C24" s="68"/>
      <c r="D24" s="230"/>
      <c r="E24" s="230"/>
      <c r="F24" s="68"/>
    </row>
    <row r="25" spans="2:6">
      <c r="B25" s="68"/>
      <c r="C25" s="68"/>
      <c r="D25" s="230"/>
      <c r="E25" s="230"/>
      <c r="F25" s="68"/>
    </row>
    <row r="26" spans="2:6">
      <c r="B26" s="68"/>
      <c r="C26" s="68"/>
      <c r="D26" s="230"/>
      <c r="E26" s="230"/>
      <c r="F26" s="68"/>
    </row>
    <row r="27" spans="2:6">
      <c r="B27" s="68"/>
      <c r="C27" s="68"/>
      <c r="D27" s="230"/>
      <c r="E27" s="230"/>
      <c r="F27" s="68"/>
    </row>
    <row r="28" spans="2:6">
      <c r="B28" s="68"/>
      <c r="C28" s="68"/>
      <c r="D28" s="230"/>
      <c r="E28" s="230"/>
      <c r="F28" s="68"/>
    </row>
    <row r="29" spans="2:6">
      <c r="B29" s="68"/>
      <c r="C29" s="68"/>
      <c r="D29" s="68"/>
      <c r="E29" s="230"/>
      <c r="F29" s="68"/>
    </row>
    <row r="30" spans="2:6">
      <c r="B30" s="68"/>
      <c r="C30" s="68"/>
      <c r="D30" s="288"/>
      <c r="E30" s="68"/>
      <c r="F30" s="68"/>
    </row>
    <row r="31" spans="2:6">
      <c r="B31" s="68"/>
      <c r="C31" s="68"/>
      <c r="D31" s="68"/>
      <c r="E31" s="68"/>
      <c r="F31" s="68"/>
    </row>
    <row r="32" spans="2:6">
      <c r="B32" s="68"/>
      <c r="C32" s="68"/>
      <c r="D32" s="68"/>
      <c r="E32" s="68"/>
      <c r="F32" s="68"/>
    </row>
    <row r="33" spans="2:6">
      <c r="B33" s="68"/>
      <c r="C33" s="68"/>
      <c r="D33" s="68"/>
      <c r="E33" s="68"/>
      <c r="F33" s="68"/>
    </row>
    <row r="34" spans="2:6">
      <c r="B34" s="68"/>
      <c r="C34" s="68"/>
      <c r="D34" s="68"/>
      <c r="E34" s="68"/>
      <c r="F34" s="68"/>
    </row>
  </sheetData>
  <phoneticPr fontId="23" type="noConversion"/>
  <pageMargins left="0.25" right="0.22" top="1" bottom="1" header="0.5" footer="0.5"/>
  <pageSetup scale="9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AB181"/>
  <sheetViews>
    <sheetView zoomScale="115" zoomScaleNormal="115" workbookViewId="0">
      <selection activeCell="A2" sqref="A1:A2"/>
    </sheetView>
  </sheetViews>
  <sheetFormatPr defaultColWidth="9" defaultRowHeight="12"/>
  <cols>
    <col min="1" max="1" width="14.33203125" style="22" customWidth="1"/>
    <col min="2" max="2" width="8.6640625" style="22" customWidth="1"/>
    <col min="3" max="6" width="7.33203125" style="22" customWidth="1"/>
    <col min="7" max="7" width="7.77734375" style="22" customWidth="1"/>
    <col min="8" max="8" width="7.88671875" style="22" customWidth="1"/>
    <col min="9" max="9" width="8.33203125" style="22" customWidth="1"/>
    <col min="10" max="10" width="7.88671875" style="22" customWidth="1"/>
    <col min="11" max="13" width="7.33203125" style="22" customWidth="1"/>
    <col min="14" max="14" width="9.33203125" style="22" customWidth="1"/>
    <col min="15" max="16384" width="9" style="22"/>
  </cols>
  <sheetData>
    <row r="1" spans="1:16" ht="13.2">
      <c r="A1" s="480" t="s">
        <v>505</v>
      </c>
    </row>
    <row r="2" spans="1:16" ht="13.2">
      <c r="A2" s="480" t="s">
        <v>473</v>
      </c>
    </row>
    <row r="4" spans="1:16" s="16" customFormat="1" ht="13.8">
      <c r="A4" s="22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34" t="s">
        <v>127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3"/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6" s="20" customFormat="1" ht="10.199999999999999">
      <c r="A8" s="25">
        <v>2014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6" s="20" customFormat="1" ht="9.7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6" s="20" customFormat="1" ht="10.199999999999999">
      <c r="A10" s="26" t="s">
        <v>37</v>
      </c>
      <c r="E10" s="307"/>
      <c r="F10" s="308"/>
    </row>
    <row r="11" spans="1:16" s="29" customFormat="1" ht="10.199999999999999">
      <c r="A11" s="27" t="s">
        <v>40</v>
      </c>
      <c r="B11" s="365">
        <f>[13]VERO_CP!B4*1000</f>
        <v>183640</v>
      </c>
      <c r="C11" s="365">
        <f>[13]VERO_CP!C4*1000</f>
        <v>147590</v>
      </c>
      <c r="D11" s="365">
        <f>[13]VERO_CP!D4*1000</f>
        <v>129070</v>
      </c>
      <c r="E11" s="365">
        <f>[13]VERO_CP!E4*1000</f>
        <v>133440</v>
      </c>
      <c r="F11" s="365">
        <f>[13]VERO_CP!F4*1000</f>
        <v>148520</v>
      </c>
      <c r="G11" s="365">
        <f>[13]VERO_CP!G4*1000</f>
        <v>162250</v>
      </c>
      <c r="H11" s="365">
        <f>[13]VERO_CP!H4*1000</f>
        <v>160810</v>
      </c>
      <c r="I11" s="365">
        <f>[13]VERO_CP!I4*1000</f>
        <v>173210</v>
      </c>
      <c r="J11" s="365">
        <f>[13]VERO_CP!J4*1000</f>
        <v>162910</v>
      </c>
      <c r="K11" s="365">
        <f>[13]VERO_CP!K4*1000</f>
        <v>151770</v>
      </c>
      <c r="L11" s="365">
        <f>[13]VERO_CP!L4*1000</f>
        <v>131630</v>
      </c>
      <c r="M11" s="365">
        <f>[13]VERO_CP!M4*1000</f>
        <v>138590</v>
      </c>
      <c r="N11" s="21">
        <f>SUM(B11:M11)</f>
        <v>1823430</v>
      </c>
    </row>
    <row r="12" spans="1:16" s="29" customFormat="1" ht="10.199999999999999">
      <c r="A12" s="27" t="s">
        <v>45</v>
      </c>
      <c r="B12" s="28">
        <f>ROUND(B11*'Transmission Formula Rate (7)'!$B$27,0)</f>
        <v>3397</v>
      </c>
      <c r="C12" s="28">
        <f>ROUND(C11*'Transmission Formula Rate (7)'!$B$27,0)</f>
        <v>2730</v>
      </c>
      <c r="D12" s="28">
        <f>ROUND(D11*'Transmission Formula Rate (7)'!$B$27,0)</f>
        <v>2388</v>
      </c>
      <c r="E12" s="28">
        <f>ROUND(E11*'Transmission Formula Rate (7)'!$B$27,0)</f>
        <v>2469</v>
      </c>
      <c r="F12" s="28">
        <f>ROUND(F11*'Transmission Formula Rate (7)'!$B$27,0)</f>
        <v>2748</v>
      </c>
      <c r="G12" s="28">
        <f>ROUND(G11*'Transmission Formula Rate (7)'!$B$27,0)</f>
        <v>3002</v>
      </c>
      <c r="H12" s="28">
        <f>ROUND(H11*'Transmission Formula Rate (7)'!$B$27,0)</f>
        <v>2975</v>
      </c>
      <c r="I12" s="28">
        <f>ROUND(I11*'Transmission Formula Rate (7)'!$B$27,0)</f>
        <v>3204</v>
      </c>
      <c r="J12" s="28">
        <f>ROUND(J11*'Transmission Formula Rate (7)'!$B$27,0)</f>
        <v>3014</v>
      </c>
      <c r="K12" s="28">
        <f>ROUND(K11*'Transmission Formula Rate (7)'!$B$27,0)</f>
        <v>2808</v>
      </c>
      <c r="L12" s="28">
        <f>ROUND(L11*'Transmission Formula Rate (7)'!$B$27,0)</f>
        <v>2435</v>
      </c>
      <c r="M12" s="28">
        <f>ROUND(M11*'Transmission Formula Rate (7)'!$B$27,0)</f>
        <v>2564</v>
      </c>
      <c r="N12" s="21">
        <f>SUM(B12:M12)</f>
        <v>33734</v>
      </c>
    </row>
    <row r="13" spans="1:16" s="29" customFormat="1" ht="10.199999999999999">
      <c r="A13" s="27" t="s">
        <v>128</v>
      </c>
      <c r="B13" s="28">
        <f t="shared" ref="B13:M13" si="0">B11+B12</f>
        <v>187037</v>
      </c>
      <c r="C13" s="28">
        <f t="shared" si="0"/>
        <v>150320</v>
      </c>
      <c r="D13" s="28">
        <f t="shared" si="0"/>
        <v>131458</v>
      </c>
      <c r="E13" s="28">
        <f t="shared" si="0"/>
        <v>135909</v>
      </c>
      <c r="F13" s="28">
        <f t="shared" si="0"/>
        <v>151268</v>
      </c>
      <c r="G13" s="28">
        <f t="shared" si="0"/>
        <v>165252</v>
      </c>
      <c r="H13" s="28">
        <f t="shared" si="0"/>
        <v>163785</v>
      </c>
      <c r="I13" s="28">
        <f t="shared" si="0"/>
        <v>176414</v>
      </c>
      <c r="J13" s="28">
        <f t="shared" si="0"/>
        <v>165924</v>
      </c>
      <c r="K13" s="28">
        <f t="shared" si="0"/>
        <v>154578</v>
      </c>
      <c r="L13" s="28">
        <f t="shared" si="0"/>
        <v>134065</v>
      </c>
      <c r="M13" s="28">
        <f t="shared" si="0"/>
        <v>141154</v>
      </c>
      <c r="N13" s="21">
        <f>SUM(B13:M13)</f>
        <v>1857164</v>
      </c>
    </row>
    <row r="14" spans="1:16" s="20" customFormat="1" ht="10.199999999999999">
      <c r="A14" s="26" t="s">
        <v>20</v>
      </c>
      <c r="B14" s="30">
        <f>'Transmission Formula Rate (7)'!B8</f>
        <v>1.59</v>
      </c>
      <c r="C14" s="30">
        <f>'Transmission Formula Rate (7)'!C8</f>
        <v>1.59</v>
      </c>
      <c r="D14" s="30">
        <f>'Transmission Formula Rate (7)'!D8</f>
        <v>1.59</v>
      </c>
      <c r="E14" s="30">
        <f>'Transmission Formula Rate (7)'!E8</f>
        <v>1.59</v>
      </c>
      <c r="F14" s="30">
        <f>'Transmission Formula Rate (7)'!F8</f>
        <v>1.59</v>
      </c>
      <c r="G14" s="30">
        <f>'Transmission Formula Rate (7)'!G8</f>
        <v>1.59</v>
      </c>
      <c r="H14" s="30">
        <f>'Transmission Formula Rate (7)'!H8</f>
        <v>1.59</v>
      </c>
      <c r="I14" s="30">
        <f>'Transmission Formula Rate (7)'!I8</f>
        <v>1.59</v>
      </c>
      <c r="J14" s="30">
        <f>'Transmission Formula Rate (7)'!J8</f>
        <v>1.59</v>
      </c>
      <c r="K14" s="30">
        <f>'Transmission Formula Rate (7)'!K8</f>
        <v>1.59</v>
      </c>
      <c r="L14" s="30">
        <f>'Transmission Formula Rate (7)'!L8</f>
        <v>1.59</v>
      </c>
      <c r="M14" s="30">
        <f>'Transmission Formula Rate (7)'!M8</f>
        <v>1.59</v>
      </c>
    </row>
    <row r="15" spans="1:16" s="20" customFormat="1" ht="10.199999999999999">
      <c r="A15" s="26" t="s">
        <v>17</v>
      </c>
      <c r="B15" s="199">
        <f t="shared" ref="B15:M15" si="1">B13*B14</f>
        <v>297388.83</v>
      </c>
      <c r="C15" s="199">
        <f t="shared" si="1"/>
        <v>239008.80000000002</v>
      </c>
      <c r="D15" s="199">
        <f t="shared" si="1"/>
        <v>209018.22</v>
      </c>
      <c r="E15" s="199">
        <f t="shared" si="1"/>
        <v>216095.31</v>
      </c>
      <c r="F15" s="199">
        <f t="shared" si="1"/>
        <v>240516.12000000002</v>
      </c>
      <c r="G15" s="199">
        <f t="shared" si="1"/>
        <v>262750.68</v>
      </c>
      <c r="H15" s="199">
        <f t="shared" si="1"/>
        <v>260418.15000000002</v>
      </c>
      <c r="I15" s="199">
        <f t="shared" si="1"/>
        <v>280498.26</v>
      </c>
      <c r="J15" s="199">
        <f t="shared" si="1"/>
        <v>263819.16000000003</v>
      </c>
      <c r="K15" s="199">
        <f t="shared" si="1"/>
        <v>245779.02000000002</v>
      </c>
      <c r="L15" s="199">
        <f t="shared" si="1"/>
        <v>213163.35</v>
      </c>
      <c r="M15" s="199">
        <f t="shared" si="1"/>
        <v>224434.86000000002</v>
      </c>
      <c r="N15" s="199">
        <f>SUM(B15:M15)</f>
        <v>2952890.76</v>
      </c>
    </row>
    <row r="16" spans="1:16" s="20" customFormat="1" ht="10.199999999999999"/>
    <row r="17" spans="1:14" s="20" customFormat="1" ht="10.199999999999999">
      <c r="A17" s="26" t="s">
        <v>141</v>
      </c>
    </row>
    <row r="18" spans="1:14" s="29" customFormat="1" ht="10.199999999999999">
      <c r="A18" s="27" t="s">
        <v>40</v>
      </c>
      <c r="B18" s="28">
        <f t="shared" ref="B18:M18" si="2">B11</f>
        <v>183640</v>
      </c>
      <c r="C18" s="28">
        <f t="shared" si="2"/>
        <v>147590</v>
      </c>
      <c r="D18" s="28">
        <f t="shared" si="2"/>
        <v>129070</v>
      </c>
      <c r="E18" s="28">
        <f t="shared" si="2"/>
        <v>133440</v>
      </c>
      <c r="F18" s="28">
        <f t="shared" si="2"/>
        <v>148520</v>
      </c>
      <c r="G18" s="28">
        <f t="shared" si="2"/>
        <v>162250</v>
      </c>
      <c r="H18" s="28">
        <f t="shared" si="2"/>
        <v>160810</v>
      </c>
      <c r="I18" s="28">
        <f t="shared" si="2"/>
        <v>173210</v>
      </c>
      <c r="J18" s="28">
        <f t="shared" si="2"/>
        <v>162910</v>
      </c>
      <c r="K18" s="28">
        <f t="shared" si="2"/>
        <v>151770</v>
      </c>
      <c r="L18" s="28">
        <f t="shared" si="2"/>
        <v>131630</v>
      </c>
      <c r="M18" s="28">
        <f t="shared" si="2"/>
        <v>138590</v>
      </c>
      <c r="N18" s="21">
        <f>SUM(B18:M18)</f>
        <v>1823430</v>
      </c>
    </row>
    <row r="19" spans="1:14" s="29" customFormat="1" ht="10.199999999999999">
      <c r="A19" s="27" t="s">
        <v>45</v>
      </c>
      <c r="B19" s="28">
        <f>B12</f>
        <v>3397</v>
      </c>
      <c r="C19" s="28">
        <f t="shared" ref="C19:M19" si="3">C12</f>
        <v>2730</v>
      </c>
      <c r="D19" s="28">
        <f t="shared" si="3"/>
        <v>2388</v>
      </c>
      <c r="E19" s="28">
        <f t="shared" si="3"/>
        <v>2469</v>
      </c>
      <c r="F19" s="28">
        <f t="shared" si="3"/>
        <v>2748</v>
      </c>
      <c r="G19" s="28">
        <f t="shared" si="3"/>
        <v>3002</v>
      </c>
      <c r="H19" s="28">
        <f t="shared" si="3"/>
        <v>2975</v>
      </c>
      <c r="I19" s="28">
        <f t="shared" si="3"/>
        <v>3204</v>
      </c>
      <c r="J19" s="28">
        <f t="shared" si="3"/>
        <v>3014</v>
      </c>
      <c r="K19" s="28">
        <f t="shared" si="3"/>
        <v>2808</v>
      </c>
      <c r="L19" s="28">
        <f t="shared" si="3"/>
        <v>2435</v>
      </c>
      <c r="M19" s="28">
        <f t="shared" si="3"/>
        <v>2564</v>
      </c>
      <c r="N19" s="21">
        <f>SUM(B19:M19)</f>
        <v>33734</v>
      </c>
    </row>
    <row r="20" spans="1:14" s="29" customFormat="1" ht="10.199999999999999">
      <c r="A20" s="27" t="str">
        <f>A13</f>
        <v xml:space="preserve">       Vero Beach Load</v>
      </c>
      <c r="B20" s="28">
        <f t="shared" ref="B20:M20" si="4">B18+B19</f>
        <v>187037</v>
      </c>
      <c r="C20" s="28">
        <f t="shared" si="4"/>
        <v>150320</v>
      </c>
      <c r="D20" s="28">
        <f t="shared" si="4"/>
        <v>131458</v>
      </c>
      <c r="E20" s="28">
        <f t="shared" si="4"/>
        <v>135909</v>
      </c>
      <c r="F20" s="28">
        <f t="shared" si="4"/>
        <v>151268</v>
      </c>
      <c r="G20" s="28">
        <f t="shared" si="4"/>
        <v>165252</v>
      </c>
      <c r="H20" s="28">
        <f t="shared" si="4"/>
        <v>163785</v>
      </c>
      <c r="I20" s="28">
        <f t="shared" si="4"/>
        <v>176414</v>
      </c>
      <c r="J20" s="28">
        <f t="shared" si="4"/>
        <v>165924</v>
      </c>
      <c r="K20" s="28">
        <f t="shared" si="4"/>
        <v>154578</v>
      </c>
      <c r="L20" s="28">
        <f t="shared" si="4"/>
        <v>134065</v>
      </c>
      <c r="M20" s="28">
        <f t="shared" si="4"/>
        <v>141154</v>
      </c>
      <c r="N20" s="21">
        <f>SUM(B20:M20)</f>
        <v>1857164</v>
      </c>
    </row>
    <row r="21" spans="1:14" s="20" customFormat="1" ht="10.199999999999999">
      <c r="A21" s="26" t="s">
        <v>20</v>
      </c>
      <c r="B21" s="32">
        <f>'charges (1 &amp; 2)'!$D$39</f>
        <v>1.274E-2</v>
      </c>
      <c r="C21" s="32">
        <f>B21</f>
        <v>1.274E-2</v>
      </c>
      <c r="D21" s="32">
        <f t="shared" ref="D21:M21" si="5">C21</f>
        <v>1.274E-2</v>
      </c>
      <c r="E21" s="32">
        <f t="shared" si="5"/>
        <v>1.274E-2</v>
      </c>
      <c r="F21" s="32">
        <f t="shared" si="5"/>
        <v>1.274E-2</v>
      </c>
      <c r="G21" s="32">
        <f t="shared" si="5"/>
        <v>1.274E-2</v>
      </c>
      <c r="H21" s="32">
        <f t="shared" si="5"/>
        <v>1.274E-2</v>
      </c>
      <c r="I21" s="32">
        <f t="shared" si="5"/>
        <v>1.274E-2</v>
      </c>
      <c r="J21" s="32">
        <f t="shared" si="5"/>
        <v>1.274E-2</v>
      </c>
      <c r="K21" s="32">
        <f t="shared" si="5"/>
        <v>1.274E-2</v>
      </c>
      <c r="L21" s="32">
        <f t="shared" si="5"/>
        <v>1.274E-2</v>
      </c>
      <c r="M21" s="32">
        <f t="shared" si="5"/>
        <v>1.274E-2</v>
      </c>
    </row>
    <row r="22" spans="1:14" s="20" customFormat="1" ht="10.199999999999999">
      <c r="A22" s="26" t="s">
        <v>17</v>
      </c>
      <c r="B22" s="199">
        <f t="shared" ref="B22:M22" si="6">B20*B21</f>
        <v>2382.8513800000001</v>
      </c>
      <c r="C22" s="199">
        <f t="shared" si="6"/>
        <v>1915.0768</v>
      </c>
      <c r="D22" s="199">
        <f t="shared" si="6"/>
        <v>1674.7749199999998</v>
      </c>
      <c r="E22" s="199">
        <f t="shared" si="6"/>
        <v>1731.4806599999999</v>
      </c>
      <c r="F22" s="199">
        <f t="shared" si="6"/>
        <v>1927.1543199999999</v>
      </c>
      <c r="G22" s="199">
        <f t="shared" si="6"/>
        <v>2105.3104800000001</v>
      </c>
      <c r="H22" s="199">
        <f t="shared" si="6"/>
        <v>2086.6208999999999</v>
      </c>
      <c r="I22" s="199">
        <f t="shared" si="6"/>
        <v>2247.5143600000001</v>
      </c>
      <c r="J22" s="199">
        <f t="shared" si="6"/>
        <v>2113.87176</v>
      </c>
      <c r="K22" s="199">
        <f t="shared" si="6"/>
        <v>1969.3237199999999</v>
      </c>
      <c r="L22" s="199">
        <f t="shared" si="6"/>
        <v>1707.9881</v>
      </c>
      <c r="M22" s="199">
        <f t="shared" si="6"/>
        <v>1798.30196</v>
      </c>
      <c r="N22" s="199">
        <f>SUM(B22:M22)</f>
        <v>23660.269359999998</v>
      </c>
    </row>
    <row r="23" spans="1:14" s="20" customFormat="1" ht="12.75" customHeight="1">
      <c r="B23" s="21"/>
    </row>
    <row r="24" spans="1:14" s="20" customFormat="1" ht="12.75" customHeight="1">
      <c r="A24" s="26" t="s">
        <v>38</v>
      </c>
    </row>
    <row r="25" spans="1:14" s="20" customFormat="1" ht="12.75" customHeight="1">
      <c r="A25" s="27" t="s">
        <v>40</v>
      </c>
      <c r="B25" s="28">
        <f t="shared" ref="B25:M25" si="7">B18</f>
        <v>183640</v>
      </c>
      <c r="C25" s="28">
        <f t="shared" si="7"/>
        <v>147590</v>
      </c>
      <c r="D25" s="28">
        <f t="shared" si="7"/>
        <v>129070</v>
      </c>
      <c r="E25" s="28">
        <f t="shared" si="7"/>
        <v>133440</v>
      </c>
      <c r="F25" s="28">
        <f t="shared" si="7"/>
        <v>148520</v>
      </c>
      <c r="G25" s="28">
        <f t="shared" si="7"/>
        <v>162250</v>
      </c>
      <c r="H25" s="28">
        <f t="shared" si="7"/>
        <v>160810</v>
      </c>
      <c r="I25" s="28">
        <f t="shared" si="7"/>
        <v>173210</v>
      </c>
      <c r="J25" s="28">
        <f t="shared" si="7"/>
        <v>162910</v>
      </c>
      <c r="K25" s="28">
        <f t="shared" si="7"/>
        <v>151770</v>
      </c>
      <c r="L25" s="28">
        <f t="shared" si="7"/>
        <v>131630</v>
      </c>
      <c r="M25" s="28">
        <f t="shared" si="7"/>
        <v>138590</v>
      </c>
      <c r="N25" s="21">
        <f>SUM(B25:M25)</f>
        <v>1823430</v>
      </c>
    </row>
    <row r="26" spans="1:14" s="20" customFormat="1" ht="12.75" customHeight="1">
      <c r="A26" s="27" t="s">
        <v>45</v>
      </c>
      <c r="B26" s="28">
        <f>ROUND(B25*'Transmission Formula Rate (7)'!$B$27,0)</f>
        <v>3397</v>
      </c>
      <c r="C26" s="28">
        <f>ROUND(C25*'Transmission Formula Rate (7)'!$B$27,0)</f>
        <v>2730</v>
      </c>
      <c r="D26" s="28">
        <f>ROUND(D25*'Transmission Formula Rate (7)'!$B$27,0)</f>
        <v>2388</v>
      </c>
      <c r="E26" s="28">
        <f>ROUND(E25*'Transmission Formula Rate (7)'!$B$27,0)</f>
        <v>2469</v>
      </c>
      <c r="F26" s="28">
        <f>ROUND(F25*'Transmission Formula Rate (7)'!$B$27,0)</f>
        <v>2748</v>
      </c>
      <c r="G26" s="28">
        <f>ROUND(G25*'Transmission Formula Rate (7)'!$B$27,0)</f>
        <v>3002</v>
      </c>
      <c r="H26" s="28">
        <f>ROUND(H25*'Transmission Formula Rate (7)'!$B$27,0)</f>
        <v>2975</v>
      </c>
      <c r="I26" s="28">
        <f>ROUND(I25*'Transmission Formula Rate (7)'!$B$27,0)</f>
        <v>3204</v>
      </c>
      <c r="J26" s="28">
        <f>ROUND(J25*'Transmission Formula Rate (7)'!$B$27,0)</f>
        <v>3014</v>
      </c>
      <c r="K26" s="28">
        <f>ROUND(K25*'Transmission Formula Rate (7)'!$B$27,0)</f>
        <v>2808</v>
      </c>
      <c r="L26" s="28">
        <f>ROUND(L25*'Transmission Formula Rate (7)'!$B$27,0)</f>
        <v>2435</v>
      </c>
      <c r="M26" s="28">
        <f>ROUND(M25*'Transmission Formula Rate (7)'!$B$27,0)</f>
        <v>2564</v>
      </c>
      <c r="N26" s="21">
        <f>SUM(B26:M26)</f>
        <v>33734</v>
      </c>
    </row>
    <row r="27" spans="1:14" s="20" customFormat="1" ht="12.75" customHeight="1">
      <c r="A27" s="27" t="str">
        <f>A20</f>
        <v xml:space="preserve">       Vero Beach Load</v>
      </c>
      <c r="B27" s="28">
        <f t="shared" ref="B27:M27" si="8">B25+B26</f>
        <v>187037</v>
      </c>
      <c r="C27" s="28">
        <f t="shared" si="8"/>
        <v>150320</v>
      </c>
      <c r="D27" s="28">
        <f t="shared" si="8"/>
        <v>131458</v>
      </c>
      <c r="E27" s="28">
        <f t="shared" si="8"/>
        <v>135909</v>
      </c>
      <c r="F27" s="28">
        <f t="shared" si="8"/>
        <v>151268</v>
      </c>
      <c r="G27" s="28">
        <f t="shared" si="8"/>
        <v>165252</v>
      </c>
      <c r="H27" s="28">
        <f t="shared" si="8"/>
        <v>163785</v>
      </c>
      <c r="I27" s="28">
        <f t="shared" si="8"/>
        <v>176414</v>
      </c>
      <c r="J27" s="28">
        <f t="shared" si="8"/>
        <v>165924</v>
      </c>
      <c r="K27" s="28">
        <f t="shared" si="8"/>
        <v>154578</v>
      </c>
      <c r="L27" s="28">
        <f t="shared" si="8"/>
        <v>134065</v>
      </c>
      <c r="M27" s="28">
        <f t="shared" si="8"/>
        <v>141154</v>
      </c>
      <c r="N27" s="21">
        <f>SUM(B27:M27)</f>
        <v>1857164</v>
      </c>
    </row>
    <row r="28" spans="1:14" s="20" customFormat="1" ht="12.75" customHeight="1">
      <c r="A28" s="26" t="s">
        <v>20</v>
      </c>
      <c r="B28" s="32">
        <f>'charges (1 &amp; 2)'!$C$38</f>
        <v>0.1008</v>
      </c>
      <c r="C28" s="32">
        <f>B28</f>
        <v>0.1008</v>
      </c>
      <c r="D28" s="32">
        <f t="shared" ref="D28:M28" si="9">C28</f>
        <v>0.1008</v>
      </c>
      <c r="E28" s="32">
        <f t="shared" si="9"/>
        <v>0.1008</v>
      </c>
      <c r="F28" s="32">
        <f t="shared" si="9"/>
        <v>0.1008</v>
      </c>
      <c r="G28" s="32">
        <f t="shared" si="9"/>
        <v>0.1008</v>
      </c>
      <c r="H28" s="32">
        <f t="shared" si="9"/>
        <v>0.1008</v>
      </c>
      <c r="I28" s="32">
        <f t="shared" si="9"/>
        <v>0.1008</v>
      </c>
      <c r="J28" s="32">
        <f t="shared" si="9"/>
        <v>0.1008</v>
      </c>
      <c r="K28" s="32">
        <f t="shared" si="9"/>
        <v>0.1008</v>
      </c>
      <c r="L28" s="32">
        <f t="shared" si="9"/>
        <v>0.1008</v>
      </c>
      <c r="M28" s="32">
        <f t="shared" si="9"/>
        <v>0.1008</v>
      </c>
    </row>
    <row r="29" spans="1:14" s="20" customFormat="1" ht="12.75" customHeight="1">
      <c r="A29" s="26" t="s">
        <v>17</v>
      </c>
      <c r="B29" s="199">
        <f t="shared" ref="B29:M29" si="10">B27*B28</f>
        <v>18853.329600000001</v>
      </c>
      <c r="C29" s="199">
        <f t="shared" si="10"/>
        <v>15152.255999999999</v>
      </c>
      <c r="D29" s="199">
        <f t="shared" si="10"/>
        <v>13250.966399999999</v>
      </c>
      <c r="E29" s="199">
        <f t="shared" si="10"/>
        <v>13699.627200000001</v>
      </c>
      <c r="F29" s="199">
        <f t="shared" si="10"/>
        <v>15247.814399999999</v>
      </c>
      <c r="G29" s="199">
        <f t="shared" si="10"/>
        <v>16657.401600000001</v>
      </c>
      <c r="H29" s="199">
        <f t="shared" si="10"/>
        <v>16509.527999999998</v>
      </c>
      <c r="I29" s="199">
        <f t="shared" si="10"/>
        <v>17782.531200000001</v>
      </c>
      <c r="J29" s="199">
        <f t="shared" si="10"/>
        <v>16725.139200000001</v>
      </c>
      <c r="K29" s="199">
        <f t="shared" si="10"/>
        <v>15581.4624</v>
      </c>
      <c r="L29" s="199">
        <f t="shared" si="10"/>
        <v>13513.752</v>
      </c>
      <c r="M29" s="199">
        <f t="shared" si="10"/>
        <v>14228.323200000001</v>
      </c>
      <c r="N29" s="199">
        <f>SUM(B29:M29)</f>
        <v>187202.1312</v>
      </c>
    </row>
    <row r="30" spans="1:14" s="20" customFormat="1" ht="12.75" customHeight="1">
      <c r="A30" s="26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</row>
    <row r="31" spans="1:14" s="20" customFormat="1" ht="10.199999999999999">
      <c r="A31" s="26" t="s">
        <v>25</v>
      </c>
      <c r="B31" s="309">
        <f t="shared" ref="B31:G31" si="11">B15+B22</f>
        <v>299771.68138000002</v>
      </c>
      <c r="C31" s="309">
        <f t="shared" si="11"/>
        <v>240923.87680000003</v>
      </c>
      <c r="D31" s="309">
        <f t="shared" si="11"/>
        <v>210692.99492</v>
      </c>
      <c r="E31" s="309">
        <f t="shared" si="11"/>
        <v>217826.79066</v>
      </c>
      <c r="F31" s="309">
        <f t="shared" si="11"/>
        <v>242443.27432000003</v>
      </c>
      <c r="G31" s="309">
        <f t="shared" si="11"/>
        <v>264855.99047999998</v>
      </c>
      <c r="H31" s="309">
        <f t="shared" ref="H31:M31" si="12">H15+H22+H29</f>
        <v>279014.29889999999</v>
      </c>
      <c r="I31" s="309">
        <f t="shared" si="12"/>
        <v>300528.30556000001</v>
      </c>
      <c r="J31" s="309">
        <f t="shared" si="12"/>
        <v>282658.17096000002</v>
      </c>
      <c r="K31" s="309">
        <f t="shared" si="12"/>
        <v>263329.80612000002</v>
      </c>
      <c r="L31" s="309">
        <f t="shared" si="12"/>
        <v>228385.0901</v>
      </c>
      <c r="M31" s="309">
        <f t="shared" si="12"/>
        <v>240461.48516000004</v>
      </c>
      <c r="N31" s="309">
        <f>SUM(B31:M31)</f>
        <v>3070891.7653600005</v>
      </c>
    </row>
    <row r="32" spans="1:14" s="20" customFormat="1" ht="6" customHeight="1">
      <c r="A32" s="2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28" s="20" customFormat="1" ht="10.199999999999999">
      <c r="A33" s="25">
        <f>+A8+1</f>
        <v>2015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28" s="20" customFormat="1" ht="10.5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28" s="20" customFormat="1" ht="10.199999999999999">
      <c r="A35" s="26" t="s">
        <v>37</v>
      </c>
    </row>
    <row r="36" spans="1:28" s="29" customFormat="1" ht="10.199999999999999">
      <c r="A36" s="27" t="s">
        <v>40</v>
      </c>
      <c r="B36" s="365">
        <f>[13]VERO_CP!B5*1000</f>
        <v>175000</v>
      </c>
      <c r="C36" s="365">
        <f>[13]VERO_CP!C5*1000</f>
        <v>151000</v>
      </c>
      <c r="D36" s="365">
        <f>[13]VERO_CP!D5*1000</f>
        <v>121000</v>
      </c>
      <c r="E36" s="365">
        <f>[13]VERO_CP!E5*1000</f>
        <v>126000</v>
      </c>
      <c r="F36" s="365">
        <f>[13]VERO_CP!F5*1000</f>
        <v>138000</v>
      </c>
      <c r="G36" s="365">
        <f>[13]VERO_CP!G5*1000</f>
        <v>152000</v>
      </c>
      <c r="H36" s="365">
        <f>[13]VERO_CP!H5*1000</f>
        <v>151000</v>
      </c>
      <c r="I36" s="365">
        <f>[13]VERO_CP!I5*1000</f>
        <v>162000</v>
      </c>
      <c r="J36" s="365">
        <f>[13]VERO_CP!J5*1000</f>
        <v>153000</v>
      </c>
      <c r="K36" s="365">
        <f>[13]VERO_CP!K5*1000</f>
        <v>144000</v>
      </c>
      <c r="L36" s="365">
        <f>[13]VERO_CP!L5*1000</f>
        <v>123000</v>
      </c>
      <c r="M36" s="365">
        <f>[13]VERO_CP!M5*1000</f>
        <v>138000</v>
      </c>
      <c r="N36" s="21">
        <f>SUM(B36:M36)</f>
        <v>1734000</v>
      </c>
      <c r="P36" s="29">
        <f>+B38-B37-B36</f>
        <v>0</v>
      </c>
      <c r="Q36" s="29">
        <f t="shared" ref="Q36:AB36" si="13">+C38-C37-C36</f>
        <v>0</v>
      </c>
      <c r="R36" s="29">
        <f t="shared" si="13"/>
        <v>0</v>
      </c>
      <c r="S36" s="29">
        <f t="shared" si="13"/>
        <v>0</v>
      </c>
      <c r="T36" s="29">
        <f t="shared" si="13"/>
        <v>0</v>
      </c>
      <c r="U36" s="29">
        <f t="shared" si="13"/>
        <v>0</v>
      </c>
      <c r="V36" s="29">
        <f t="shared" si="13"/>
        <v>0</v>
      </c>
      <c r="W36" s="29">
        <f t="shared" si="13"/>
        <v>0</v>
      </c>
      <c r="X36" s="29">
        <f t="shared" si="13"/>
        <v>0</v>
      </c>
      <c r="Y36" s="29">
        <f t="shared" si="13"/>
        <v>0</v>
      </c>
      <c r="Z36" s="29">
        <f t="shared" si="13"/>
        <v>0</v>
      </c>
      <c r="AA36" s="29">
        <f t="shared" si="13"/>
        <v>0</v>
      </c>
      <c r="AB36" s="29">
        <f t="shared" si="13"/>
        <v>0</v>
      </c>
    </row>
    <row r="37" spans="1:28" s="29" customFormat="1" ht="10.199999999999999">
      <c r="A37" s="27" t="s">
        <v>45</v>
      </c>
      <c r="B37" s="28">
        <f>ROUND(B36*'Transmission Formula Rate (7)'!$B$27,0)</f>
        <v>3238</v>
      </c>
      <c r="C37" s="28">
        <f>ROUND(C36*'Transmission Formula Rate (7)'!$B$27,0)</f>
        <v>2794</v>
      </c>
      <c r="D37" s="28">
        <f>ROUND(D36*'Transmission Formula Rate (7)'!$B$27,0)</f>
        <v>2239</v>
      </c>
      <c r="E37" s="28">
        <f>ROUND(E36*'Transmission Formula Rate (7)'!$B$27,0)</f>
        <v>2331</v>
      </c>
      <c r="F37" s="28">
        <f>ROUND(F36*'Transmission Formula Rate (7)'!$B$27,0)</f>
        <v>2553</v>
      </c>
      <c r="G37" s="28">
        <f>ROUND(G36*'Transmission Formula Rate (7)'!$B$27,0)</f>
        <v>2812</v>
      </c>
      <c r="H37" s="28">
        <f>ROUND(H36*'Transmission Formula Rate (7)'!$B$27,0)</f>
        <v>2794</v>
      </c>
      <c r="I37" s="28">
        <f>ROUND(I36*'Transmission Formula Rate (7)'!$B$27,0)</f>
        <v>2997</v>
      </c>
      <c r="J37" s="28">
        <f>ROUND(J36*'Transmission Formula Rate (7)'!$B$27,0)</f>
        <v>2831</v>
      </c>
      <c r="K37" s="28">
        <f>ROUND(K36*'Transmission Formula Rate (7)'!$B$27,0)</f>
        <v>2664</v>
      </c>
      <c r="L37" s="28">
        <f>ROUND(L36*'Transmission Formula Rate (7)'!$B$27,0)</f>
        <v>2276</v>
      </c>
      <c r="M37" s="28">
        <f>ROUND(M36*'Transmission Formula Rate (7)'!$B$27,0)</f>
        <v>2553</v>
      </c>
      <c r="N37" s="21">
        <f>SUM(B37:M37)</f>
        <v>32082</v>
      </c>
    </row>
    <row r="38" spans="1:28" s="29" customFormat="1" ht="10.199999999999999">
      <c r="A38" s="27" t="str">
        <f>A20</f>
        <v xml:space="preserve">       Vero Beach Load</v>
      </c>
      <c r="B38" s="28">
        <f t="shared" ref="B38:M38" si="14">B36+B37</f>
        <v>178238</v>
      </c>
      <c r="C38" s="28">
        <f t="shared" si="14"/>
        <v>153794</v>
      </c>
      <c r="D38" s="28">
        <f t="shared" si="14"/>
        <v>123239</v>
      </c>
      <c r="E38" s="28">
        <f t="shared" si="14"/>
        <v>128331</v>
      </c>
      <c r="F38" s="28">
        <f t="shared" si="14"/>
        <v>140553</v>
      </c>
      <c r="G38" s="28">
        <f t="shared" si="14"/>
        <v>154812</v>
      </c>
      <c r="H38" s="28">
        <f t="shared" si="14"/>
        <v>153794</v>
      </c>
      <c r="I38" s="28">
        <f t="shared" si="14"/>
        <v>164997</v>
      </c>
      <c r="J38" s="28">
        <f t="shared" si="14"/>
        <v>155831</v>
      </c>
      <c r="K38" s="28">
        <f t="shared" si="14"/>
        <v>146664</v>
      </c>
      <c r="L38" s="28">
        <f t="shared" si="14"/>
        <v>125276</v>
      </c>
      <c r="M38" s="28">
        <f t="shared" si="14"/>
        <v>140553</v>
      </c>
      <c r="N38" s="21">
        <f>SUM(B38:M38)</f>
        <v>1766082</v>
      </c>
    </row>
    <row r="39" spans="1:28" s="20" customFormat="1" ht="10.199999999999999">
      <c r="A39" s="26" t="s">
        <v>20</v>
      </c>
      <c r="B39" s="30">
        <f>'Transmission Formula Rate (7)'!B10</f>
        <v>1.59</v>
      </c>
      <c r="C39" s="30">
        <f>'Transmission Formula Rate (7)'!C10</f>
        <v>1.59</v>
      </c>
      <c r="D39" s="30">
        <f>'Transmission Formula Rate (7)'!D10</f>
        <v>1.59</v>
      </c>
      <c r="E39" s="30">
        <f>'Transmission Formula Rate (7)'!E10</f>
        <v>1.59</v>
      </c>
      <c r="F39" s="30">
        <f>'Transmission Formula Rate (7)'!F10</f>
        <v>1.59</v>
      </c>
      <c r="G39" s="30">
        <f>'Transmission Formula Rate (7)'!G10</f>
        <v>1.59</v>
      </c>
      <c r="H39" s="30">
        <f>'Transmission Formula Rate (7)'!H10</f>
        <v>1.59</v>
      </c>
      <c r="I39" s="30">
        <f>'Transmission Formula Rate (7)'!I10</f>
        <v>1.59</v>
      </c>
      <c r="J39" s="30">
        <f>'Transmission Formula Rate (7)'!J10</f>
        <v>1.59</v>
      </c>
      <c r="K39" s="30">
        <f>'Transmission Formula Rate (7)'!K10</f>
        <v>1.59</v>
      </c>
      <c r="L39" s="30">
        <f>'Transmission Formula Rate (7)'!L10</f>
        <v>1.59</v>
      </c>
      <c r="M39" s="30">
        <f>'Transmission Formula Rate (7)'!M10</f>
        <v>1.59</v>
      </c>
    </row>
    <row r="40" spans="1:28" s="20" customFormat="1" ht="10.199999999999999">
      <c r="A40" s="26" t="s">
        <v>17</v>
      </c>
      <c r="B40" s="199">
        <f t="shared" ref="B40:M40" si="15">B38*B39</f>
        <v>283398.42000000004</v>
      </c>
      <c r="C40" s="199">
        <f t="shared" si="15"/>
        <v>244532.46000000002</v>
      </c>
      <c r="D40" s="199">
        <f t="shared" si="15"/>
        <v>195950.01</v>
      </c>
      <c r="E40" s="199">
        <f t="shared" si="15"/>
        <v>204046.29</v>
      </c>
      <c r="F40" s="199">
        <f t="shared" si="15"/>
        <v>223479.27000000002</v>
      </c>
      <c r="G40" s="199">
        <f t="shared" si="15"/>
        <v>246151.08000000002</v>
      </c>
      <c r="H40" s="199">
        <f t="shared" si="15"/>
        <v>244532.46000000002</v>
      </c>
      <c r="I40" s="199">
        <f t="shared" si="15"/>
        <v>262345.23000000004</v>
      </c>
      <c r="J40" s="199">
        <f t="shared" si="15"/>
        <v>247771.29</v>
      </c>
      <c r="K40" s="199">
        <f t="shared" si="15"/>
        <v>233195.76</v>
      </c>
      <c r="L40" s="199">
        <f t="shared" si="15"/>
        <v>199188.84</v>
      </c>
      <c r="M40" s="199">
        <f t="shared" si="15"/>
        <v>223479.27000000002</v>
      </c>
      <c r="N40" s="199">
        <f>SUM(B40:M40)</f>
        <v>2808070.3800000004</v>
      </c>
    </row>
    <row r="41" spans="1:28" s="20" customFormat="1" ht="10.199999999999999">
      <c r="A41" s="2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28" s="20" customFormat="1" ht="10.199999999999999">
      <c r="A42" s="26" t="str">
        <f>A17</f>
        <v>TRANSMISSION SERVICE SCHEDULING CHARGE</v>
      </c>
    </row>
    <row r="43" spans="1:28" s="20" customFormat="1" ht="10.199999999999999">
      <c r="A43" s="27" t="s">
        <v>40</v>
      </c>
      <c r="B43" s="28">
        <f>B36</f>
        <v>175000</v>
      </c>
      <c r="C43" s="28">
        <f t="shared" ref="C43:M43" si="16">C36</f>
        <v>151000</v>
      </c>
      <c r="D43" s="28">
        <f t="shared" si="16"/>
        <v>121000</v>
      </c>
      <c r="E43" s="28">
        <f t="shared" si="16"/>
        <v>126000</v>
      </c>
      <c r="F43" s="28">
        <f t="shared" si="16"/>
        <v>138000</v>
      </c>
      <c r="G43" s="28">
        <f t="shared" si="16"/>
        <v>152000</v>
      </c>
      <c r="H43" s="28">
        <f t="shared" si="16"/>
        <v>151000</v>
      </c>
      <c r="I43" s="28">
        <f t="shared" si="16"/>
        <v>162000</v>
      </c>
      <c r="J43" s="28">
        <f t="shared" si="16"/>
        <v>153000</v>
      </c>
      <c r="K43" s="28">
        <f t="shared" si="16"/>
        <v>144000</v>
      </c>
      <c r="L43" s="28">
        <f t="shared" si="16"/>
        <v>123000</v>
      </c>
      <c r="M43" s="28">
        <f t="shared" si="16"/>
        <v>138000</v>
      </c>
      <c r="N43" s="21">
        <f>SUM(B43:M43)</f>
        <v>1734000</v>
      </c>
    </row>
    <row r="44" spans="1:28" s="20" customFormat="1" ht="10.199999999999999">
      <c r="A44" s="27" t="s">
        <v>45</v>
      </c>
      <c r="B44" s="28">
        <f>ROUND(B43*'Transmission Formula Rate (7)'!$B$27,0)</f>
        <v>3238</v>
      </c>
      <c r="C44" s="28">
        <f>ROUND(C43*'Transmission Formula Rate (7)'!$B$27,0)</f>
        <v>2794</v>
      </c>
      <c r="D44" s="28">
        <f>ROUND(D43*'Transmission Formula Rate (7)'!$B$27,0)</f>
        <v>2239</v>
      </c>
      <c r="E44" s="28">
        <f>ROUND(E43*'Transmission Formula Rate (7)'!$B$27,0)</f>
        <v>2331</v>
      </c>
      <c r="F44" s="28">
        <f>ROUND(F43*'Transmission Formula Rate (7)'!$B$27,0)</f>
        <v>2553</v>
      </c>
      <c r="G44" s="28">
        <f>ROUND(G43*'Transmission Formula Rate (7)'!$B$27,0)</f>
        <v>2812</v>
      </c>
      <c r="H44" s="28">
        <f>ROUND(H43*'Transmission Formula Rate (7)'!$B$27,0)</f>
        <v>2794</v>
      </c>
      <c r="I44" s="28">
        <f>ROUND(I43*'Transmission Formula Rate (7)'!$B$27,0)</f>
        <v>2997</v>
      </c>
      <c r="J44" s="28">
        <f>ROUND(J43*'Transmission Formula Rate (7)'!$B$27,0)</f>
        <v>2831</v>
      </c>
      <c r="K44" s="28">
        <f>ROUND(K43*'Transmission Formula Rate (7)'!$B$27,0)</f>
        <v>2664</v>
      </c>
      <c r="L44" s="28">
        <f>ROUND(L43*'Transmission Formula Rate (7)'!$B$27,0)</f>
        <v>2276</v>
      </c>
      <c r="M44" s="28">
        <f>ROUND(M43*'Transmission Formula Rate (7)'!$B$27,0)</f>
        <v>2553</v>
      </c>
      <c r="N44" s="21">
        <f>SUM(B44:M44)</f>
        <v>32082</v>
      </c>
    </row>
    <row r="45" spans="1:28" s="20" customFormat="1" ht="10.199999999999999">
      <c r="A45" s="27" t="str">
        <f>A27</f>
        <v xml:space="preserve">       Vero Beach Load</v>
      </c>
      <c r="B45" s="28">
        <f t="shared" ref="B45:M45" si="17">B43+B44</f>
        <v>178238</v>
      </c>
      <c r="C45" s="28">
        <f t="shared" si="17"/>
        <v>153794</v>
      </c>
      <c r="D45" s="28">
        <f t="shared" si="17"/>
        <v>123239</v>
      </c>
      <c r="E45" s="28">
        <f t="shared" si="17"/>
        <v>128331</v>
      </c>
      <c r="F45" s="28">
        <f t="shared" si="17"/>
        <v>140553</v>
      </c>
      <c r="G45" s="28">
        <f t="shared" si="17"/>
        <v>154812</v>
      </c>
      <c r="H45" s="28">
        <f t="shared" si="17"/>
        <v>153794</v>
      </c>
      <c r="I45" s="28">
        <f t="shared" si="17"/>
        <v>164997</v>
      </c>
      <c r="J45" s="28">
        <f t="shared" si="17"/>
        <v>155831</v>
      </c>
      <c r="K45" s="28">
        <f t="shared" si="17"/>
        <v>146664</v>
      </c>
      <c r="L45" s="28">
        <f t="shared" si="17"/>
        <v>125276</v>
      </c>
      <c r="M45" s="28">
        <f t="shared" si="17"/>
        <v>140553</v>
      </c>
      <c r="N45" s="21">
        <f>SUM(B45:M45)</f>
        <v>1766082</v>
      </c>
    </row>
    <row r="46" spans="1:28" s="20" customFormat="1" ht="10.199999999999999">
      <c r="A46" s="26" t="s">
        <v>20</v>
      </c>
      <c r="B46" s="32">
        <f>'charges (1 &amp; 2)'!D39</f>
        <v>1.274E-2</v>
      </c>
      <c r="C46" s="32">
        <f>B46</f>
        <v>1.274E-2</v>
      </c>
      <c r="D46" s="32">
        <f t="shared" ref="D46:M46" si="18">C46</f>
        <v>1.274E-2</v>
      </c>
      <c r="E46" s="32">
        <f t="shared" si="18"/>
        <v>1.274E-2</v>
      </c>
      <c r="F46" s="32">
        <f t="shared" si="18"/>
        <v>1.274E-2</v>
      </c>
      <c r="G46" s="32">
        <f t="shared" si="18"/>
        <v>1.274E-2</v>
      </c>
      <c r="H46" s="32">
        <f t="shared" si="18"/>
        <v>1.274E-2</v>
      </c>
      <c r="I46" s="32">
        <f t="shared" si="18"/>
        <v>1.274E-2</v>
      </c>
      <c r="J46" s="32">
        <f t="shared" si="18"/>
        <v>1.274E-2</v>
      </c>
      <c r="K46" s="32">
        <f t="shared" si="18"/>
        <v>1.274E-2</v>
      </c>
      <c r="L46" s="32">
        <f t="shared" si="18"/>
        <v>1.274E-2</v>
      </c>
      <c r="M46" s="32">
        <f t="shared" si="18"/>
        <v>1.274E-2</v>
      </c>
    </row>
    <row r="47" spans="1:28" s="20" customFormat="1" ht="10.199999999999999">
      <c r="A47" s="26" t="s">
        <v>17</v>
      </c>
      <c r="B47" s="199">
        <f t="shared" ref="B47:M47" si="19">B45*B46</f>
        <v>2270.7521200000001</v>
      </c>
      <c r="C47" s="199">
        <f t="shared" si="19"/>
        <v>1959.33556</v>
      </c>
      <c r="D47" s="199">
        <f t="shared" si="19"/>
        <v>1570.06486</v>
      </c>
      <c r="E47" s="199">
        <f t="shared" si="19"/>
        <v>1634.93694</v>
      </c>
      <c r="F47" s="199">
        <f t="shared" si="19"/>
        <v>1790.6452199999999</v>
      </c>
      <c r="G47" s="199">
        <f t="shared" si="19"/>
        <v>1972.3048799999999</v>
      </c>
      <c r="H47" s="199">
        <f t="shared" si="19"/>
        <v>1959.33556</v>
      </c>
      <c r="I47" s="199">
        <f t="shared" si="19"/>
        <v>2102.06178</v>
      </c>
      <c r="J47" s="199">
        <f t="shared" si="19"/>
        <v>1985.28694</v>
      </c>
      <c r="K47" s="199">
        <f t="shared" si="19"/>
        <v>1868.49936</v>
      </c>
      <c r="L47" s="199">
        <f t="shared" si="19"/>
        <v>1596.0162399999999</v>
      </c>
      <c r="M47" s="199">
        <f t="shared" si="19"/>
        <v>1790.6452199999999</v>
      </c>
      <c r="N47" s="199">
        <f>SUM(B47:M47)</f>
        <v>22499.884679999999</v>
      </c>
    </row>
    <row r="48" spans="1:28" s="20" customFormat="1" ht="8.25" customHeight="1"/>
    <row r="49" spans="1:14" s="20" customFormat="1" ht="10.199999999999999">
      <c r="A49" s="26" t="s">
        <v>38</v>
      </c>
    </row>
    <row r="50" spans="1:14" s="29" customFormat="1" ht="10.199999999999999">
      <c r="A50" s="27" t="s">
        <v>40</v>
      </c>
      <c r="B50" s="28">
        <f t="shared" ref="B50:M50" si="20">B36</f>
        <v>175000</v>
      </c>
      <c r="C50" s="28">
        <f t="shared" si="20"/>
        <v>151000</v>
      </c>
      <c r="D50" s="28">
        <f t="shared" si="20"/>
        <v>121000</v>
      </c>
      <c r="E50" s="28">
        <f t="shared" si="20"/>
        <v>126000</v>
      </c>
      <c r="F50" s="28">
        <f t="shared" si="20"/>
        <v>138000</v>
      </c>
      <c r="G50" s="28">
        <f t="shared" si="20"/>
        <v>152000</v>
      </c>
      <c r="H50" s="28">
        <f t="shared" si="20"/>
        <v>151000</v>
      </c>
      <c r="I50" s="28">
        <f t="shared" si="20"/>
        <v>162000</v>
      </c>
      <c r="J50" s="28">
        <f t="shared" si="20"/>
        <v>153000</v>
      </c>
      <c r="K50" s="28">
        <f t="shared" si="20"/>
        <v>144000</v>
      </c>
      <c r="L50" s="28">
        <f t="shared" si="20"/>
        <v>123000</v>
      </c>
      <c r="M50" s="28">
        <f t="shared" si="20"/>
        <v>138000</v>
      </c>
      <c r="N50" s="21">
        <f>SUM(B50:M50)</f>
        <v>1734000</v>
      </c>
    </row>
    <row r="51" spans="1:14" s="29" customFormat="1" ht="10.199999999999999">
      <c r="A51" s="27" t="s">
        <v>45</v>
      </c>
      <c r="B51" s="28">
        <f>ROUND(B50*'Transmission Formula Rate (7)'!$B$27,0)</f>
        <v>3238</v>
      </c>
      <c r="C51" s="28">
        <f>ROUND(C50*'Transmission Formula Rate (7)'!$B$27,0)</f>
        <v>2794</v>
      </c>
      <c r="D51" s="28">
        <f>ROUND(D50*'Transmission Formula Rate (7)'!$B$27,0)</f>
        <v>2239</v>
      </c>
      <c r="E51" s="28">
        <f>ROUND(E50*'Transmission Formula Rate (7)'!$B$27,0)</f>
        <v>2331</v>
      </c>
      <c r="F51" s="28">
        <f>ROUND(F50*'Transmission Formula Rate (7)'!$B$27,0)</f>
        <v>2553</v>
      </c>
      <c r="G51" s="28">
        <f>ROUND(G50*'Transmission Formula Rate (7)'!$B$27,0)</f>
        <v>2812</v>
      </c>
      <c r="H51" s="28">
        <f>ROUND(H50*'Transmission Formula Rate (7)'!$B$27,0)</f>
        <v>2794</v>
      </c>
      <c r="I51" s="28">
        <f>ROUND(I50*'Transmission Formula Rate (7)'!$B$27,0)</f>
        <v>2997</v>
      </c>
      <c r="J51" s="28">
        <f>ROUND(J50*'Transmission Formula Rate (7)'!$B$27,0)</f>
        <v>2831</v>
      </c>
      <c r="K51" s="28">
        <f>ROUND(K50*'Transmission Formula Rate (7)'!$B$27,0)</f>
        <v>2664</v>
      </c>
      <c r="L51" s="28">
        <f>ROUND(L50*'Transmission Formula Rate (7)'!$B$27,0)</f>
        <v>2276</v>
      </c>
      <c r="M51" s="28">
        <f>ROUND(M50*'Transmission Formula Rate (7)'!$B$27,0)</f>
        <v>2553</v>
      </c>
      <c r="N51" s="21">
        <f>SUM(B51:M51)</f>
        <v>32082</v>
      </c>
    </row>
    <row r="52" spans="1:14" s="29" customFormat="1" ht="10.199999999999999">
      <c r="A52" s="27" t="str">
        <f>A38</f>
        <v xml:space="preserve">       Vero Beach Load</v>
      </c>
      <c r="B52" s="28">
        <f t="shared" ref="B52:M52" si="21">B50+B51</f>
        <v>178238</v>
      </c>
      <c r="C52" s="28">
        <f t="shared" si="21"/>
        <v>153794</v>
      </c>
      <c r="D52" s="28">
        <f t="shared" si="21"/>
        <v>123239</v>
      </c>
      <c r="E52" s="28">
        <f t="shared" si="21"/>
        <v>128331</v>
      </c>
      <c r="F52" s="28">
        <f t="shared" si="21"/>
        <v>140553</v>
      </c>
      <c r="G52" s="28">
        <f t="shared" si="21"/>
        <v>154812</v>
      </c>
      <c r="H52" s="28">
        <f t="shared" si="21"/>
        <v>153794</v>
      </c>
      <c r="I52" s="28">
        <f t="shared" si="21"/>
        <v>164997</v>
      </c>
      <c r="J52" s="28">
        <f t="shared" si="21"/>
        <v>155831</v>
      </c>
      <c r="K52" s="28">
        <f t="shared" si="21"/>
        <v>146664</v>
      </c>
      <c r="L52" s="28">
        <f t="shared" si="21"/>
        <v>125276</v>
      </c>
      <c r="M52" s="28">
        <f t="shared" si="21"/>
        <v>140553</v>
      </c>
      <c r="N52" s="21">
        <f>SUM(B52:M52)</f>
        <v>1766082</v>
      </c>
    </row>
    <row r="53" spans="1:14" s="20" customFormat="1" ht="10.199999999999999">
      <c r="A53" s="26" t="s">
        <v>20</v>
      </c>
      <c r="B53" s="32">
        <f>'charges (1 &amp; 2)'!$D$38</f>
        <v>0.1008</v>
      </c>
      <c r="C53" s="32">
        <f>B53</f>
        <v>0.1008</v>
      </c>
      <c r="D53" s="32">
        <f t="shared" ref="D53:M53" si="22">C53</f>
        <v>0.1008</v>
      </c>
      <c r="E53" s="32">
        <f t="shared" si="22"/>
        <v>0.1008</v>
      </c>
      <c r="F53" s="32">
        <f t="shared" si="22"/>
        <v>0.1008</v>
      </c>
      <c r="G53" s="32">
        <f t="shared" si="22"/>
        <v>0.1008</v>
      </c>
      <c r="H53" s="32">
        <f t="shared" si="22"/>
        <v>0.1008</v>
      </c>
      <c r="I53" s="32">
        <f t="shared" si="22"/>
        <v>0.1008</v>
      </c>
      <c r="J53" s="32">
        <f t="shared" si="22"/>
        <v>0.1008</v>
      </c>
      <c r="K53" s="32">
        <f t="shared" si="22"/>
        <v>0.1008</v>
      </c>
      <c r="L53" s="32">
        <f t="shared" si="22"/>
        <v>0.1008</v>
      </c>
      <c r="M53" s="32">
        <f t="shared" si="22"/>
        <v>0.1008</v>
      </c>
    </row>
    <row r="54" spans="1:14" s="20" customFormat="1" ht="10.199999999999999">
      <c r="A54" s="26" t="s">
        <v>17</v>
      </c>
      <c r="B54" s="199">
        <f t="shared" ref="B54:M54" si="23">B52*B53</f>
        <v>17966.3904</v>
      </c>
      <c r="C54" s="199">
        <f t="shared" si="23"/>
        <v>15502.4352</v>
      </c>
      <c r="D54" s="199">
        <f t="shared" si="23"/>
        <v>12422.4912</v>
      </c>
      <c r="E54" s="199">
        <f t="shared" si="23"/>
        <v>12935.764800000001</v>
      </c>
      <c r="F54" s="199">
        <f t="shared" si="23"/>
        <v>14167.742400000001</v>
      </c>
      <c r="G54" s="199">
        <f t="shared" si="23"/>
        <v>15605.0496</v>
      </c>
      <c r="H54" s="199">
        <f t="shared" si="23"/>
        <v>15502.4352</v>
      </c>
      <c r="I54" s="199">
        <f t="shared" si="23"/>
        <v>16631.6976</v>
      </c>
      <c r="J54" s="199">
        <f t="shared" si="23"/>
        <v>15707.764800000001</v>
      </c>
      <c r="K54" s="199">
        <f t="shared" si="23"/>
        <v>14783.7312</v>
      </c>
      <c r="L54" s="199">
        <f t="shared" si="23"/>
        <v>12627.8208</v>
      </c>
      <c r="M54" s="199">
        <f t="shared" si="23"/>
        <v>14167.742400000001</v>
      </c>
      <c r="N54" s="199">
        <f>SUM(B54:M54)</f>
        <v>178021.06559999997</v>
      </c>
    </row>
    <row r="55" spans="1:14" s="20" customFormat="1" ht="10.199999999999999">
      <c r="A55" s="26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</row>
    <row r="56" spans="1:14" s="20" customFormat="1" ht="10.199999999999999">
      <c r="A56" s="26" t="s">
        <v>25</v>
      </c>
      <c r="B56" s="198">
        <f>B40+B54+B47</f>
        <v>303635.56252000004</v>
      </c>
      <c r="C56" s="198">
        <f t="shared" ref="C56:M56" si="24">C40+C54+C47</f>
        <v>261994.23076000003</v>
      </c>
      <c r="D56" s="198">
        <f t="shared" si="24"/>
        <v>209942.56606000001</v>
      </c>
      <c r="E56" s="198">
        <f t="shared" si="24"/>
        <v>218616.99174000003</v>
      </c>
      <c r="F56" s="198">
        <f t="shared" si="24"/>
        <v>239437.65762000001</v>
      </c>
      <c r="G56" s="198">
        <f t="shared" si="24"/>
        <v>263728.43448</v>
      </c>
      <c r="H56" s="198">
        <f t="shared" si="24"/>
        <v>261994.23076000003</v>
      </c>
      <c r="I56" s="198">
        <f t="shared" si="24"/>
        <v>281078.98938000004</v>
      </c>
      <c r="J56" s="198">
        <f t="shared" si="24"/>
        <v>265464.34174</v>
      </c>
      <c r="K56" s="198">
        <f t="shared" si="24"/>
        <v>249847.99056000001</v>
      </c>
      <c r="L56" s="198">
        <f t="shared" si="24"/>
        <v>213412.67703999998</v>
      </c>
      <c r="M56" s="198">
        <f t="shared" si="24"/>
        <v>239437.65762000001</v>
      </c>
      <c r="N56" s="198">
        <f>SUM(B56:M56)</f>
        <v>3008591.3302800003</v>
      </c>
    </row>
    <row r="57" spans="1:14" s="20" customFormat="1" ht="10.199999999999999">
      <c r="A57" s="26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4" s="20" customFormat="1" ht="10.199999999999999">
      <c r="A58" s="25">
        <f>+A33+1</f>
        <v>2016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s="20" customFormat="1" ht="10.199999999999999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s="20" customFormat="1" ht="10.199999999999999">
      <c r="A60" s="26" t="s">
        <v>37</v>
      </c>
    </row>
    <row r="61" spans="1:14" s="29" customFormat="1" ht="10.199999999999999">
      <c r="A61" s="27" t="s">
        <v>40</v>
      </c>
      <c r="B61" s="365">
        <f>[13]VERO_CP!B6*1000</f>
        <v>177000</v>
      </c>
      <c r="C61" s="365">
        <f>[13]VERO_CP!C6*1000</f>
        <v>154000</v>
      </c>
      <c r="D61" s="365">
        <f>[13]VERO_CP!D6*1000</f>
        <v>123000</v>
      </c>
      <c r="E61" s="365">
        <f>[13]VERO_CP!E6*1000</f>
        <v>127000</v>
      </c>
      <c r="F61" s="365">
        <f>[13]VERO_CP!F6*1000</f>
        <v>140000</v>
      </c>
      <c r="G61" s="365">
        <f>[13]VERO_CP!G6*1000</f>
        <v>154000</v>
      </c>
      <c r="H61" s="365">
        <f>[13]VERO_CP!H6*1000</f>
        <v>152000</v>
      </c>
      <c r="I61" s="365">
        <f>[13]VERO_CP!I6*1000</f>
        <v>164000</v>
      </c>
      <c r="J61" s="365">
        <f>[13]VERO_CP!J6*1000</f>
        <v>154000</v>
      </c>
      <c r="K61" s="365">
        <f>[13]VERO_CP!K6*1000</f>
        <v>145000</v>
      </c>
      <c r="L61" s="365">
        <f>[13]VERO_CP!L6*1000</f>
        <v>124000</v>
      </c>
      <c r="M61" s="365">
        <f>[13]VERO_CP!M6*1000</f>
        <v>139000</v>
      </c>
      <c r="N61" s="21">
        <f>SUM(B61:M61)</f>
        <v>1753000</v>
      </c>
    </row>
    <row r="62" spans="1:14" s="29" customFormat="1" ht="10.199999999999999">
      <c r="A62" s="27" t="s">
        <v>45</v>
      </c>
      <c r="B62" s="28">
        <f>ROUND(B61*'Transmission Formula Rate (7)'!$B$27,0)</f>
        <v>3275</v>
      </c>
      <c r="C62" s="28">
        <f>ROUND(C61*'Transmission Formula Rate (7)'!$B$27,0)</f>
        <v>2849</v>
      </c>
      <c r="D62" s="28">
        <f>ROUND(D61*'Transmission Formula Rate (7)'!$B$27,0)</f>
        <v>2276</v>
      </c>
      <c r="E62" s="28">
        <f>ROUND(E61*'Transmission Formula Rate (7)'!$B$27,0)</f>
        <v>2350</v>
      </c>
      <c r="F62" s="28">
        <f>ROUND(F61*'Transmission Formula Rate (7)'!$B$27,0)</f>
        <v>2590</v>
      </c>
      <c r="G62" s="28">
        <f>ROUND(G61*'Transmission Formula Rate (7)'!$B$27,0)</f>
        <v>2849</v>
      </c>
      <c r="H62" s="28">
        <f>ROUND(H61*'Transmission Formula Rate (7)'!$B$27,0)</f>
        <v>2812</v>
      </c>
      <c r="I62" s="28">
        <f>ROUND(I61*'Transmission Formula Rate (7)'!$B$27,0)</f>
        <v>3034</v>
      </c>
      <c r="J62" s="28">
        <f>ROUND(J61*'Transmission Formula Rate (7)'!$B$27,0)</f>
        <v>2849</v>
      </c>
      <c r="K62" s="28">
        <f>ROUND(K61*'Transmission Formula Rate (7)'!$B$27,0)</f>
        <v>2683</v>
      </c>
      <c r="L62" s="28">
        <f>ROUND(L61*'Transmission Formula Rate (7)'!$B$27,0)</f>
        <v>2294</v>
      </c>
      <c r="M62" s="28">
        <f>ROUND(M61*'Transmission Formula Rate (7)'!$B$27,0)</f>
        <v>2572</v>
      </c>
      <c r="N62" s="21">
        <f>SUM(B62:M62)</f>
        <v>32433</v>
      </c>
    </row>
    <row r="63" spans="1:14" s="29" customFormat="1" ht="10.199999999999999">
      <c r="A63" s="27" t="str">
        <f>A52</f>
        <v xml:space="preserve">       Vero Beach Load</v>
      </c>
      <c r="B63" s="28">
        <f t="shared" ref="B63:M63" si="25">B61+B62</f>
        <v>180275</v>
      </c>
      <c r="C63" s="28">
        <f t="shared" si="25"/>
        <v>156849</v>
      </c>
      <c r="D63" s="28">
        <f t="shared" si="25"/>
        <v>125276</v>
      </c>
      <c r="E63" s="28">
        <f t="shared" si="25"/>
        <v>129350</v>
      </c>
      <c r="F63" s="28">
        <f t="shared" si="25"/>
        <v>142590</v>
      </c>
      <c r="G63" s="28">
        <f t="shared" si="25"/>
        <v>156849</v>
      </c>
      <c r="H63" s="28">
        <f t="shared" si="25"/>
        <v>154812</v>
      </c>
      <c r="I63" s="28">
        <f t="shared" si="25"/>
        <v>167034</v>
      </c>
      <c r="J63" s="28">
        <f t="shared" si="25"/>
        <v>156849</v>
      </c>
      <c r="K63" s="28">
        <f t="shared" si="25"/>
        <v>147683</v>
      </c>
      <c r="L63" s="28">
        <f t="shared" si="25"/>
        <v>126294</v>
      </c>
      <c r="M63" s="28">
        <f t="shared" si="25"/>
        <v>141572</v>
      </c>
      <c r="N63" s="21">
        <f>SUM(B63:M63)</f>
        <v>1785433</v>
      </c>
    </row>
    <row r="64" spans="1:14" s="20" customFormat="1" ht="10.199999999999999">
      <c r="A64" s="26" t="s">
        <v>20</v>
      </c>
      <c r="B64" s="30">
        <f>'Transmission Formula Rate (7)'!B12</f>
        <v>1.59</v>
      </c>
      <c r="C64" s="30">
        <f>'Transmission Formula Rate (7)'!C12</f>
        <v>1.59</v>
      </c>
      <c r="D64" s="30">
        <f>'Transmission Formula Rate (7)'!D12</f>
        <v>1.59</v>
      </c>
      <c r="E64" s="30">
        <f>'Transmission Formula Rate (7)'!E12</f>
        <v>1.59</v>
      </c>
      <c r="F64" s="30">
        <f>'Transmission Formula Rate (7)'!F12</f>
        <v>1.59</v>
      </c>
      <c r="G64" s="30">
        <f>'Transmission Formula Rate (7)'!G12</f>
        <v>1.59</v>
      </c>
      <c r="H64" s="30">
        <f>'Transmission Formula Rate (7)'!H12</f>
        <v>1.59</v>
      </c>
      <c r="I64" s="30">
        <f>'Transmission Formula Rate (7)'!I12</f>
        <v>1.59</v>
      </c>
      <c r="J64" s="30">
        <f>'Transmission Formula Rate (7)'!J12</f>
        <v>1.59</v>
      </c>
      <c r="K64" s="30">
        <f>'Transmission Formula Rate (7)'!K12</f>
        <v>1.59</v>
      </c>
      <c r="L64" s="30">
        <f>'Transmission Formula Rate (7)'!L12</f>
        <v>1.59</v>
      </c>
      <c r="M64" s="30">
        <f>'Transmission Formula Rate (7)'!M12</f>
        <v>1.59</v>
      </c>
    </row>
    <row r="65" spans="1:14" s="20" customFormat="1" ht="10.199999999999999">
      <c r="A65" s="26" t="s">
        <v>17</v>
      </c>
      <c r="B65" s="199">
        <f t="shared" ref="B65:M65" si="26">B63*B64</f>
        <v>286637.25</v>
      </c>
      <c r="C65" s="199">
        <f t="shared" si="26"/>
        <v>249389.91</v>
      </c>
      <c r="D65" s="199">
        <f t="shared" si="26"/>
        <v>199188.84</v>
      </c>
      <c r="E65" s="199">
        <f t="shared" si="26"/>
        <v>205666.5</v>
      </c>
      <c r="F65" s="199">
        <f t="shared" si="26"/>
        <v>226718.1</v>
      </c>
      <c r="G65" s="199">
        <f t="shared" si="26"/>
        <v>249389.91</v>
      </c>
      <c r="H65" s="199">
        <f t="shared" si="26"/>
        <v>246151.08000000002</v>
      </c>
      <c r="I65" s="199">
        <f t="shared" si="26"/>
        <v>265584.06</v>
      </c>
      <c r="J65" s="199">
        <f t="shared" si="26"/>
        <v>249389.91</v>
      </c>
      <c r="K65" s="199">
        <f t="shared" si="26"/>
        <v>234815.97</v>
      </c>
      <c r="L65" s="199">
        <f t="shared" si="26"/>
        <v>200807.46000000002</v>
      </c>
      <c r="M65" s="199">
        <f t="shared" si="26"/>
        <v>225099.48</v>
      </c>
      <c r="N65" s="199">
        <f>SUM(B65:M65)</f>
        <v>2838838.47</v>
      </c>
    </row>
    <row r="66" spans="1:14" s="20" customFormat="1" ht="10.199999999999999"/>
    <row r="67" spans="1:14" s="20" customFormat="1" ht="10.199999999999999">
      <c r="A67" s="26" t="str">
        <f>A42</f>
        <v>TRANSMISSION SERVICE SCHEDULING CHARGE</v>
      </c>
    </row>
    <row r="68" spans="1:14" s="20" customFormat="1" ht="10.199999999999999">
      <c r="A68" s="27" t="s">
        <v>40</v>
      </c>
      <c r="B68" s="365">
        <f>B61</f>
        <v>177000</v>
      </c>
      <c r="C68" s="365">
        <f t="shared" ref="C68:M68" si="27">C61</f>
        <v>154000</v>
      </c>
      <c r="D68" s="365">
        <f t="shared" si="27"/>
        <v>123000</v>
      </c>
      <c r="E68" s="365">
        <f t="shared" si="27"/>
        <v>127000</v>
      </c>
      <c r="F68" s="365">
        <f t="shared" si="27"/>
        <v>140000</v>
      </c>
      <c r="G68" s="365">
        <f t="shared" si="27"/>
        <v>154000</v>
      </c>
      <c r="H68" s="365">
        <f t="shared" si="27"/>
        <v>152000</v>
      </c>
      <c r="I68" s="365">
        <f t="shared" si="27"/>
        <v>164000</v>
      </c>
      <c r="J68" s="365">
        <f t="shared" si="27"/>
        <v>154000</v>
      </c>
      <c r="K68" s="365">
        <f t="shared" si="27"/>
        <v>145000</v>
      </c>
      <c r="L68" s="365">
        <f t="shared" si="27"/>
        <v>124000</v>
      </c>
      <c r="M68" s="365">
        <f t="shared" si="27"/>
        <v>139000</v>
      </c>
      <c r="N68" s="21">
        <f>SUM(B68:M68)</f>
        <v>1753000</v>
      </c>
    </row>
    <row r="69" spans="1:14" s="20" customFormat="1" ht="10.199999999999999">
      <c r="A69" s="27" t="s">
        <v>45</v>
      </c>
      <c r="B69" s="28">
        <f>ROUND(B68*'Transmission Formula Rate (7)'!$B$27,0)</f>
        <v>3275</v>
      </c>
      <c r="C69" s="28">
        <f>ROUND(C68*'Transmission Formula Rate (7)'!$B$27,0)</f>
        <v>2849</v>
      </c>
      <c r="D69" s="28">
        <f>ROUND(D68*'Transmission Formula Rate (7)'!$B$27,0)</f>
        <v>2276</v>
      </c>
      <c r="E69" s="28">
        <f>ROUND(E68*'Transmission Formula Rate (7)'!$B$27,0)</f>
        <v>2350</v>
      </c>
      <c r="F69" s="28">
        <f>ROUND(F68*'Transmission Formula Rate (7)'!$B$27,0)</f>
        <v>2590</v>
      </c>
      <c r="G69" s="28">
        <f>ROUND(G68*'Transmission Formula Rate (7)'!$B$27,0)</f>
        <v>2849</v>
      </c>
      <c r="H69" s="28">
        <f>ROUND(H68*'Transmission Formula Rate (7)'!$B$27,0)</f>
        <v>2812</v>
      </c>
      <c r="I69" s="28">
        <f>ROUND(I68*'Transmission Formula Rate (7)'!$B$27,0)</f>
        <v>3034</v>
      </c>
      <c r="J69" s="28">
        <f>ROUND(J68*'Transmission Formula Rate (7)'!$B$27,0)</f>
        <v>2849</v>
      </c>
      <c r="K69" s="28">
        <f>ROUND(K68*'Transmission Formula Rate (7)'!$B$27,0)</f>
        <v>2683</v>
      </c>
      <c r="L69" s="28">
        <f>ROUND(L68*'Transmission Formula Rate (7)'!$B$27,0)</f>
        <v>2294</v>
      </c>
      <c r="M69" s="28">
        <f>ROUND(M68*'Transmission Formula Rate (7)'!$B$27,0)</f>
        <v>2572</v>
      </c>
      <c r="N69" s="21">
        <f>SUM(B69:M69)</f>
        <v>32433</v>
      </c>
    </row>
    <row r="70" spans="1:14" s="20" customFormat="1" ht="10.199999999999999">
      <c r="A70" s="27" t="str">
        <f>A63</f>
        <v xml:space="preserve">       Vero Beach Load</v>
      </c>
      <c r="B70" s="28">
        <f t="shared" ref="B70:M70" si="28">B68+B69</f>
        <v>180275</v>
      </c>
      <c r="C70" s="28">
        <f t="shared" si="28"/>
        <v>156849</v>
      </c>
      <c r="D70" s="28">
        <f t="shared" si="28"/>
        <v>125276</v>
      </c>
      <c r="E70" s="28">
        <f t="shared" si="28"/>
        <v>129350</v>
      </c>
      <c r="F70" s="28">
        <f t="shared" si="28"/>
        <v>142590</v>
      </c>
      <c r="G70" s="28">
        <f t="shared" si="28"/>
        <v>156849</v>
      </c>
      <c r="H70" s="28">
        <f t="shared" si="28"/>
        <v>154812</v>
      </c>
      <c r="I70" s="28">
        <f t="shared" si="28"/>
        <v>167034</v>
      </c>
      <c r="J70" s="28">
        <f t="shared" si="28"/>
        <v>156849</v>
      </c>
      <c r="K70" s="28">
        <f t="shared" si="28"/>
        <v>147683</v>
      </c>
      <c r="L70" s="28">
        <f t="shared" si="28"/>
        <v>126294</v>
      </c>
      <c r="M70" s="28">
        <f t="shared" si="28"/>
        <v>141572</v>
      </c>
      <c r="N70" s="21">
        <f>SUM(B70:M70)</f>
        <v>1785433</v>
      </c>
    </row>
    <row r="71" spans="1:14" s="20" customFormat="1" ht="10.199999999999999">
      <c r="A71" s="26" t="s">
        <v>20</v>
      </c>
      <c r="B71" s="32">
        <f>'charges (1 &amp; 2)'!E39</f>
        <v>1.274E-2</v>
      </c>
      <c r="C71" s="32">
        <f>B71</f>
        <v>1.274E-2</v>
      </c>
      <c r="D71" s="32">
        <f t="shared" ref="D71:M71" si="29">C71</f>
        <v>1.274E-2</v>
      </c>
      <c r="E71" s="32">
        <f t="shared" si="29"/>
        <v>1.274E-2</v>
      </c>
      <c r="F71" s="32">
        <f t="shared" si="29"/>
        <v>1.274E-2</v>
      </c>
      <c r="G71" s="32">
        <f t="shared" si="29"/>
        <v>1.274E-2</v>
      </c>
      <c r="H71" s="32">
        <f t="shared" si="29"/>
        <v>1.274E-2</v>
      </c>
      <c r="I71" s="32">
        <f t="shared" si="29"/>
        <v>1.274E-2</v>
      </c>
      <c r="J71" s="32">
        <f t="shared" si="29"/>
        <v>1.274E-2</v>
      </c>
      <c r="K71" s="32">
        <f t="shared" si="29"/>
        <v>1.274E-2</v>
      </c>
      <c r="L71" s="32">
        <f t="shared" si="29"/>
        <v>1.274E-2</v>
      </c>
      <c r="M71" s="32">
        <f t="shared" si="29"/>
        <v>1.274E-2</v>
      </c>
    </row>
    <row r="72" spans="1:14" s="20" customFormat="1" ht="10.199999999999999">
      <c r="A72" s="26" t="s">
        <v>17</v>
      </c>
      <c r="B72" s="199">
        <f t="shared" ref="B72:M72" si="30">B70*B71</f>
        <v>2296.7035000000001</v>
      </c>
      <c r="C72" s="199">
        <f t="shared" si="30"/>
        <v>1998.2562599999999</v>
      </c>
      <c r="D72" s="199">
        <f t="shared" si="30"/>
        <v>1596.0162399999999</v>
      </c>
      <c r="E72" s="199">
        <f t="shared" si="30"/>
        <v>1647.9189999999999</v>
      </c>
      <c r="F72" s="199">
        <f t="shared" si="30"/>
        <v>1816.5965999999999</v>
      </c>
      <c r="G72" s="199">
        <f t="shared" si="30"/>
        <v>1998.2562599999999</v>
      </c>
      <c r="H72" s="199">
        <f t="shared" si="30"/>
        <v>1972.3048799999999</v>
      </c>
      <c r="I72" s="199">
        <f t="shared" si="30"/>
        <v>2128.01316</v>
      </c>
      <c r="J72" s="199">
        <f t="shared" si="30"/>
        <v>1998.2562599999999</v>
      </c>
      <c r="K72" s="199">
        <f t="shared" si="30"/>
        <v>1881.4814199999998</v>
      </c>
      <c r="L72" s="199">
        <f t="shared" si="30"/>
        <v>1608.9855599999999</v>
      </c>
      <c r="M72" s="199">
        <f t="shared" si="30"/>
        <v>1803.6272799999999</v>
      </c>
      <c r="N72" s="199">
        <f>SUM(B72:M72)</f>
        <v>22746.416420000001</v>
      </c>
    </row>
    <row r="73" spans="1:14" s="20" customFormat="1" ht="10.199999999999999"/>
    <row r="74" spans="1:14" s="20" customFormat="1" ht="10.199999999999999">
      <c r="A74" s="26" t="s">
        <v>38</v>
      </c>
    </row>
    <row r="75" spans="1:14" s="29" customFormat="1" ht="10.199999999999999">
      <c r="A75" s="27" t="s">
        <v>40</v>
      </c>
      <c r="B75" s="365">
        <f>B68</f>
        <v>177000</v>
      </c>
      <c r="C75" s="365">
        <f t="shared" ref="C75:M75" si="31">C68</f>
        <v>154000</v>
      </c>
      <c r="D75" s="365">
        <f t="shared" si="31"/>
        <v>123000</v>
      </c>
      <c r="E75" s="365">
        <f t="shared" si="31"/>
        <v>127000</v>
      </c>
      <c r="F75" s="365">
        <f t="shared" si="31"/>
        <v>140000</v>
      </c>
      <c r="G75" s="365">
        <f t="shared" si="31"/>
        <v>154000</v>
      </c>
      <c r="H75" s="365">
        <f t="shared" si="31"/>
        <v>152000</v>
      </c>
      <c r="I75" s="365">
        <f t="shared" si="31"/>
        <v>164000</v>
      </c>
      <c r="J75" s="365">
        <f t="shared" si="31"/>
        <v>154000</v>
      </c>
      <c r="K75" s="365">
        <f t="shared" si="31"/>
        <v>145000</v>
      </c>
      <c r="L75" s="365">
        <f t="shared" si="31"/>
        <v>124000</v>
      </c>
      <c r="M75" s="365">
        <f t="shared" si="31"/>
        <v>139000</v>
      </c>
      <c r="N75" s="21">
        <f>SUM(B75:M75)</f>
        <v>1753000</v>
      </c>
    </row>
    <row r="76" spans="1:14" s="29" customFormat="1" ht="10.199999999999999">
      <c r="A76" s="27" t="s">
        <v>45</v>
      </c>
      <c r="B76" s="28">
        <f>ROUND(B75*'Transmission Formula Rate (7)'!$B$27,0)</f>
        <v>3275</v>
      </c>
      <c r="C76" s="28">
        <f>ROUND(C75*'Transmission Formula Rate (7)'!$B$27,0)</f>
        <v>2849</v>
      </c>
      <c r="D76" s="28">
        <f>ROUND(D75*'Transmission Formula Rate (7)'!$B$27,0)</f>
        <v>2276</v>
      </c>
      <c r="E76" s="28">
        <f>ROUND(E75*'Transmission Formula Rate (7)'!$B$27,0)</f>
        <v>2350</v>
      </c>
      <c r="F76" s="28">
        <f>ROUND(F75*'Transmission Formula Rate (7)'!$B$27,0)</f>
        <v>2590</v>
      </c>
      <c r="G76" s="28">
        <f>ROUND(G75*'Transmission Formula Rate (7)'!$B$27,0)</f>
        <v>2849</v>
      </c>
      <c r="H76" s="28">
        <f>ROUND(H75*'Transmission Formula Rate (7)'!$B$27,0)</f>
        <v>2812</v>
      </c>
      <c r="I76" s="28">
        <f>ROUND(I75*'Transmission Formula Rate (7)'!$B$27,0)</f>
        <v>3034</v>
      </c>
      <c r="J76" s="28">
        <f>ROUND(J75*'Transmission Formula Rate (7)'!$B$27,0)</f>
        <v>2849</v>
      </c>
      <c r="K76" s="28">
        <f>ROUND(K75*'Transmission Formula Rate (7)'!$B$27,0)</f>
        <v>2683</v>
      </c>
      <c r="L76" s="28">
        <f>ROUND(L75*'Transmission Formula Rate (7)'!$B$27,0)</f>
        <v>2294</v>
      </c>
      <c r="M76" s="28">
        <f>ROUND(M75*'Transmission Formula Rate (7)'!$B$27,0)</f>
        <v>2572</v>
      </c>
      <c r="N76" s="21">
        <f>SUM(B76:M76)</f>
        <v>32433</v>
      </c>
    </row>
    <row r="77" spans="1:14" s="29" customFormat="1" ht="10.199999999999999">
      <c r="A77" s="27" t="str">
        <f>A63</f>
        <v xml:space="preserve">       Vero Beach Load</v>
      </c>
      <c r="B77" s="28">
        <f t="shared" ref="B77:M77" si="32">B75+B76</f>
        <v>180275</v>
      </c>
      <c r="C77" s="28">
        <f t="shared" si="32"/>
        <v>156849</v>
      </c>
      <c r="D77" s="28">
        <f t="shared" si="32"/>
        <v>125276</v>
      </c>
      <c r="E77" s="28">
        <f t="shared" si="32"/>
        <v>129350</v>
      </c>
      <c r="F77" s="28">
        <f t="shared" si="32"/>
        <v>142590</v>
      </c>
      <c r="G77" s="28">
        <f t="shared" si="32"/>
        <v>156849</v>
      </c>
      <c r="H77" s="28">
        <f t="shared" si="32"/>
        <v>154812</v>
      </c>
      <c r="I77" s="28">
        <f t="shared" si="32"/>
        <v>167034</v>
      </c>
      <c r="J77" s="28">
        <f t="shared" si="32"/>
        <v>156849</v>
      </c>
      <c r="K77" s="28">
        <f t="shared" si="32"/>
        <v>147683</v>
      </c>
      <c r="L77" s="28">
        <f t="shared" si="32"/>
        <v>126294</v>
      </c>
      <c r="M77" s="28">
        <f t="shared" si="32"/>
        <v>141572</v>
      </c>
      <c r="N77" s="21">
        <f>SUM(B77:M77)</f>
        <v>1785433</v>
      </c>
    </row>
    <row r="78" spans="1:14" s="20" customFormat="1" ht="10.199999999999999">
      <c r="A78" s="26" t="s">
        <v>20</v>
      </c>
      <c r="B78" s="32">
        <f>'charges (1 &amp; 2)'!$E$38</f>
        <v>0.1008</v>
      </c>
      <c r="C78" s="32">
        <f>B78</f>
        <v>0.1008</v>
      </c>
      <c r="D78" s="32">
        <f t="shared" ref="D78:M78" si="33">C78</f>
        <v>0.1008</v>
      </c>
      <c r="E78" s="32">
        <f t="shared" si="33"/>
        <v>0.1008</v>
      </c>
      <c r="F78" s="32">
        <f t="shared" si="33"/>
        <v>0.1008</v>
      </c>
      <c r="G78" s="32">
        <f t="shared" si="33"/>
        <v>0.1008</v>
      </c>
      <c r="H78" s="32">
        <f t="shared" si="33"/>
        <v>0.1008</v>
      </c>
      <c r="I78" s="32">
        <f t="shared" si="33"/>
        <v>0.1008</v>
      </c>
      <c r="J78" s="32">
        <f t="shared" si="33"/>
        <v>0.1008</v>
      </c>
      <c r="K78" s="32">
        <f t="shared" si="33"/>
        <v>0.1008</v>
      </c>
      <c r="L78" s="32">
        <f t="shared" si="33"/>
        <v>0.1008</v>
      </c>
      <c r="M78" s="32">
        <f t="shared" si="33"/>
        <v>0.1008</v>
      </c>
    </row>
    <row r="79" spans="1:14" s="20" customFormat="1" ht="10.199999999999999">
      <c r="A79" s="26" t="s">
        <v>17</v>
      </c>
      <c r="B79" s="199">
        <f t="shared" ref="B79:M79" si="34">B77*B78</f>
        <v>18171.72</v>
      </c>
      <c r="C79" s="199">
        <f t="shared" si="34"/>
        <v>15810.379199999999</v>
      </c>
      <c r="D79" s="199">
        <f t="shared" si="34"/>
        <v>12627.8208</v>
      </c>
      <c r="E79" s="199">
        <f t="shared" si="34"/>
        <v>13038.48</v>
      </c>
      <c r="F79" s="199">
        <f t="shared" si="34"/>
        <v>14373.072</v>
      </c>
      <c r="G79" s="199">
        <f t="shared" si="34"/>
        <v>15810.379199999999</v>
      </c>
      <c r="H79" s="199">
        <f t="shared" si="34"/>
        <v>15605.0496</v>
      </c>
      <c r="I79" s="199">
        <f t="shared" si="34"/>
        <v>16837.0272</v>
      </c>
      <c r="J79" s="199">
        <f t="shared" si="34"/>
        <v>15810.379199999999</v>
      </c>
      <c r="K79" s="199">
        <f t="shared" si="34"/>
        <v>14886.446400000001</v>
      </c>
      <c r="L79" s="199">
        <f t="shared" si="34"/>
        <v>12730.4352</v>
      </c>
      <c r="M79" s="199">
        <f t="shared" si="34"/>
        <v>14270.4576</v>
      </c>
      <c r="N79" s="199">
        <f>SUM(B79:M79)</f>
        <v>179971.6464</v>
      </c>
    </row>
    <row r="80" spans="1:14" s="20" customFormat="1" ht="10.199999999999999">
      <c r="A80" s="26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200"/>
    </row>
    <row r="81" spans="1:14" s="20" customFormat="1" ht="10.199999999999999">
      <c r="A81" s="26" t="s">
        <v>25</v>
      </c>
      <c r="B81" s="198">
        <f>B65+B79+B72</f>
        <v>307105.67349999998</v>
      </c>
      <c r="C81" s="198">
        <f t="shared" ref="C81:L81" si="35">C65+C79+C72</f>
        <v>267198.54545999999</v>
      </c>
      <c r="D81" s="198">
        <f t="shared" si="35"/>
        <v>213412.67703999998</v>
      </c>
      <c r="E81" s="198">
        <f t="shared" si="35"/>
        <v>220352.899</v>
      </c>
      <c r="F81" s="198">
        <f t="shared" si="35"/>
        <v>242907.76860000001</v>
      </c>
      <c r="G81" s="198">
        <f t="shared" si="35"/>
        <v>267198.54545999999</v>
      </c>
      <c r="H81" s="198">
        <f t="shared" si="35"/>
        <v>263728.43448</v>
      </c>
      <c r="I81" s="198">
        <f t="shared" si="35"/>
        <v>284549.10035999998</v>
      </c>
      <c r="J81" s="198">
        <f t="shared" si="35"/>
        <v>267198.54545999999</v>
      </c>
      <c r="K81" s="198">
        <f t="shared" si="35"/>
        <v>251583.89781999998</v>
      </c>
      <c r="L81" s="198">
        <f t="shared" si="35"/>
        <v>215146.88076000003</v>
      </c>
      <c r="M81" s="198">
        <f>M65+M79+M72</f>
        <v>241173.56487999999</v>
      </c>
      <c r="N81" s="198">
        <f>SUM(B81:M81)</f>
        <v>3041556.5328200003</v>
      </c>
    </row>
    <row r="82" spans="1:14" s="20" customFormat="1" ht="10.199999999999999">
      <c r="A82" s="26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14" s="20" customFormat="1" ht="10.199999999999999">
      <c r="A83" s="25">
        <f>+A58+1</f>
        <v>2017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s="20" customFormat="1" ht="10.199999999999999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4" s="20" customFormat="1" ht="10.199999999999999">
      <c r="A85" s="26" t="s">
        <v>37</v>
      </c>
    </row>
    <row r="86" spans="1:14" s="29" customFormat="1" ht="10.199999999999999">
      <c r="A86" s="27" t="s">
        <v>40</v>
      </c>
      <c r="B86" s="365">
        <f>[13]VERO_CP!B7*1000</f>
        <v>179000</v>
      </c>
      <c r="C86" s="365">
        <f>[13]VERO_CP!C7*1000</f>
        <v>155000</v>
      </c>
      <c r="D86" s="365">
        <f>[13]VERO_CP!D7*1000</f>
        <v>124000</v>
      </c>
      <c r="E86" s="365">
        <f>[13]VERO_CP!E7*1000</f>
        <v>128000</v>
      </c>
      <c r="F86" s="365">
        <f>[13]VERO_CP!F7*1000</f>
        <v>141000</v>
      </c>
      <c r="G86" s="365">
        <f>[13]VERO_CP!G7*1000</f>
        <v>155000</v>
      </c>
      <c r="H86" s="365">
        <f>[13]VERO_CP!H7*1000</f>
        <v>154000</v>
      </c>
      <c r="I86" s="365">
        <f>[13]VERO_CP!I7*1000</f>
        <v>165000</v>
      </c>
      <c r="J86" s="365">
        <f>[13]VERO_CP!J7*1000</f>
        <v>156000</v>
      </c>
      <c r="K86" s="365">
        <f>[13]VERO_CP!K7*1000</f>
        <v>147000</v>
      </c>
      <c r="L86" s="365">
        <f>[13]VERO_CP!L7*1000</f>
        <v>125000</v>
      </c>
      <c r="M86" s="365">
        <f>[13]VERO_CP!M7*1000</f>
        <v>141000</v>
      </c>
      <c r="N86" s="21">
        <f>SUM(B86:M86)</f>
        <v>1770000</v>
      </c>
    </row>
    <row r="87" spans="1:14" s="29" customFormat="1" ht="10.199999999999999">
      <c r="A87" s="27" t="s">
        <v>45</v>
      </c>
      <c r="B87" s="28">
        <f>ROUND(B86*'Transmission Formula Rate (7)'!$B$27,0)</f>
        <v>3312</v>
      </c>
      <c r="C87" s="28">
        <f>ROUND(C86*'Transmission Formula Rate (7)'!$B$27,0)</f>
        <v>2868</v>
      </c>
      <c r="D87" s="28">
        <f>ROUND(D86*'Transmission Formula Rate (7)'!$B$27,0)</f>
        <v>2294</v>
      </c>
      <c r="E87" s="28">
        <f>ROUND(E86*'Transmission Formula Rate (7)'!$B$27,0)</f>
        <v>2368</v>
      </c>
      <c r="F87" s="28">
        <f>ROUND(F86*'Transmission Formula Rate (7)'!$B$27,0)</f>
        <v>2609</v>
      </c>
      <c r="G87" s="28">
        <f>ROUND(G86*'Transmission Formula Rate (7)'!$B$27,0)</f>
        <v>2868</v>
      </c>
      <c r="H87" s="28">
        <f>ROUND(H86*'Transmission Formula Rate (7)'!$B$27,0)</f>
        <v>2849</v>
      </c>
      <c r="I87" s="28">
        <f>ROUND(I86*'Transmission Formula Rate (7)'!$B$27,0)</f>
        <v>3053</v>
      </c>
      <c r="J87" s="28">
        <f>ROUND(J86*'Transmission Formula Rate (7)'!$B$27,0)</f>
        <v>2886</v>
      </c>
      <c r="K87" s="28">
        <f>ROUND(K86*'Transmission Formula Rate (7)'!$B$27,0)</f>
        <v>2720</v>
      </c>
      <c r="L87" s="28">
        <f>ROUND(L86*'Transmission Formula Rate (7)'!$B$27,0)</f>
        <v>2313</v>
      </c>
      <c r="M87" s="28">
        <f>ROUND(M86*'Transmission Formula Rate (7)'!$B$27,0)</f>
        <v>2609</v>
      </c>
      <c r="N87" s="21">
        <f>SUM(B87:M87)</f>
        <v>32749</v>
      </c>
    </row>
    <row r="88" spans="1:14" s="29" customFormat="1" ht="10.199999999999999">
      <c r="A88" s="27" t="str">
        <f>A77</f>
        <v xml:space="preserve">       Vero Beach Load</v>
      </c>
      <c r="B88" s="28">
        <f t="shared" ref="B88:N88" si="36">B86+B87</f>
        <v>182312</v>
      </c>
      <c r="C88" s="28">
        <f t="shared" si="36"/>
        <v>157868</v>
      </c>
      <c r="D88" s="28">
        <f t="shared" si="36"/>
        <v>126294</v>
      </c>
      <c r="E88" s="28">
        <f t="shared" si="36"/>
        <v>130368</v>
      </c>
      <c r="F88" s="28">
        <f t="shared" si="36"/>
        <v>143609</v>
      </c>
      <c r="G88" s="28">
        <f t="shared" si="36"/>
        <v>157868</v>
      </c>
      <c r="H88" s="28">
        <f t="shared" si="36"/>
        <v>156849</v>
      </c>
      <c r="I88" s="28">
        <f t="shared" si="36"/>
        <v>168053</v>
      </c>
      <c r="J88" s="28">
        <f t="shared" si="36"/>
        <v>158886</v>
      </c>
      <c r="K88" s="28">
        <f t="shared" si="36"/>
        <v>149720</v>
      </c>
      <c r="L88" s="28">
        <f t="shared" si="36"/>
        <v>127313</v>
      </c>
      <c r="M88" s="28">
        <f t="shared" si="36"/>
        <v>143609</v>
      </c>
      <c r="N88" s="28">
        <f t="shared" si="36"/>
        <v>1802749</v>
      </c>
    </row>
    <row r="89" spans="1:14" s="20" customFormat="1" ht="10.199999999999999">
      <c r="A89" s="26" t="s">
        <v>20</v>
      </c>
      <c r="B89" s="30">
        <f>'Transmission Formula Rate (7)'!B14</f>
        <v>1.59</v>
      </c>
      <c r="C89" s="30">
        <f>'Transmission Formula Rate (7)'!C14</f>
        <v>1.59</v>
      </c>
      <c r="D89" s="30">
        <f>'Transmission Formula Rate (7)'!D14</f>
        <v>1.59</v>
      </c>
      <c r="E89" s="30">
        <f>'Transmission Formula Rate (7)'!E14</f>
        <v>1.59</v>
      </c>
      <c r="F89" s="30">
        <f>'Transmission Formula Rate (7)'!F14</f>
        <v>1.59</v>
      </c>
      <c r="G89" s="30">
        <f>'Transmission Formula Rate (7)'!G14</f>
        <v>1.59</v>
      </c>
      <c r="H89" s="30">
        <f>'Transmission Formula Rate (7)'!H14</f>
        <v>1.59</v>
      </c>
      <c r="I89" s="30">
        <f>'Transmission Formula Rate (7)'!I14</f>
        <v>1.59</v>
      </c>
      <c r="J89" s="30">
        <f>'Transmission Formula Rate (7)'!J14</f>
        <v>1.59</v>
      </c>
      <c r="K89" s="30">
        <f>'Transmission Formula Rate (7)'!K14</f>
        <v>1.59</v>
      </c>
      <c r="L89" s="30">
        <f>'Transmission Formula Rate (7)'!L14</f>
        <v>1.59</v>
      </c>
      <c r="M89" s="30">
        <f>'Transmission Formula Rate (7)'!M14</f>
        <v>1.59</v>
      </c>
    </row>
    <row r="90" spans="1:14" s="20" customFormat="1" ht="10.199999999999999">
      <c r="A90" s="26" t="s">
        <v>17</v>
      </c>
      <c r="B90" s="199">
        <f t="shared" ref="B90:M90" si="37">B88*B89</f>
        <v>289876.08</v>
      </c>
      <c r="C90" s="199">
        <f t="shared" si="37"/>
        <v>251010.12000000002</v>
      </c>
      <c r="D90" s="199">
        <f t="shared" si="37"/>
        <v>200807.46000000002</v>
      </c>
      <c r="E90" s="199">
        <f t="shared" si="37"/>
        <v>207285.12000000002</v>
      </c>
      <c r="F90" s="199">
        <f t="shared" si="37"/>
        <v>228338.31</v>
      </c>
      <c r="G90" s="199">
        <f t="shared" si="37"/>
        <v>251010.12000000002</v>
      </c>
      <c r="H90" s="199">
        <f t="shared" si="37"/>
        <v>249389.91</v>
      </c>
      <c r="I90" s="199">
        <f t="shared" si="37"/>
        <v>267204.27</v>
      </c>
      <c r="J90" s="199">
        <f t="shared" si="37"/>
        <v>252628.74000000002</v>
      </c>
      <c r="K90" s="199">
        <f t="shared" si="37"/>
        <v>238054.80000000002</v>
      </c>
      <c r="L90" s="199">
        <f t="shared" si="37"/>
        <v>202427.67</v>
      </c>
      <c r="M90" s="199">
        <f t="shared" si="37"/>
        <v>228338.31</v>
      </c>
      <c r="N90" s="199">
        <f>SUM(B90:M90)</f>
        <v>2866370.91</v>
      </c>
    </row>
    <row r="91" spans="1:14" s="20" customFormat="1" ht="12.75" customHeight="1"/>
    <row r="92" spans="1:14" s="20" customFormat="1" ht="12.75" customHeight="1">
      <c r="A92" s="26" t="str">
        <f>A67</f>
        <v>TRANSMISSION SERVICE SCHEDULING CHARGE</v>
      </c>
    </row>
    <row r="93" spans="1:14" s="20" customFormat="1" ht="12.75" customHeight="1">
      <c r="A93" s="27" t="s">
        <v>40</v>
      </c>
      <c r="B93" s="28">
        <f>B86</f>
        <v>179000</v>
      </c>
      <c r="C93" s="28">
        <f t="shared" ref="C93:M93" si="38">C86</f>
        <v>155000</v>
      </c>
      <c r="D93" s="28">
        <f t="shared" si="38"/>
        <v>124000</v>
      </c>
      <c r="E93" s="28">
        <f t="shared" si="38"/>
        <v>128000</v>
      </c>
      <c r="F93" s="28">
        <f t="shared" si="38"/>
        <v>141000</v>
      </c>
      <c r="G93" s="28">
        <f t="shared" si="38"/>
        <v>155000</v>
      </c>
      <c r="H93" s="28">
        <f t="shared" si="38"/>
        <v>154000</v>
      </c>
      <c r="I93" s="28">
        <f t="shared" si="38"/>
        <v>165000</v>
      </c>
      <c r="J93" s="28">
        <f t="shared" si="38"/>
        <v>156000</v>
      </c>
      <c r="K93" s="28">
        <f t="shared" si="38"/>
        <v>147000</v>
      </c>
      <c r="L93" s="28">
        <f t="shared" si="38"/>
        <v>125000</v>
      </c>
      <c r="M93" s="28">
        <f t="shared" si="38"/>
        <v>141000</v>
      </c>
      <c r="N93" s="21">
        <f>SUM(B93:M93)</f>
        <v>1770000</v>
      </c>
    </row>
    <row r="94" spans="1:14" s="20" customFormat="1" ht="12.75" customHeight="1">
      <c r="A94" s="27" t="s">
        <v>45</v>
      </c>
      <c r="B94" s="28">
        <f>ROUND(B93*'Transmission Formula Rate (7)'!$B$27,0)</f>
        <v>3312</v>
      </c>
      <c r="C94" s="28">
        <f>ROUND(C93*'Transmission Formula Rate (7)'!$B$27,0)</f>
        <v>2868</v>
      </c>
      <c r="D94" s="28">
        <f>ROUND(D93*'Transmission Formula Rate (7)'!$B$27,0)</f>
        <v>2294</v>
      </c>
      <c r="E94" s="28">
        <f>ROUND(E93*'Transmission Formula Rate (7)'!$B$27,0)</f>
        <v>2368</v>
      </c>
      <c r="F94" s="28">
        <f>ROUND(F93*'Transmission Formula Rate (7)'!$B$27,0)</f>
        <v>2609</v>
      </c>
      <c r="G94" s="28">
        <f>ROUND(G93*'Transmission Formula Rate (7)'!$B$27,0)</f>
        <v>2868</v>
      </c>
      <c r="H94" s="28">
        <f>ROUND(H93*'Transmission Formula Rate (7)'!$B$27,0)</f>
        <v>2849</v>
      </c>
      <c r="I94" s="28">
        <f>ROUND(I93*'Transmission Formula Rate (7)'!$B$27,0)</f>
        <v>3053</v>
      </c>
      <c r="J94" s="28">
        <f>ROUND(J93*'Transmission Formula Rate (7)'!$B$27,0)</f>
        <v>2886</v>
      </c>
      <c r="K94" s="28">
        <f>ROUND(K93*'Transmission Formula Rate (7)'!$B$27,0)</f>
        <v>2720</v>
      </c>
      <c r="L94" s="28">
        <f>ROUND(L93*'Transmission Formula Rate (7)'!$B$27,0)</f>
        <v>2313</v>
      </c>
      <c r="M94" s="28">
        <f>ROUND(M93*'Transmission Formula Rate (7)'!$B$27,0)</f>
        <v>2609</v>
      </c>
      <c r="N94" s="21">
        <f>SUM(B94:M94)</f>
        <v>32749</v>
      </c>
    </row>
    <row r="95" spans="1:14" s="20" customFormat="1" ht="12.75" customHeight="1">
      <c r="A95" s="27" t="str">
        <f>A88</f>
        <v xml:space="preserve">       Vero Beach Load</v>
      </c>
      <c r="B95" s="28">
        <f t="shared" ref="B95:N95" si="39">B93+B94</f>
        <v>182312</v>
      </c>
      <c r="C95" s="28">
        <f t="shared" si="39"/>
        <v>157868</v>
      </c>
      <c r="D95" s="28">
        <f t="shared" si="39"/>
        <v>126294</v>
      </c>
      <c r="E95" s="28">
        <f t="shared" si="39"/>
        <v>130368</v>
      </c>
      <c r="F95" s="28">
        <f t="shared" si="39"/>
        <v>143609</v>
      </c>
      <c r="G95" s="28">
        <f t="shared" si="39"/>
        <v>157868</v>
      </c>
      <c r="H95" s="28">
        <f t="shared" si="39"/>
        <v>156849</v>
      </c>
      <c r="I95" s="28">
        <f t="shared" si="39"/>
        <v>168053</v>
      </c>
      <c r="J95" s="28">
        <f t="shared" si="39"/>
        <v>158886</v>
      </c>
      <c r="K95" s="28">
        <f t="shared" si="39"/>
        <v>149720</v>
      </c>
      <c r="L95" s="28">
        <f t="shared" si="39"/>
        <v>127313</v>
      </c>
      <c r="M95" s="28">
        <f t="shared" si="39"/>
        <v>143609</v>
      </c>
      <c r="N95" s="28">
        <f t="shared" si="39"/>
        <v>1802749</v>
      </c>
    </row>
    <row r="96" spans="1:14" s="20" customFormat="1" ht="12.75" customHeight="1">
      <c r="A96" s="26" t="s">
        <v>20</v>
      </c>
      <c r="B96" s="32">
        <f>'charges (1 &amp; 2)'!F39</f>
        <v>1.274E-2</v>
      </c>
      <c r="C96" s="32">
        <f>B96</f>
        <v>1.274E-2</v>
      </c>
      <c r="D96" s="32">
        <f t="shared" ref="D96:M96" si="40">C96</f>
        <v>1.274E-2</v>
      </c>
      <c r="E96" s="32">
        <f t="shared" si="40"/>
        <v>1.274E-2</v>
      </c>
      <c r="F96" s="32">
        <f t="shared" si="40"/>
        <v>1.274E-2</v>
      </c>
      <c r="G96" s="32">
        <f t="shared" si="40"/>
        <v>1.274E-2</v>
      </c>
      <c r="H96" s="32">
        <f t="shared" si="40"/>
        <v>1.274E-2</v>
      </c>
      <c r="I96" s="32">
        <f t="shared" si="40"/>
        <v>1.274E-2</v>
      </c>
      <c r="J96" s="32">
        <f t="shared" si="40"/>
        <v>1.274E-2</v>
      </c>
      <c r="K96" s="32">
        <f t="shared" si="40"/>
        <v>1.274E-2</v>
      </c>
      <c r="L96" s="32">
        <f t="shared" si="40"/>
        <v>1.274E-2</v>
      </c>
      <c r="M96" s="32">
        <f t="shared" si="40"/>
        <v>1.274E-2</v>
      </c>
    </row>
    <row r="97" spans="1:14" s="20" customFormat="1" ht="12.75" customHeight="1">
      <c r="A97" s="26" t="s">
        <v>17</v>
      </c>
      <c r="B97" s="199">
        <f t="shared" ref="B97:M97" si="41">B95*B96</f>
        <v>2322.65488</v>
      </c>
      <c r="C97" s="199">
        <f t="shared" si="41"/>
        <v>2011.2383199999999</v>
      </c>
      <c r="D97" s="199">
        <f t="shared" si="41"/>
        <v>1608.9855599999999</v>
      </c>
      <c r="E97" s="199">
        <f t="shared" si="41"/>
        <v>1660.88832</v>
      </c>
      <c r="F97" s="199">
        <f t="shared" si="41"/>
        <v>1829.5786599999999</v>
      </c>
      <c r="G97" s="199">
        <f t="shared" si="41"/>
        <v>2011.2383199999999</v>
      </c>
      <c r="H97" s="199">
        <f t="shared" si="41"/>
        <v>1998.2562599999999</v>
      </c>
      <c r="I97" s="199">
        <f t="shared" si="41"/>
        <v>2140.9952199999998</v>
      </c>
      <c r="J97" s="199">
        <f t="shared" si="41"/>
        <v>2024.2076399999999</v>
      </c>
      <c r="K97" s="199">
        <f t="shared" si="41"/>
        <v>1907.4328</v>
      </c>
      <c r="L97" s="199">
        <f t="shared" si="41"/>
        <v>1621.9676199999999</v>
      </c>
      <c r="M97" s="199">
        <f t="shared" si="41"/>
        <v>1829.5786599999999</v>
      </c>
      <c r="N97" s="199">
        <f>SUM(B97:M97)</f>
        <v>22967.022259999998</v>
      </c>
    </row>
    <row r="98" spans="1:14" s="20" customFormat="1" ht="12.75" customHeight="1"/>
    <row r="99" spans="1:14" s="20" customFormat="1" ht="10.199999999999999">
      <c r="A99" s="26" t="s">
        <v>38</v>
      </c>
    </row>
    <row r="100" spans="1:14" s="29" customFormat="1" ht="10.199999999999999">
      <c r="A100" s="27" t="s">
        <v>40</v>
      </c>
      <c r="B100" s="28">
        <f t="shared" ref="B100:M100" si="42">B86</f>
        <v>179000</v>
      </c>
      <c r="C100" s="28">
        <f t="shared" si="42"/>
        <v>155000</v>
      </c>
      <c r="D100" s="28">
        <f t="shared" si="42"/>
        <v>124000</v>
      </c>
      <c r="E100" s="28">
        <f t="shared" si="42"/>
        <v>128000</v>
      </c>
      <c r="F100" s="28">
        <f t="shared" si="42"/>
        <v>141000</v>
      </c>
      <c r="G100" s="28">
        <f t="shared" si="42"/>
        <v>155000</v>
      </c>
      <c r="H100" s="28">
        <f t="shared" si="42"/>
        <v>154000</v>
      </c>
      <c r="I100" s="28">
        <f t="shared" si="42"/>
        <v>165000</v>
      </c>
      <c r="J100" s="28">
        <f t="shared" si="42"/>
        <v>156000</v>
      </c>
      <c r="K100" s="28">
        <f t="shared" si="42"/>
        <v>147000</v>
      </c>
      <c r="L100" s="28">
        <f t="shared" si="42"/>
        <v>125000</v>
      </c>
      <c r="M100" s="28">
        <f t="shared" si="42"/>
        <v>141000</v>
      </c>
      <c r="N100" s="21">
        <f>SUM(B100:M100)</f>
        <v>1770000</v>
      </c>
    </row>
    <row r="101" spans="1:14" s="29" customFormat="1" ht="10.199999999999999">
      <c r="A101" s="27" t="s">
        <v>45</v>
      </c>
      <c r="B101" s="28">
        <f>ROUND(B100*'Transmission Formula Rate (7)'!$B$27,0)</f>
        <v>3312</v>
      </c>
      <c r="C101" s="28">
        <f>ROUND(C100*'Transmission Formula Rate (7)'!$B$27,0)</f>
        <v>2868</v>
      </c>
      <c r="D101" s="28">
        <f>ROUND(D100*'Transmission Formula Rate (7)'!$B$27,0)</f>
        <v>2294</v>
      </c>
      <c r="E101" s="28">
        <f>ROUND(E100*'Transmission Formula Rate (7)'!$B$27,0)</f>
        <v>2368</v>
      </c>
      <c r="F101" s="28">
        <f>ROUND(F100*'Transmission Formula Rate (7)'!$B$27,0)</f>
        <v>2609</v>
      </c>
      <c r="G101" s="28">
        <f>ROUND(G100*'Transmission Formula Rate (7)'!$B$27,0)</f>
        <v>2868</v>
      </c>
      <c r="H101" s="28">
        <f>ROUND(H100*'Transmission Formula Rate (7)'!$B$27,0)</f>
        <v>2849</v>
      </c>
      <c r="I101" s="28">
        <f>ROUND(I100*'Transmission Formula Rate (7)'!$B$27,0)</f>
        <v>3053</v>
      </c>
      <c r="J101" s="28">
        <f>ROUND(J100*'Transmission Formula Rate (7)'!$B$27,0)</f>
        <v>2886</v>
      </c>
      <c r="K101" s="28">
        <f>ROUND(K100*'Transmission Formula Rate (7)'!$B$27,0)</f>
        <v>2720</v>
      </c>
      <c r="L101" s="28">
        <f>ROUND(L100*'Transmission Formula Rate (7)'!$B$27,0)</f>
        <v>2313</v>
      </c>
      <c r="M101" s="28">
        <f>ROUND(M100*'Transmission Formula Rate (7)'!$B$27,0)</f>
        <v>2609</v>
      </c>
      <c r="N101" s="21">
        <f>SUM(B101:M101)</f>
        <v>32749</v>
      </c>
    </row>
    <row r="102" spans="1:14" s="29" customFormat="1" ht="10.199999999999999">
      <c r="A102" s="27" t="str">
        <f>A88</f>
        <v xml:space="preserve">       Vero Beach Load</v>
      </c>
      <c r="B102" s="28">
        <f t="shared" ref="B102:M102" si="43">B100+B101</f>
        <v>182312</v>
      </c>
      <c r="C102" s="28">
        <f t="shared" si="43"/>
        <v>157868</v>
      </c>
      <c r="D102" s="28">
        <f t="shared" si="43"/>
        <v>126294</v>
      </c>
      <c r="E102" s="28">
        <f t="shared" si="43"/>
        <v>130368</v>
      </c>
      <c r="F102" s="28">
        <f t="shared" si="43"/>
        <v>143609</v>
      </c>
      <c r="G102" s="28">
        <f t="shared" si="43"/>
        <v>157868</v>
      </c>
      <c r="H102" s="28">
        <f t="shared" si="43"/>
        <v>156849</v>
      </c>
      <c r="I102" s="28">
        <f t="shared" si="43"/>
        <v>168053</v>
      </c>
      <c r="J102" s="28">
        <f t="shared" si="43"/>
        <v>158886</v>
      </c>
      <c r="K102" s="28">
        <f t="shared" si="43"/>
        <v>149720</v>
      </c>
      <c r="L102" s="28">
        <f t="shared" si="43"/>
        <v>127313</v>
      </c>
      <c r="M102" s="28">
        <f t="shared" si="43"/>
        <v>143609</v>
      </c>
      <c r="N102" s="21">
        <f>SUM(B102:M102)</f>
        <v>1802749</v>
      </c>
    </row>
    <row r="103" spans="1:14" s="20" customFormat="1" ht="10.199999999999999">
      <c r="A103" s="26" t="s">
        <v>20</v>
      </c>
      <c r="B103" s="32">
        <f>'charges (1 &amp; 2)'!$F$38</f>
        <v>0.1008</v>
      </c>
      <c r="C103" s="32">
        <f>B103</f>
        <v>0.1008</v>
      </c>
      <c r="D103" s="32">
        <f t="shared" ref="D103:M103" si="44">C103</f>
        <v>0.1008</v>
      </c>
      <c r="E103" s="32">
        <f t="shared" si="44"/>
        <v>0.1008</v>
      </c>
      <c r="F103" s="32">
        <f t="shared" si="44"/>
        <v>0.1008</v>
      </c>
      <c r="G103" s="32">
        <f t="shared" si="44"/>
        <v>0.1008</v>
      </c>
      <c r="H103" s="32">
        <f t="shared" si="44"/>
        <v>0.1008</v>
      </c>
      <c r="I103" s="32">
        <f t="shared" si="44"/>
        <v>0.1008</v>
      </c>
      <c r="J103" s="32">
        <f t="shared" si="44"/>
        <v>0.1008</v>
      </c>
      <c r="K103" s="32">
        <f t="shared" si="44"/>
        <v>0.1008</v>
      </c>
      <c r="L103" s="32">
        <f t="shared" si="44"/>
        <v>0.1008</v>
      </c>
      <c r="M103" s="32">
        <f t="shared" si="44"/>
        <v>0.1008</v>
      </c>
    </row>
    <row r="104" spans="1:14" s="20" customFormat="1" ht="10.199999999999999">
      <c r="A104" s="26" t="s">
        <v>17</v>
      </c>
      <c r="B104" s="199">
        <f t="shared" ref="B104:M104" si="45">B102*B103</f>
        <v>18377.049599999998</v>
      </c>
      <c r="C104" s="199">
        <f t="shared" si="45"/>
        <v>15913.0944</v>
      </c>
      <c r="D104" s="199">
        <f t="shared" si="45"/>
        <v>12730.4352</v>
      </c>
      <c r="E104" s="199">
        <f t="shared" si="45"/>
        <v>13141.0944</v>
      </c>
      <c r="F104" s="199">
        <f t="shared" si="45"/>
        <v>14475.787200000001</v>
      </c>
      <c r="G104" s="199">
        <f t="shared" si="45"/>
        <v>15913.0944</v>
      </c>
      <c r="H104" s="199">
        <f t="shared" si="45"/>
        <v>15810.379199999999</v>
      </c>
      <c r="I104" s="199">
        <f t="shared" si="45"/>
        <v>16939.742399999999</v>
      </c>
      <c r="J104" s="199">
        <f t="shared" si="45"/>
        <v>16015.7088</v>
      </c>
      <c r="K104" s="199">
        <f t="shared" si="45"/>
        <v>15091.776</v>
      </c>
      <c r="L104" s="199">
        <f t="shared" si="45"/>
        <v>12833.1504</v>
      </c>
      <c r="M104" s="199">
        <f t="shared" si="45"/>
        <v>14475.787200000001</v>
      </c>
      <c r="N104" s="199">
        <f>SUM(B104:M104)</f>
        <v>181717.09920000003</v>
      </c>
    </row>
    <row r="105" spans="1:14" s="20" customFormat="1" ht="10.199999999999999">
      <c r="A105" s="26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</row>
    <row r="106" spans="1:14" s="20" customFormat="1" ht="10.199999999999999">
      <c r="A106" s="26" t="s">
        <v>25</v>
      </c>
      <c r="B106" s="198">
        <f>B90+B104+B97</f>
        <v>310575.78447999997</v>
      </c>
      <c r="C106" s="198">
        <f t="shared" ref="C106:L106" si="46">C90+C104+C97</f>
        <v>268934.45272</v>
      </c>
      <c r="D106" s="198">
        <f t="shared" si="46"/>
        <v>215146.88076000003</v>
      </c>
      <c r="E106" s="198">
        <f t="shared" si="46"/>
        <v>222087.10272000002</v>
      </c>
      <c r="F106" s="198">
        <f t="shared" si="46"/>
        <v>244643.67585999999</v>
      </c>
      <c r="G106" s="198">
        <f t="shared" si="46"/>
        <v>268934.45272</v>
      </c>
      <c r="H106" s="198">
        <f t="shared" si="46"/>
        <v>267198.54545999999</v>
      </c>
      <c r="I106" s="198">
        <f t="shared" si="46"/>
        <v>286285.00761999999</v>
      </c>
      <c r="J106" s="198">
        <f t="shared" si="46"/>
        <v>270668.65643999999</v>
      </c>
      <c r="K106" s="198">
        <f t="shared" si="46"/>
        <v>255054.00880000004</v>
      </c>
      <c r="L106" s="198">
        <f t="shared" si="46"/>
        <v>216882.78802000004</v>
      </c>
      <c r="M106" s="198">
        <f>M90+M104+M97</f>
        <v>244643.67585999999</v>
      </c>
      <c r="N106" s="198">
        <f>SUM(B106:M106)</f>
        <v>3071055.0314599997</v>
      </c>
    </row>
    <row r="108" spans="1:14">
      <c r="A108" s="25">
        <f>+A83+1</f>
        <v>2018</v>
      </c>
      <c r="B108" s="280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4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</row>
    <row r="110" spans="1:14">
      <c r="A110" s="26" t="s">
        <v>37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27" t="s">
        <v>40</v>
      </c>
      <c r="B111" s="365">
        <f>[13]VERO_CP!B8*1000</f>
        <v>180000</v>
      </c>
      <c r="C111" s="365">
        <f>[13]VERO_CP!C8*1000</f>
        <v>157000</v>
      </c>
      <c r="D111" s="365">
        <f>[13]VERO_CP!D8*1000</f>
        <v>125000</v>
      </c>
      <c r="E111" s="365">
        <f>[13]VERO_CP!E8*1000</f>
        <v>129000</v>
      </c>
      <c r="F111" s="365">
        <f>[13]VERO_CP!F8*1000</f>
        <v>143000</v>
      </c>
      <c r="G111" s="365">
        <f>[13]VERO_CP!G8*1000</f>
        <v>157000</v>
      </c>
      <c r="H111" s="365">
        <f>[13]VERO_CP!H8*1000</f>
        <v>155000</v>
      </c>
      <c r="I111" s="365">
        <f>[13]VERO_CP!I8*1000</f>
        <v>166000</v>
      </c>
      <c r="J111" s="365">
        <f>[13]VERO_CP!J8*1000</f>
        <v>157000</v>
      </c>
      <c r="K111" s="365">
        <f>[13]VERO_CP!K8*1000</f>
        <v>148000</v>
      </c>
      <c r="L111" s="365">
        <f>[13]VERO_CP!L8*1000</f>
        <v>126000</v>
      </c>
      <c r="M111" s="365">
        <f>[13]VERO_CP!M8*1000</f>
        <v>142000</v>
      </c>
      <c r="N111" s="366">
        <f>SUM(B111:M111)</f>
        <v>1785000</v>
      </c>
    </row>
    <row r="112" spans="1:14">
      <c r="A112" s="27" t="s">
        <v>45</v>
      </c>
      <c r="B112" s="28">
        <f>ROUND(B111*'Transmission Formula Rate (7)'!$B$27,0)</f>
        <v>3330</v>
      </c>
      <c r="C112" s="28">
        <f>ROUND(C111*'Transmission Formula Rate (7)'!$B$27,0)</f>
        <v>2905</v>
      </c>
      <c r="D112" s="28">
        <f>ROUND(D111*'Transmission Formula Rate (7)'!$B$27,0)</f>
        <v>2313</v>
      </c>
      <c r="E112" s="28">
        <f>ROUND(E111*'Transmission Formula Rate (7)'!$B$27,0)</f>
        <v>2387</v>
      </c>
      <c r="F112" s="28">
        <f>ROUND(F111*'Transmission Formula Rate (7)'!$B$27,0)</f>
        <v>2646</v>
      </c>
      <c r="G112" s="28">
        <f>ROUND(G111*'Transmission Formula Rate (7)'!$B$27,0)</f>
        <v>2905</v>
      </c>
      <c r="H112" s="28">
        <f>ROUND(H111*'Transmission Formula Rate (7)'!$B$27,0)</f>
        <v>2868</v>
      </c>
      <c r="I112" s="28">
        <f>ROUND(I111*'Transmission Formula Rate (7)'!$B$27,0)</f>
        <v>3071</v>
      </c>
      <c r="J112" s="28">
        <f>ROUND(J111*'Transmission Formula Rate (7)'!$B$27,0)</f>
        <v>2905</v>
      </c>
      <c r="K112" s="28">
        <f>ROUND(K111*'Transmission Formula Rate (7)'!$B$27,0)</f>
        <v>2738</v>
      </c>
      <c r="L112" s="28">
        <f>ROUND(L111*'Transmission Formula Rate (7)'!$B$27,0)</f>
        <v>2331</v>
      </c>
      <c r="M112" s="28">
        <f>ROUND(M111*'Transmission Formula Rate (7)'!$B$27,0)</f>
        <v>2627</v>
      </c>
      <c r="N112" s="21">
        <f>SUM(B112:M112)</f>
        <v>33026</v>
      </c>
    </row>
    <row r="113" spans="1:14">
      <c r="A113" s="27" t="str">
        <f>A102</f>
        <v xml:space="preserve">       Vero Beach Load</v>
      </c>
      <c r="B113" s="28">
        <f t="shared" ref="B113:M113" si="47">B111+B112</f>
        <v>183330</v>
      </c>
      <c r="C113" s="28">
        <f t="shared" si="47"/>
        <v>159905</v>
      </c>
      <c r="D113" s="28">
        <f t="shared" si="47"/>
        <v>127313</v>
      </c>
      <c r="E113" s="28">
        <f t="shared" si="47"/>
        <v>131387</v>
      </c>
      <c r="F113" s="28">
        <f t="shared" si="47"/>
        <v>145646</v>
      </c>
      <c r="G113" s="28">
        <f t="shared" si="47"/>
        <v>159905</v>
      </c>
      <c r="H113" s="28">
        <f t="shared" si="47"/>
        <v>157868</v>
      </c>
      <c r="I113" s="28">
        <f t="shared" si="47"/>
        <v>169071</v>
      </c>
      <c r="J113" s="28">
        <f t="shared" si="47"/>
        <v>159905</v>
      </c>
      <c r="K113" s="28">
        <f t="shared" si="47"/>
        <v>150738</v>
      </c>
      <c r="L113" s="28">
        <f t="shared" si="47"/>
        <v>128331</v>
      </c>
      <c r="M113" s="28">
        <f t="shared" si="47"/>
        <v>144627</v>
      </c>
      <c r="N113" s="21">
        <f>SUM(B113:M113)</f>
        <v>1818026</v>
      </c>
    </row>
    <row r="114" spans="1:14">
      <c r="A114" s="26" t="s">
        <v>20</v>
      </c>
      <c r="B114" s="30">
        <f>'Transmission Formula Rate (7)'!B16</f>
        <v>1.59</v>
      </c>
      <c r="C114" s="30">
        <f>'Transmission Formula Rate (7)'!C16</f>
        <v>1.59</v>
      </c>
      <c r="D114" s="30">
        <f>'Transmission Formula Rate (7)'!D16</f>
        <v>1.59</v>
      </c>
      <c r="E114" s="30">
        <f>'Transmission Formula Rate (7)'!E16</f>
        <v>1.59</v>
      </c>
      <c r="F114" s="30">
        <f>'Transmission Formula Rate (7)'!F16</f>
        <v>1.59</v>
      </c>
      <c r="G114" s="30">
        <f>'Transmission Formula Rate (7)'!G16</f>
        <v>1.59</v>
      </c>
      <c r="H114" s="30">
        <f>'Transmission Formula Rate (7)'!H16</f>
        <v>1.59</v>
      </c>
      <c r="I114" s="30">
        <f>'Transmission Formula Rate (7)'!I16</f>
        <v>1.59</v>
      </c>
      <c r="J114" s="30">
        <f>'Transmission Formula Rate (7)'!J16</f>
        <v>1.59</v>
      </c>
      <c r="K114" s="30">
        <f>'Transmission Formula Rate (7)'!K16</f>
        <v>1.59</v>
      </c>
      <c r="L114" s="30">
        <f>'Transmission Formula Rate (7)'!L16</f>
        <v>1.59</v>
      </c>
      <c r="M114" s="30">
        <f>'Transmission Formula Rate (7)'!M16</f>
        <v>1.59</v>
      </c>
      <c r="N114" s="20"/>
    </row>
    <row r="115" spans="1:14">
      <c r="A115" s="26" t="s">
        <v>17</v>
      </c>
      <c r="B115" s="199">
        <f t="shared" ref="B115:M115" si="48">B113*B114</f>
        <v>291494.7</v>
      </c>
      <c r="C115" s="199">
        <f t="shared" si="48"/>
        <v>254248.95</v>
      </c>
      <c r="D115" s="199">
        <f t="shared" si="48"/>
        <v>202427.67</v>
      </c>
      <c r="E115" s="199">
        <f t="shared" si="48"/>
        <v>208905.33000000002</v>
      </c>
      <c r="F115" s="199">
        <f t="shared" si="48"/>
        <v>231577.14</v>
      </c>
      <c r="G115" s="199">
        <f t="shared" si="48"/>
        <v>254248.95</v>
      </c>
      <c r="H115" s="199">
        <f t="shared" si="48"/>
        <v>251010.12000000002</v>
      </c>
      <c r="I115" s="199">
        <f t="shared" si="48"/>
        <v>268822.89</v>
      </c>
      <c r="J115" s="199">
        <f t="shared" si="48"/>
        <v>254248.95</v>
      </c>
      <c r="K115" s="199">
        <f t="shared" si="48"/>
        <v>239673.42</v>
      </c>
      <c r="L115" s="199">
        <f t="shared" si="48"/>
        <v>204046.29</v>
      </c>
      <c r="M115" s="199">
        <f t="shared" si="48"/>
        <v>229956.93000000002</v>
      </c>
      <c r="N115" s="199">
        <f>SUM(B115:M115)</f>
        <v>2890661.3400000003</v>
      </c>
    </row>
    <row r="116" spans="1:14" ht="8.2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12.75" customHeight="1">
      <c r="A117" s="26" t="str">
        <f>A92</f>
        <v>TRANSMISSION SERVICE SCHEDULING CHARGE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ht="12.75" customHeight="1">
      <c r="A118" s="27" t="s">
        <v>40</v>
      </c>
      <c r="B118" s="28">
        <f>B111</f>
        <v>180000</v>
      </c>
      <c r="C118" s="28">
        <f t="shared" ref="C118:M118" si="49">C111</f>
        <v>157000</v>
      </c>
      <c r="D118" s="28">
        <f t="shared" si="49"/>
        <v>125000</v>
      </c>
      <c r="E118" s="28">
        <f t="shared" si="49"/>
        <v>129000</v>
      </c>
      <c r="F118" s="28">
        <f t="shared" si="49"/>
        <v>143000</v>
      </c>
      <c r="G118" s="28">
        <f t="shared" si="49"/>
        <v>157000</v>
      </c>
      <c r="H118" s="28">
        <f t="shared" si="49"/>
        <v>155000</v>
      </c>
      <c r="I118" s="28">
        <f t="shared" si="49"/>
        <v>166000</v>
      </c>
      <c r="J118" s="28">
        <f t="shared" si="49"/>
        <v>157000</v>
      </c>
      <c r="K118" s="28">
        <f t="shared" si="49"/>
        <v>148000</v>
      </c>
      <c r="L118" s="28">
        <f t="shared" si="49"/>
        <v>126000</v>
      </c>
      <c r="M118" s="28">
        <f t="shared" si="49"/>
        <v>142000</v>
      </c>
      <c r="N118" s="21">
        <f>SUM(B118:M118)</f>
        <v>1785000</v>
      </c>
    </row>
    <row r="119" spans="1:14" ht="12.75" customHeight="1">
      <c r="A119" s="27" t="s">
        <v>45</v>
      </c>
      <c r="B119" s="28">
        <f>ROUND(B118*'Transmission Formula Rate (7)'!$B$27,0)</f>
        <v>3330</v>
      </c>
      <c r="C119" s="28">
        <f>ROUND(C118*'Transmission Formula Rate (7)'!$B$27,0)</f>
        <v>2905</v>
      </c>
      <c r="D119" s="28">
        <f>ROUND(D118*'Transmission Formula Rate (7)'!$B$27,0)</f>
        <v>2313</v>
      </c>
      <c r="E119" s="28">
        <f>ROUND(E118*'Transmission Formula Rate (7)'!$B$27,0)</f>
        <v>2387</v>
      </c>
      <c r="F119" s="28">
        <f>ROUND(F118*'Transmission Formula Rate (7)'!$B$27,0)</f>
        <v>2646</v>
      </c>
      <c r="G119" s="28">
        <f>ROUND(G118*'Transmission Formula Rate (7)'!$B$27,0)</f>
        <v>2905</v>
      </c>
      <c r="H119" s="28">
        <f>ROUND(H118*'Transmission Formula Rate (7)'!$B$27,0)</f>
        <v>2868</v>
      </c>
      <c r="I119" s="28">
        <f>ROUND(I118*'Transmission Formula Rate (7)'!$B$27,0)</f>
        <v>3071</v>
      </c>
      <c r="J119" s="28">
        <f>ROUND(J118*'Transmission Formula Rate (7)'!$B$27,0)</f>
        <v>2905</v>
      </c>
      <c r="K119" s="28">
        <f>ROUND(K118*'Transmission Formula Rate (7)'!$B$27,0)</f>
        <v>2738</v>
      </c>
      <c r="L119" s="28">
        <f>ROUND(L118*'Transmission Formula Rate (7)'!$B$27,0)</f>
        <v>2331</v>
      </c>
      <c r="M119" s="28">
        <f>ROUND(M118*'Transmission Formula Rate (7)'!$B$27,0)</f>
        <v>2627</v>
      </c>
      <c r="N119" s="21">
        <f>SUM(B119:M119)</f>
        <v>33026</v>
      </c>
    </row>
    <row r="120" spans="1:14" ht="12.75" customHeight="1">
      <c r="A120" s="27" t="str">
        <f>A113</f>
        <v xml:space="preserve">       Vero Beach Load</v>
      </c>
      <c r="B120" s="28">
        <f t="shared" ref="B120:M120" si="50">B118+B119</f>
        <v>183330</v>
      </c>
      <c r="C120" s="28">
        <f t="shared" si="50"/>
        <v>159905</v>
      </c>
      <c r="D120" s="28">
        <f t="shared" si="50"/>
        <v>127313</v>
      </c>
      <c r="E120" s="28">
        <f t="shared" si="50"/>
        <v>131387</v>
      </c>
      <c r="F120" s="28">
        <f t="shared" si="50"/>
        <v>145646</v>
      </c>
      <c r="G120" s="28">
        <f t="shared" si="50"/>
        <v>159905</v>
      </c>
      <c r="H120" s="28">
        <f t="shared" si="50"/>
        <v>157868</v>
      </c>
      <c r="I120" s="28">
        <f t="shared" si="50"/>
        <v>169071</v>
      </c>
      <c r="J120" s="28">
        <f t="shared" si="50"/>
        <v>159905</v>
      </c>
      <c r="K120" s="28">
        <f t="shared" si="50"/>
        <v>150738</v>
      </c>
      <c r="L120" s="28">
        <f t="shared" si="50"/>
        <v>128331</v>
      </c>
      <c r="M120" s="28">
        <f t="shared" si="50"/>
        <v>144627</v>
      </c>
      <c r="N120" s="21">
        <f>SUM(B120:M120)</f>
        <v>1818026</v>
      </c>
    </row>
    <row r="121" spans="1:14" ht="12.75" customHeight="1">
      <c r="A121" s="26" t="s">
        <v>20</v>
      </c>
      <c r="B121" s="32">
        <f>'charges (1 &amp; 2)'!G39</f>
        <v>1.274E-2</v>
      </c>
      <c r="C121" s="32">
        <f>B121</f>
        <v>1.274E-2</v>
      </c>
      <c r="D121" s="32">
        <f t="shared" ref="D121:M121" si="51">C121</f>
        <v>1.274E-2</v>
      </c>
      <c r="E121" s="32">
        <f t="shared" si="51"/>
        <v>1.274E-2</v>
      </c>
      <c r="F121" s="32">
        <f t="shared" si="51"/>
        <v>1.274E-2</v>
      </c>
      <c r="G121" s="32">
        <f t="shared" si="51"/>
        <v>1.274E-2</v>
      </c>
      <c r="H121" s="32">
        <f t="shared" si="51"/>
        <v>1.274E-2</v>
      </c>
      <c r="I121" s="32">
        <f t="shared" si="51"/>
        <v>1.274E-2</v>
      </c>
      <c r="J121" s="32">
        <f t="shared" si="51"/>
        <v>1.274E-2</v>
      </c>
      <c r="K121" s="32">
        <f t="shared" si="51"/>
        <v>1.274E-2</v>
      </c>
      <c r="L121" s="32">
        <f t="shared" si="51"/>
        <v>1.274E-2</v>
      </c>
      <c r="M121" s="32">
        <f t="shared" si="51"/>
        <v>1.274E-2</v>
      </c>
      <c r="N121" s="20"/>
    </row>
    <row r="122" spans="1:14" ht="12.75" customHeight="1">
      <c r="A122" s="26" t="s">
        <v>17</v>
      </c>
      <c r="B122" s="199">
        <f t="shared" ref="B122:M122" si="52">B120*B121</f>
        <v>2335.6241999999997</v>
      </c>
      <c r="C122" s="199">
        <f t="shared" si="52"/>
        <v>2037.1896999999999</v>
      </c>
      <c r="D122" s="199">
        <f t="shared" si="52"/>
        <v>1621.9676199999999</v>
      </c>
      <c r="E122" s="199">
        <f t="shared" si="52"/>
        <v>1673.8703799999998</v>
      </c>
      <c r="F122" s="199">
        <f t="shared" si="52"/>
        <v>1855.5300399999999</v>
      </c>
      <c r="G122" s="199">
        <f t="shared" si="52"/>
        <v>2037.1896999999999</v>
      </c>
      <c r="H122" s="199">
        <f t="shared" si="52"/>
        <v>2011.2383199999999</v>
      </c>
      <c r="I122" s="199">
        <f t="shared" si="52"/>
        <v>2153.9645399999999</v>
      </c>
      <c r="J122" s="199">
        <f t="shared" si="52"/>
        <v>2037.1896999999999</v>
      </c>
      <c r="K122" s="199">
        <f t="shared" si="52"/>
        <v>1920.40212</v>
      </c>
      <c r="L122" s="199">
        <f t="shared" si="52"/>
        <v>1634.93694</v>
      </c>
      <c r="M122" s="199">
        <f t="shared" si="52"/>
        <v>1842.5479800000001</v>
      </c>
      <c r="N122" s="199">
        <f>SUM(B122:M122)</f>
        <v>23161.651239999996</v>
      </c>
    </row>
    <row r="123" spans="1:14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>
      <c r="A124" s="26" t="s">
        <v>38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>
      <c r="A125" s="27" t="s">
        <v>40</v>
      </c>
      <c r="B125" s="28">
        <f t="shared" ref="B125:M125" si="53">B111</f>
        <v>180000</v>
      </c>
      <c r="C125" s="28">
        <f t="shared" si="53"/>
        <v>157000</v>
      </c>
      <c r="D125" s="28">
        <f t="shared" si="53"/>
        <v>125000</v>
      </c>
      <c r="E125" s="28">
        <f t="shared" si="53"/>
        <v>129000</v>
      </c>
      <c r="F125" s="28">
        <f t="shared" si="53"/>
        <v>143000</v>
      </c>
      <c r="G125" s="28">
        <f t="shared" si="53"/>
        <v>157000</v>
      </c>
      <c r="H125" s="28">
        <f t="shared" si="53"/>
        <v>155000</v>
      </c>
      <c r="I125" s="28">
        <f t="shared" si="53"/>
        <v>166000</v>
      </c>
      <c r="J125" s="28">
        <f t="shared" si="53"/>
        <v>157000</v>
      </c>
      <c r="K125" s="28">
        <f t="shared" si="53"/>
        <v>148000</v>
      </c>
      <c r="L125" s="28">
        <f t="shared" si="53"/>
        <v>126000</v>
      </c>
      <c r="M125" s="28">
        <f t="shared" si="53"/>
        <v>142000</v>
      </c>
      <c r="N125" s="21">
        <f>SUM(B125:M125)</f>
        <v>1785000</v>
      </c>
    </row>
    <row r="126" spans="1:14">
      <c r="A126" s="27" t="s">
        <v>45</v>
      </c>
      <c r="B126" s="28">
        <f>ROUND(B125*'Transmission Formula Rate (7)'!$B$27,0)</f>
        <v>3330</v>
      </c>
      <c r="C126" s="28">
        <f>ROUND(C125*'Transmission Formula Rate (7)'!$B$27,0)</f>
        <v>2905</v>
      </c>
      <c r="D126" s="28">
        <f>ROUND(D125*'Transmission Formula Rate (7)'!$B$27,0)</f>
        <v>2313</v>
      </c>
      <c r="E126" s="28">
        <f>ROUND(E125*'Transmission Formula Rate (7)'!$B$27,0)</f>
        <v>2387</v>
      </c>
      <c r="F126" s="28">
        <f>ROUND(F125*'Transmission Formula Rate (7)'!$B$27,0)</f>
        <v>2646</v>
      </c>
      <c r="G126" s="28">
        <f>ROUND(G125*'Transmission Formula Rate (7)'!$B$27,0)</f>
        <v>2905</v>
      </c>
      <c r="H126" s="28">
        <f>ROUND(H125*'Transmission Formula Rate (7)'!$B$27,0)</f>
        <v>2868</v>
      </c>
      <c r="I126" s="28">
        <f>ROUND(I125*'Transmission Formula Rate (7)'!$B$27,0)</f>
        <v>3071</v>
      </c>
      <c r="J126" s="28">
        <f>ROUND(J125*'Transmission Formula Rate (7)'!$B$27,0)</f>
        <v>2905</v>
      </c>
      <c r="K126" s="28">
        <f>ROUND(K125*'Transmission Formula Rate (7)'!$B$27,0)</f>
        <v>2738</v>
      </c>
      <c r="L126" s="28">
        <f>ROUND(L125*'Transmission Formula Rate (7)'!$B$27,0)</f>
        <v>2331</v>
      </c>
      <c r="M126" s="28">
        <f>ROUND(M125*'Transmission Formula Rate (7)'!$B$27,0)</f>
        <v>2627</v>
      </c>
      <c r="N126" s="21">
        <f>SUM(B126:M126)</f>
        <v>33026</v>
      </c>
    </row>
    <row r="127" spans="1:14">
      <c r="A127" s="27" t="str">
        <f>A113</f>
        <v xml:space="preserve">       Vero Beach Load</v>
      </c>
      <c r="B127" s="28">
        <f t="shared" ref="B127:M127" si="54">B125+B126</f>
        <v>183330</v>
      </c>
      <c r="C127" s="28">
        <f t="shared" si="54"/>
        <v>159905</v>
      </c>
      <c r="D127" s="28">
        <f t="shared" si="54"/>
        <v>127313</v>
      </c>
      <c r="E127" s="28">
        <f t="shared" si="54"/>
        <v>131387</v>
      </c>
      <c r="F127" s="28">
        <f t="shared" si="54"/>
        <v>145646</v>
      </c>
      <c r="G127" s="28">
        <f t="shared" si="54"/>
        <v>159905</v>
      </c>
      <c r="H127" s="28">
        <f t="shared" si="54"/>
        <v>157868</v>
      </c>
      <c r="I127" s="28">
        <f t="shared" si="54"/>
        <v>169071</v>
      </c>
      <c r="J127" s="28">
        <f t="shared" si="54"/>
        <v>159905</v>
      </c>
      <c r="K127" s="28">
        <f t="shared" si="54"/>
        <v>150738</v>
      </c>
      <c r="L127" s="28">
        <f t="shared" si="54"/>
        <v>128331</v>
      </c>
      <c r="M127" s="28">
        <f t="shared" si="54"/>
        <v>144627</v>
      </c>
      <c r="N127" s="21">
        <f>SUM(B127:M127)</f>
        <v>1818026</v>
      </c>
    </row>
    <row r="128" spans="1:14">
      <c r="A128" s="26" t="s">
        <v>20</v>
      </c>
      <c r="B128" s="32">
        <f>'charges (1 &amp; 2)'!$G$38</f>
        <v>0.1008</v>
      </c>
      <c r="C128" s="32">
        <f>B128</f>
        <v>0.1008</v>
      </c>
      <c r="D128" s="32">
        <f t="shared" ref="D128:M128" si="55">C128</f>
        <v>0.1008</v>
      </c>
      <c r="E128" s="32">
        <f t="shared" si="55"/>
        <v>0.1008</v>
      </c>
      <c r="F128" s="32">
        <f t="shared" si="55"/>
        <v>0.1008</v>
      </c>
      <c r="G128" s="32">
        <f t="shared" si="55"/>
        <v>0.1008</v>
      </c>
      <c r="H128" s="32">
        <f t="shared" si="55"/>
        <v>0.1008</v>
      </c>
      <c r="I128" s="32">
        <f t="shared" si="55"/>
        <v>0.1008</v>
      </c>
      <c r="J128" s="32">
        <f t="shared" si="55"/>
        <v>0.1008</v>
      </c>
      <c r="K128" s="32">
        <f t="shared" si="55"/>
        <v>0.1008</v>
      </c>
      <c r="L128" s="32">
        <f t="shared" si="55"/>
        <v>0.1008</v>
      </c>
      <c r="M128" s="32">
        <f t="shared" si="55"/>
        <v>0.1008</v>
      </c>
      <c r="N128" s="20"/>
    </row>
    <row r="129" spans="1:14">
      <c r="A129" s="26" t="s">
        <v>17</v>
      </c>
      <c r="B129" s="199">
        <f t="shared" ref="B129:M129" si="56">B127*B128</f>
        <v>18479.664000000001</v>
      </c>
      <c r="C129" s="199">
        <f t="shared" si="56"/>
        <v>16118.424000000001</v>
      </c>
      <c r="D129" s="199">
        <f t="shared" si="56"/>
        <v>12833.1504</v>
      </c>
      <c r="E129" s="199">
        <f t="shared" si="56"/>
        <v>13243.809600000001</v>
      </c>
      <c r="F129" s="199">
        <f t="shared" si="56"/>
        <v>14681.1168</v>
      </c>
      <c r="G129" s="199">
        <f t="shared" si="56"/>
        <v>16118.424000000001</v>
      </c>
      <c r="H129" s="199">
        <f t="shared" si="56"/>
        <v>15913.0944</v>
      </c>
      <c r="I129" s="199">
        <f t="shared" si="56"/>
        <v>17042.356800000001</v>
      </c>
      <c r="J129" s="199">
        <f t="shared" si="56"/>
        <v>16118.424000000001</v>
      </c>
      <c r="K129" s="199">
        <f t="shared" si="56"/>
        <v>15194.3904</v>
      </c>
      <c r="L129" s="199">
        <f t="shared" si="56"/>
        <v>12935.764800000001</v>
      </c>
      <c r="M129" s="199">
        <f t="shared" si="56"/>
        <v>14578.401599999999</v>
      </c>
      <c r="N129" s="199">
        <f>SUM(B129:M129)</f>
        <v>183257.02080000003</v>
      </c>
    </row>
    <row r="130" spans="1:14" ht="6.75" customHeight="1">
      <c r="A130" s="26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>
      <c r="A131" s="26" t="s">
        <v>25</v>
      </c>
      <c r="B131" s="364">
        <f>B115+B129+B122</f>
        <v>312309.98820000002</v>
      </c>
      <c r="C131" s="364">
        <f t="shared" ref="C131:M131" si="57">C115+C129+C122</f>
        <v>272404.5637</v>
      </c>
      <c r="D131" s="364">
        <f t="shared" si="57"/>
        <v>216882.78802000004</v>
      </c>
      <c r="E131" s="364">
        <f t="shared" si="57"/>
        <v>223823.00998000003</v>
      </c>
      <c r="F131" s="364">
        <f t="shared" si="57"/>
        <v>248113.78684000002</v>
      </c>
      <c r="G131" s="364">
        <f t="shared" si="57"/>
        <v>272404.5637</v>
      </c>
      <c r="H131" s="364">
        <f t="shared" si="57"/>
        <v>268934.45272</v>
      </c>
      <c r="I131" s="364">
        <f t="shared" si="57"/>
        <v>288019.21134000004</v>
      </c>
      <c r="J131" s="364">
        <f t="shared" si="57"/>
        <v>272404.5637</v>
      </c>
      <c r="K131" s="364">
        <f t="shared" si="57"/>
        <v>256788.21252000003</v>
      </c>
      <c r="L131" s="364">
        <f t="shared" si="57"/>
        <v>218616.99174000003</v>
      </c>
      <c r="M131" s="364">
        <f t="shared" si="57"/>
        <v>246377.87958000004</v>
      </c>
      <c r="N131" s="364">
        <f>SUM(B131:M131)</f>
        <v>3097080.0120399999</v>
      </c>
    </row>
    <row r="132" spans="1:14" ht="10.5" customHeight="1"/>
    <row r="133" spans="1:14">
      <c r="A133" s="25">
        <f>+A108+1</f>
        <v>2019</v>
      </c>
      <c r="B133" s="280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</row>
    <row r="135" spans="1:14">
      <c r="A135" s="26" t="s">
        <v>37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>
      <c r="A136" s="27" t="s">
        <v>40</v>
      </c>
      <c r="B136" s="365">
        <f>[13]VERO_CP!B9*1000</f>
        <v>182000</v>
      </c>
      <c r="C136" s="365">
        <f>[13]VERO_CP!C9*1000</f>
        <v>158000</v>
      </c>
      <c r="D136" s="365">
        <f>[13]VERO_CP!D9*1000</f>
        <v>126000</v>
      </c>
      <c r="E136" s="365">
        <f>[13]VERO_CP!E9*1000</f>
        <v>131000</v>
      </c>
      <c r="F136" s="365">
        <f>[13]VERO_CP!F9*1000</f>
        <v>144000</v>
      </c>
      <c r="G136" s="365">
        <f>[13]VERO_CP!G9*1000</f>
        <v>158000</v>
      </c>
      <c r="H136" s="365">
        <f>[13]VERO_CP!H9*1000</f>
        <v>157000</v>
      </c>
      <c r="I136" s="365">
        <f>[13]VERO_CP!I9*1000</f>
        <v>168000</v>
      </c>
      <c r="J136" s="365">
        <f>[13]VERO_CP!J9*1000</f>
        <v>159000</v>
      </c>
      <c r="K136" s="365">
        <f>[13]VERO_CP!K9*1000</f>
        <v>149000</v>
      </c>
      <c r="L136" s="365">
        <f>[13]VERO_CP!L9*1000</f>
        <v>128000</v>
      </c>
      <c r="M136" s="365">
        <f>[13]VERO_CP!M9*1000</f>
        <v>143000</v>
      </c>
      <c r="N136" s="366">
        <f>SUM(B136:M136)</f>
        <v>1803000</v>
      </c>
    </row>
    <row r="137" spans="1:14">
      <c r="A137" s="27" t="s">
        <v>45</v>
      </c>
      <c r="B137" s="28">
        <f>ROUND(B136*'Transmission Formula Rate (7)'!$B$27,0)</f>
        <v>3367</v>
      </c>
      <c r="C137" s="28">
        <f>ROUND(C136*'Transmission Formula Rate (7)'!$B$27,0)</f>
        <v>2923</v>
      </c>
      <c r="D137" s="28">
        <f>ROUND(D136*'Transmission Formula Rate (7)'!$B$27,0)</f>
        <v>2331</v>
      </c>
      <c r="E137" s="28">
        <f>ROUND(E136*'Transmission Formula Rate (7)'!$B$27,0)</f>
        <v>2424</v>
      </c>
      <c r="F137" s="28">
        <f>ROUND(F136*'Transmission Formula Rate (7)'!$B$27,0)</f>
        <v>2664</v>
      </c>
      <c r="G137" s="28">
        <f>ROUND(G136*'Transmission Formula Rate (7)'!$B$27,0)</f>
        <v>2923</v>
      </c>
      <c r="H137" s="28">
        <f>ROUND(H136*'Transmission Formula Rate (7)'!$B$27,0)</f>
        <v>2905</v>
      </c>
      <c r="I137" s="28">
        <f>ROUND(I136*'Transmission Formula Rate (7)'!$B$27,0)</f>
        <v>3108</v>
      </c>
      <c r="J137" s="28">
        <f>ROUND(J136*'Transmission Formula Rate (7)'!$B$27,0)</f>
        <v>2942</v>
      </c>
      <c r="K137" s="28">
        <f>ROUND(K136*'Transmission Formula Rate (7)'!$B$27,0)</f>
        <v>2757</v>
      </c>
      <c r="L137" s="28">
        <f>ROUND(L136*'Transmission Formula Rate (7)'!$B$27,0)</f>
        <v>2368</v>
      </c>
      <c r="M137" s="28">
        <f>ROUND(M136*'Transmission Formula Rate (7)'!$B$27,0)</f>
        <v>2646</v>
      </c>
      <c r="N137" s="21">
        <f>SUM(B137:M137)</f>
        <v>33358</v>
      </c>
    </row>
    <row r="138" spans="1:14">
      <c r="A138" s="27" t="str">
        <f>A127</f>
        <v xml:space="preserve">       Vero Beach Load</v>
      </c>
      <c r="B138" s="28">
        <f t="shared" ref="B138:M138" si="58">B136+B137</f>
        <v>185367</v>
      </c>
      <c r="C138" s="28">
        <f t="shared" si="58"/>
        <v>160923</v>
      </c>
      <c r="D138" s="28">
        <f t="shared" si="58"/>
        <v>128331</v>
      </c>
      <c r="E138" s="28">
        <f t="shared" si="58"/>
        <v>133424</v>
      </c>
      <c r="F138" s="28">
        <f t="shared" si="58"/>
        <v>146664</v>
      </c>
      <c r="G138" s="28">
        <f t="shared" si="58"/>
        <v>160923</v>
      </c>
      <c r="H138" s="28">
        <f t="shared" si="58"/>
        <v>159905</v>
      </c>
      <c r="I138" s="28">
        <f t="shared" si="58"/>
        <v>171108</v>
      </c>
      <c r="J138" s="28">
        <f t="shared" si="58"/>
        <v>161942</v>
      </c>
      <c r="K138" s="28">
        <f t="shared" si="58"/>
        <v>151757</v>
      </c>
      <c r="L138" s="28">
        <f t="shared" si="58"/>
        <v>130368</v>
      </c>
      <c r="M138" s="28">
        <f t="shared" si="58"/>
        <v>145646</v>
      </c>
      <c r="N138" s="21">
        <f>SUM(B138:M138)</f>
        <v>1836358</v>
      </c>
    </row>
    <row r="139" spans="1:14">
      <c r="A139" s="26" t="s">
        <v>20</v>
      </c>
      <c r="B139" s="30">
        <f>'Transmission Formula Rate (7)'!B20</f>
        <v>1.59</v>
      </c>
      <c r="C139" s="30">
        <f>'Transmission Formula Rate (7)'!C20</f>
        <v>1.59</v>
      </c>
      <c r="D139" s="30">
        <f>'Transmission Formula Rate (7)'!D20</f>
        <v>1.59</v>
      </c>
      <c r="E139" s="30">
        <f>'Transmission Formula Rate (7)'!E20</f>
        <v>1.59</v>
      </c>
      <c r="F139" s="30">
        <f>'Transmission Formula Rate (7)'!F20</f>
        <v>1.59</v>
      </c>
      <c r="G139" s="30">
        <f>'Transmission Formula Rate (7)'!G20</f>
        <v>1.59</v>
      </c>
      <c r="H139" s="30">
        <f>'Transmission Formula Rate (7)'!H20</f>
        <v>1.59</v>
      </c>
      <c r="I139" s="30">
        <f>'Transmission Formula Rate (7)'!I20</f>
        <v>1.59</v>
      </c>
      <c r="J139" s="30">
        <f>'Transmission Formula Rate (7)'!J20</f>
        <v>1.59</v>
      </c>
      <c r="K139" s="30">
        <f>'Transmission Formula Rate (7)'!K20</f>
        <v>1.59</v>
      </c>
      <c r="L139" s="30">
        <f>'Transmission Formula Rate (7)'!L20</f>
        <v>1.59</v>
      </c>
      <c r="M139" s="30">
        <f>'Transmission Formula Rate (7)'!M20</f>
        <v>1.59</v>
      </c>
      <c r="N139" s="20"/>
    </row>
    <row r="140" spans="1:14">
      <c r="A140" s="26" t="s">
        <v>17</v>
      </c>
      <c r="B140" s="199">
        <f t="shared" ref="B140:M140" si="59">B138*B139</f>
        <v>294733.53000000003</v>
      </c>
      <c r="C140" s="199">
        <f t="shared" si="59"/>
        <v>255867.57</v>
      </c>
      <c r="D140" s="199">
        <f t="shared" si="59"/>
        <v>204046.29</v>
      </c>
      <c r="E140" s="199">
        <f t="shared" si="59"/>
        <v>212144.16</v>
      </c>
      <c r="F140" s="199">
        <f t="shared" si="59"/>
        <v>233195.76</v>
      </c>
      <c r="G140" s="199">
        <f t="shared" si="59"/>
        <v>255867.57</v>
      </c>
      <c r="H140" s="199">
        <f t="shared" si="59"/>
        <v>254248.95</v>
      </c>
      <c r="I140" s="199">
        <f t="shared" si="59"/>
        <v>272061.72000000003</v>
      </c>
      <c r="J140" s="199">
        <f t="shared" si="59"/>
        <v>257487.78</v>
      </c>
      <c r="K140" s="199">
        <f t="shared" si="59"/>
        <v>241293.63</v>
      </c>
      <c r="L140" s="199">
        <f t="shared" si="59"/>
        <v>207285.12000000002</v>
      </c>
      <c r="M140" s="199">
        <f t="shared" si="59"/>
        <v>231577.14</v>
      </c>
      <c r="N140" s="199">
        <f>SUM(B140:M140)</f>
        <v>2919809.22</v>
      </c>
    </row>
    <row r="141" spans="1:14" ht="8.2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ht="12.75" customHeight="1">
      <c r="A142" s="26" t="str">
        <f>A117</f>
        <v>TRANSMISSION SERVICE SCHEDULING CHARGE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ht="12.75" customHeight="1">
      <c r="A143" s="27" t="s">
        <v>40</v>
      </c>
      <c r="B143" s="28">
        <f>B136</f>
        <v>182000</v>
      </c>
      <c r="C143" s="28">
        <f t="shared" ref="C143:M143" si="60">C136</f>
        <v>158000</v>
      </c>
      <c r="D143" s="28">
        <f t="shared" si="60"/>
        <v>126000</v>
      </c>
      <c r="E143" s="28">
        <f t="shared" si="60"/>
        <v>131000</v>
      </c>
      <c r="F143" s="28">
        <f t="shared" si="60"/>
        <v>144000</v>
      </c>
      <c r="G143" s="28">
        <f t="shared" si="60"/>
        <v>158000</v>
      </c>
      <c r="H143" s="28">
        <f t="shared" si="60"/>
        <v>157000</v>
      </c>
      <c r="I143" s="28">
        <f t="shared" si="60"/>
        <v>168000</v>
      </c>
      <c r="J143" s="28">
        <f t="shared" si="60"/>
        <v>159000</v>
      </c>
      <c r="K143" s="28">
        <f t="shared" si="60"/>
        <v>149000</v>
      </c>
      <c r="L143" s="28">
        <f t="shared" si="60"/>
        <v>128000</v>
      </c>
      <c r="M143" s="28">
        <f t="shared" si="60"/>
        <v>143000</v>
      </c>
      <c r="N143" s="21">
        <f>SUM(B143:M143)</f>
        <v>1803000</v>
      </c>
    </row>
    <row r="144" spans="1:14" ht="12.75" customHeight="1">
      <c r="A144" s="27" t="s">
        <v>45</v>
      </c>
      <c r="B144" s="28">
        <f>ROUND(B143*'Transmission Formula Rate (7)'!$B$27,0)</f>
        <v>3367</v>
      </c>
      <c r="C144" s="28">
        <f>ROUND(C143*'Transmission Formula Rate (7)'!$B$27,0)</f>
        <v>2923</v>
      </c>
      <c r="D144" s="28">
        <f>ROUND(D143*'Transmission Formula Rate (7)'!$B$27,0)</f>
        <v>2331</v>
      </c>
      <c r="E144" s="28">
        <f>ROUND(E143*'Transmission Formula Rate (7)'!$B$27,0)</f>
        <v>2424</v>
      </c>
      <c r="F144" s="28">
        <f>ROUND(F143*'Transmission Formula Rate (7)'!$B$27,0)</f>
        <v>2664</v>
      </c>
      <c r="G144" s="28">
        <f>ROUND(G143*'Transmission Formula Rate (7)'!$B$27,0)</f>
        <v>2923</v>
      </c>
      <c r="H144" s="28">
        <f>ROUND(H143*'Transmission Formula Rate (7)'!$B$27,0)</f>
        <v>2905</v>
      </c>
      <c r="I144" s="28">
        <f>ROUND(I143*'Transmission Formula Rate (7)'!$B$27,0)</f>
        <v>3108</v>
      </c>
      <c r="J144" s="28">
        <f>ROUND(J143*'Transmission Formula Rate (7)'!$B$27,0)</f>
        <v>2942</v>
      </c>
      <c r="K144" s="28">
        <f>ROUND(K143*'Transmission Formula Rate (7)'!$B$27,0)</f>
        <v>2757</v>
      </c>
      <c r="L144" s="28">
        <f>ROUND(L143*'Transmission Formula Rate (7)'!$B$27,0)</f>
        <v>2368</v>
      </c>
      <c r="M144" s="28">
        <f>ROUND(M143*'Transmission Formula Rate (7)'!$B$27,0)</f>
        <v>2646</v>
      </c>
      <c r="N144" s="21">
        <f>SUM(B144:M144)</f>
        <v>33358</v>
      </c>
    </row>
    <row r="145" spans="1:14" ht="12.75" customHeight="1">
      <c r="A145" s="27" t="str">
        <f>A138</f>
        <v xml:space="preserve">       Vero Beach Load</v>
      </c>
      <c r="B145" s="28">
        <f t="shared" ref="B145:M145" si="61">B143+B144</f>
        <v>185367</v>
      </c>
      <c r="C145" s="28">
        <f t="shared" si="61"/>
        <v>160923</v>
      </c>
      <c r="D145" s="28">
        <f t="shared" si="61"/>
        <v>128331</v>
      </c>
      <c r="E145" s="28">
        <f t="shared" si="61"/>
        <v>133424</v>
      </c>
      <c r="F145" s="28">
        <f t="shared" si="61"/>
        <v>146664</v>
      </c>
      <c r="G145" s="28">
        <f t="shared" si="61"/>
        <v>160923</v>
      </c>
      <c r="H145" s="28">
        <f t="shared" si="61"/>
        <v>159905</v>
      </c>
      <c r="I145" s="28">
        <f t="shared" si="61"/>
        <v>171108</v>
      </c>
      <c r="J145" s="28">
        <f t="shared" si="61"/>
        <v>161942</v>
      </c>
      <c r="K145" s="28">
        <f t="shared" si="61"/>
        <v>151757</v>
      </c>
      <c r="L145" s="28">
        <f t="shared" si="61"/>
        <v>130368</v>
      </c>
      <c r="M145" s="28">
        <f t="shared" si="61"/>
        <v>145646</v>
      </c>
      <c r="N145" s="21">
        <f>SUM(B145:M145)</f>
        <v>1836358</v>
      </c>
    </row>
    <row r="146" spans="1:14" ht="12.75" customHeight="1">
      <c r="A146" s="26" t="s">
        <v>20</v>
      </c>
      <c r="B146" s="32">
        <f>'charges (1 &amp; 2)'!H39</f>
        <v>1.274E-2</v>
      </c>
      <c r="C146" s="32">
        <f>B146</f>
        <v>1.274E-2</v>
      </c>
      <c r="D146" s="32">
        <f t="shared" ref="D146" si="62">C146</f>
        <v>1.274E-2</v>
      </c>
      <c r="E146" s="32">
        <f t="shared" ref="E146" si="63">D146</f>
        <v>1.274E-2</v>
      </c>
      <c r="F146" s="32">
        <f t="shared" ref="F146" si="64">E146</f>
        <v>1.274E-2</v>
      </c>
      <c r="G146" s="32">
        <f t="shared" ref="G146" si="65">F146</f>
        <v>1.274E-2</v>
      </c>
      <c r="H146" s="32">
        <f t="shared" ref="H146" si="66">G146</f>
        <v>1.274E-2</v>
      </c>
      <c r="I146" s="32">
        <f t="shared" ref="I146" si="67">H146</f>
        <v>1.274E-2</v>
      </c>
      <c r="J146" s="32">
        <f t="shared" ref="J146" si="68">I146</f>
        <v>1.274E-2</v>
      </c>
      <c r="K146" s="32">
        <f t="shared" ref="K146" si="69">J146</f>
        <v>1.274E-2</v>
      </c>
      <c r="L146" s="32">
        <f t="shared" ref="L146" si="70">K146</f>
        <v>1.274E-2</v>
      </c>
      <c r="M146" s="32">
        <f t="shared" ref="M146" si="71">L146</f>
        <v>1.274E-2</v>
      </c>
      <c r="N146" s="20"/>
    </row>
    <row r="147" spans="1:14" ht="12.75" customHeight="1">
      <c r="A147" s="26" t="s">
        <v>17</v>
      </c>
      <c r="B147" s="199">
        <f t="shared" ref="B147:M147" si="72">B145*B146</f>
        <v>2361.5755799999997</v>
      </c>
      <c r="C147" s="199">
        <f t="shared" si="72"/>
        <v>2050.1590200000001</v>
      </c>
      <c r="D147" s="199">
        <f t="shared" si="72"/>
        <v>1634.93694</v>
      </c>
      <c r="E147" s="199">
        <f t="shared" si="72"/>
        <v>1699.82176</v>
      </c>
      <c r="F147" s="199">
        <f t="shared" si="72"/>
        <v>1868.49936</v>
      </c>
      <c r="G147" s="199">
        <f t="shared" si="72"/>
        <v>2050.1590200000001</v>
      </c>
      <c r="H147" s="199">
        <f t="shared" si="72"/>
        <v>2037.1896999999999</v>
      </c>
      <c r="I147" s="199">
        <f t="shared" si="72"/>
        <v>2179.9159199999999</v>
      </c>
      <c r="J147" s="199">
        <f t="shared" si="72"/>
        <v>2063.1410799999999</v>
      </c>
      <c r="K147" s="199">
        <f t="shared" si="72"/>
        <v>1933.38418</v>
      </c>
      <c r="L147" s="199">
        <f t="shared" si="72"/>
        <v>1660.88832</v>
      </c>
      <c r="M147" s="199">
        <f t="shared" si="72"/>
        <v>1855.5300399999999</v>
      </c>
      <c r="N147" s="199">
        <f>SUM(B147:M147)</f>
        <v>23395.200919999999</v>
      </c>
    </row>
    <row r="148" spans="1:14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>
      <c r="A149" s="26" t="s">
        <v>38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>
      <c r="A150" s="27" t="s">
        <v>40</v>
      </c>
      <c r="B150" s="28">
        <f t="shared" ref="B150:M150" si="73">B136</f>
        <v>182000</v>
      </c>
      <c r="C150" s="28">
        <f t="shared" si="73"/>
        <v>158000</v>
      </c>
      <c r="D150" s="28">
        <f t="shared" si="73"/>
        <v>126000</v>
      </c>
      <c r="E150" s="28">
        <f t="shared" si="73"/>
        <v>131000</v>
      </c>
      <c r="F150" s="28">
        <f t="shared" si="73"/>
        <v>144000</v>
      </c>
      <c r="G150" s="28">
        <f t="shared" si="73"/>
        <v>158000</v>
      </c>
      <c r="H150" s="28">
        <f t="shared" si="73"/>
        <v>157000</v>
      </c>
      <c r="I150" s="28">
        <f t="shared" si="73"/>
        <v>168000</v>
      </c>
      <c r="J150" s="28">
        <f t="shared" si="73"/>
        <v>159000</v>
      </c>
      <c r="K150" s="28">
        <f t="shared" si="73"/>
        <v>149000</v>
      </c>
      <c r="L150" s="28">
        <f t="shared" si="73"/>
        <v>128000</v>
      </c>
      <c r="M150" s="28">
        <f t="shared" si="73"/>
        <v>143000</v>
      </c>
      <c r="N150" s="21">
        <f>SUM(B150:M150)</f>
        <v>1803000</v>
      </c>
    </row>
    <row r="151" spans="1:14">
      <c r="A151" s="27" t="s">
        <v>45</v>
      </c>
      <c r="B151" s="28">
        <f>ROUND(B150*'Transmission Formula Rate (7)'!$B$27,0)</f>
        <v>3367</v>
      </c>
      <c r="C151" s="28">
        <f>ROUND(C150*'Transmission Formula Rate (7)'!$B$27,0)</f>
        <v>2923</v>
      </c>
      <c r="D151" s="28">
        <f>ROUND(D150*'Transmission Formula Rate (7)'!$B$27,0)</f>
        <v>2331</v>
      </c>
      <c r="E151" s="28">
        <f>ROUND(E150*'Transmission Formula Rate (7)'!$B$27,0)</f>
        <v>2424</v>
      </c>
      <c r="F151" s="28">
        <f>ROUND(F150*'Transmission Formula Rate (7)'!$B$27,0)</f>
        <v>2664</v>
      </c>
      <c r="G151" s="28">
        <f>ROUND(G150*'Transmission Formula Rate (7)'!$B$27,0)</f>
        <v>2923</v>
      </c>
      <c r="H151" s="28">
        <f>ROUND(H150*'Transmission Formula Rate (7)'!$B$27,0)</f>
        <v>2905</v>
      </c>
      <c r="I151" s="28">
        <f>ROUND(I150*'Transmission Formula Rate (7)'!$B$27,0)</f>
        <v>3108</v>
      </c>
      <c r="J151" s="28">
        <f>ROUND(J150*'Transmission Formula Rate (7)'!$B$27,0)</f>
        <v>2942</v>
      </c>
      <c r="K151" s="28">
        <f>ROUND(K150*'Transmission Formula Rate (7)'!$B$27,0)</f>
        <v>2757</v>
      </c>
      <c r="L151" s="28">
        <f>ROUND(L150*'Transmission Formula Rate (7)'!$B$27,0)</f>
        <v>2368</v>
      </c>
      <c r="M151" s="28">
        <f>ROUND(M150*'Transmission Formula Rate (7)'!$B$27,0)</f>
        <v>2646</v>
      </c>
      <c r="N151" s="21">
        <f>SUM(B151:M151)</f>
        <v>33358</v>
      </c>
    </row>
    <row r="152" spans="1:14">
      <c r="A152" s="27" t="str">
        <f>A138</f>
        <v xml:space="preserve">       Vero Beach Load</v>
      </c>
      <c r="B152" s="28">
        <f t="shared" ref="B152:M152" si="74">B150+B151</f>
        <v>185367</v>
      </c>
      <c r="C152" s="28">
        <f t="shared" si="74"/>
        <v>160923</v>
      </c>
      <c r="D152" s="28">
        <f t="shared" si="74"/>
        <v>128331</v>
      </c>
      <c r="E152" s="28">
        <f t="shared" si="74"/>
        <v>133424</v>
      </c>
      <c r="F152" s="28">
        <f t="shared" si="74"/>
        <v>146664</v>
      </c>
      <c r="G152" s="28">
        <f t="shared" si="74"/>
        <v>160923</v>
      </c>
      <c r="H152" s="28">
        <f t="shared" si="74"/>
        <v>159905</v>
      </c>
      <c r="I152" s="28">
        <f t="shared" si="74"/>
        <v>171108</v>
      </c>
      <c r="J152" s="28">
        <f t="shared" si="74"/>
        <v>161942</v>
      </c>
      <c r="K152" s="28">
        <f t="shared" si="74"/>
        <v>151757</v>
      </c>
      <c r="L152" s="28">
        <f t="shared" si="74"/>
        <v>130368</v>
      </c>
      <c r="M152" s="28">
        <f t="shared" si="74"/>
        <v>145646</v>
      </c>
      <c r="N152" s="21">
        <f>SUM(B152:M152)</f>
        <v>1836358</v>
      </c>
    </row>
    <row r="153" spans="1:14">
      <c r="A153" s="26" t="s">
        <v>20</v>
      </c>
      <c r="B153" s="32">
        <f>'charges (1 &amp; 2)'!$G$38</f>
        <v>0.1008</v>
      </c>
      <c r="C153" s="32">
        <f>B153</f>
        <v>0.1008</v>
      </c>
      <c r="D153" s="32">
        <f t="shared" ref="D153" si="75">C153</f>
        <v>0.1008</v>
      </c>
      <c r="E153" s="32">
        <f t="shared" ref="E153" si="76">D153</f>
        <v>0.1008</v>
      </c>
      <c r="F153" s="32">
        <f t="shared" ref="F153" si="77">E153</f>
        <v>0.1008</v>
      </c>
      <c r="G153" s="32">
        <f t="shared" ref="G153" si="78">F153</f>
        <v>0.1008</v>
      </c>
      <c r="H153" s="32">
        <f t="shared" ref="H153" si="79">G153</f>
        <v>0.1008</v>
      </c>
      <c r="I153" s="32">
        <f t="shared" ref="I153" si="80">H153</f>
        <v>0.1008</v>
      </c>
      <c r="J153" s="32">
        <f t="shared" ref="J153" si="81">I153</f>
        <v>0.1008</v>
      </c>
      <c r="K153" s="32">
        <f t="shared" ref="K153" si="82">J153</f>
        <v>0.1008</v>
      </c>
      <c r="L153" s="32">
        <f t="shared" ref="L153" si="83">K153</f>
        <v>0.1008</v>
      </c>
      <c r="M153" s="32">
        <f t="shared" ref="M153" si="84">L153</f>
        <v>0.1008</v>
      </c>
      <c r="N153" s="20"/>
    </row>
    <row r="154" spans="1:14">
      <c r="A154" s="26" t="s">
        <v>17</v>
      </c>
      <c r="B154" s="199">
        <f t="shared" ref="B154:M154" si="85">B152*B153</f>
        <v>18684.993600000002</v>
      </c>
      <c r="C154" s="199">
        <f t="shared" si="85"/>
        <v>16221.038399999999</v>
      </c>
      <c r="D154" s="199">
        <f t="shared" si="85"/>
        <v>12935.764800000001</v>
      </c>
      <c r="E154" s="199">
        <f t="shared" si="85"/>
        <v>13449.1392</v>
      </c>
      <c r="F154" s="199">
        <f t="shared" si="85"/>
        <v>14783.7312</v>
      </c>
      <c r="G154" s="199">
        <f t="shared" si="85"/>
        <v>16221.038399999999</v>
      </c>
      <c r="H154" s="199">
        <f t="shared" si="85"/>
        <v>16118.424000000001</v>
      </c>
      <c r="I154" s="199">
        <f t="shared" si="85"/>
        <v>17247.686399999999</v>
      </c>
      <c r="J154" s="199">
        <f t="shared" si="85"/>
        <v>16323.7536</v>
      </c>
      <c r="K154" s="199">
        <f t="shared" si="85"/>
        <v>15297.105600000001</v>
      </c>
      <c r="L154" s="199">
        <f t="shared" si="85"/>
        <v>13141.0944</v>
      </c>
      <c r="M154" s="199">
        <f t="shared" si="85"/>
        <v>14681.1168</v>
      </c>
      <c r="N154" s="199">
        <f>SUM(B154:M154)</f>
        <v>185104.88639999999</v>
      </c>
    </row>
    <row r="155" spans="1:14" ht="6.75" customHeight="1">
      <c r="A155" s="26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>
      <c r="A156" s="26" t="s">
        <v>25</v>
      </c>
      <c r="B156" s="364">
        <f>B140+B154+B147</f>
        <v>315780.09918000002</v>
      </c>
      <c r="C156" s="364">
        <f t="shared" ref="C156:M156" si="86">C140+C154+C147</f>
        <v>274138.76742000005</v>
      </c>
      <c r="D156" s="364">
        <f t="shared" si="86"/>
        <v>218616.99174000003</v>
      </c>
      <c r="E156" s="364">
        <f t="shared" si="86"/>
        <v>227293.12096</v>
      </c>
      <c r="F156" s="364">
        <f t="shared" si="86"/>
        <v>249847.99056000001</v>
      </c>
      <c r="G156" s="364">
        <f t="shared" si="86"/>
        <v>274138.76742000005</v>
      </c>
      <c r="H156" s="364">
        <f t="shared" si="86"/>
        <v>272404.5637</v>
      </c>
      <c r="I156" s="364">
        <f t="shared" si="86"/>
        <v>291489.32232000004</v>
      </c>
      <c r="J156" s="364">
        <f t="shared" si="86"/>
        <v>275874.67468</v>
      </c>
      <c r="K156" s="364">
        <f t="shared" si="86"/>
        <v>258524.11978000001</v>
      </c>
      <c r="L156" s="364">
        <f t="shared" si="86"/>
        <v>222087.10272000002</v>
      </c>
      <c r="M156" s="364">
        <f t="shared" si="86"/>
        <v>248113.78684000002</v>
      </c>
      <c r="N156" s="364">
        <f>SUM(B156:M156)</f>
        <v>3128309.3073200001</v>
      </c>
    </row>
    <row r="158" spans="1:14">
      <c r="A158" s="25">
        <f>+A133+1</f>
        <v>2020</v>
      </c>
      <c r="B158" s="280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</row>
    <row r="160" spans="1:14">
      <c r="A160" s="26" t="s">
        <v>37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>
      <c r="A161" s="27" t="s">
        <v>40</v>
      </c>
      <c r="B161" s="365">
        <f>[13]VERO_CP!B10*1000</f>
        <v>183000</v>
      </c>
      <c r="C161" s="365">
        <f>[13]VERO_CP!C10*1000</f>
        <v>160000</v>
      </c>
      <c r="D161" s="365">
        <f>[13]VERO_CP!D10*1000</f>
        <v>128000</v>
      </c>
      <c r="E161" s="365">
        <f>[13]VERO_CP!E10*1000</f>
        <v>131000</v>
      </c>
      <c r="F161" s="365">
        <f>[13]VERO_CP!F10*1000</f>
        <v>145000</v>
      </c>
      <c r="G161" s="365">
        <f>[13]VERO_CP!G10*1000</f>
        <v>160000</v>
      </c>
      <c r="H161" s="365">
        <f>[13]VERO_CP!H10*1000</f>
        <v>158000</v>
      </c>
      <c r="I161" s="365">
        <f>[13]VERO_CP!I10*1000</f>
        <v>169000</v>
      </c>
      <c r="J161" s="365">
        <f>[13]VERO_CP!J10*1000</f>
        <v>160000</v>
      </c>
      <c r="K161" s="365">
        <f>[13]VERO_CP!K10*1000</f>
        <v>151000</v>
      </c>
      <c r="L161" s="365">
        <f>[13]VERO_CP!L10*1000</f>
        <v>129000</v>
      </c>
      <c r="M161" s="365">
        <f>[13]VERO_CP!M10*1000</f>
        <v>145000</v>
      </c>
      <c r="N161" s="366">
        <f>SUM(B161:M161)</f>
        <v>1819000</v>
      </c>
    </row>
    <row r="162" spans="1:14">
      <c r="A162" s="27" t="s">
        <v>45</v>
      </c>
      <c r="B162" s="28">
        <f>ROUND(B161*'Transmission Formula Rate (7)'!$B$27,0)</f>
        <v>3386</v>
      </c>
      <c r="C162" s="28">
        <f>ROUND(C161*'Transmission Formula Rate (7)'!$B$27,0)</f>
        <v>2960</v>
      </c>
      <c r="D162" s="28">
        <f>ROUND(D161*'Transmission Formula Rate (7)'!$B$27,0)</f>
        <v>2368</v>
      </c>
      <c r="E162" s="28">
        <f>ROUND(E161*'Transmission Formula Rate (7)'!$B$27,0)</f>
        <v>2424</v>
      </c>
      <c r="F162" s="28">
        <f>ROUND(F161*'Transmission Formula Rate (7)'!$B$27,0)</f>
        <v>2683</v>
      </c>
      <c r="G162" s="28">
        <f>ROUND(G161*'Transmission Formula Rate (7)'!$B$27,0)</f>
        <v>2960</v>
      </c>
      <c r="H162" s="28">
        <f>ROUND(H161*'Transmission Formula Rate (7)'!$B$27,0)</f>
        <v>2923</v>
      </c>
      <c r="I162" s="28">
        <f>ROUND(I161*'Transmission Formula Rate (7)'!$B$27,0)</f>
        <v>3127</v>
      </c>
      <c r="J162" s="28">
        <f>ROUND(J161*'Transmission Formula Rate (7)'!$B$27,0)</f>
        <v>2960</v>
      </c>
      <c r="K162" s="28">
        <f>ROUND(K161*'Transmission Formula Rate (7)'!$B$27,0)</f>
        <v>2794</v>
      </c>
      <c r="L162" s="28">
        <f>ROUND(L161*'Transmission Formula Rate (7)'!$B$27,0)</f>
        <v>2387</v>
      </c>
      <c r="M162" s="28">
        <f>ROUND(M161*'Transmission Formula Rate (7)'!$B$27,0)</f>
        <v>2683</v>
      </c>
      <c r="N162" s="21">
        <f>SUM(B162:M162)</f>
        <v>33655</v>
      </c>
    </row>
    <row r="163" spans="1:14">
      <c r="A163" s="27" t="str">
        <f>A152</f>
        <v xml:space="preserve">       Vero Beach Load</v>
      </c>
      <c r="B163" s="28">
        <f t="shared" ref="B163:M163" si="87">B161+B162</f>
        <v>186386</v>
      </c>
      <c r="C163" s="28">
        <f t="shared" si="87"/>
        <v>162960</v>
      </c>
      <c r="D163" s="28">
        <f t="shared" si="87"/>
        <v>130368</v>
      </c>
      <c r="E163" s="28">
        <f t="shared" si="87"/>
        <v>133424</v>
      </c>
      <c r="F163" s="28">
        <f t="shared" si="87"/>
        <v>147683</v>
      </c>
      <c r="G163" s="28">
        <f t="shared" si="87"/>
        <v>162960</v>
      </c>
      <c r="H163" s="28">
        <f t="shared" si="87"/>
        <v>160923</v>
      </c>
      <c r="I163" s="28">
        <f t="shared" si="87"/>
        <v>172127</v>
      </c>
      <c r="J163" s="28">
        <f t="shared" si="87"/>
        <v>162960</v>
      </c>
      <c r="K163" s="28">
        <f t="shared" si="87"/>
        <v>153794</v>
      </c>
      <c r="L163" s="28">
        <f t="shared" si="87"/>
        <v>131387</v>
      </c>
      <c r="M163" s="28">
        <f t="shared" si="87"/>
        <v>147683</v>
      </c>
      <c r="N163" s="21">
        <f>SUM(B163:M163)</f>
        <v>1852655</v>
      </c>
    </row>
    <row r="164" spans="1:14">
      <c r="A164" s="26" t="s">
        <v>20</v>
      </c>
      <c r="B164" s="30">
        <f>B139</f>
        <v>1.59</v>
      </c>
      <c r="C164" s="30">
        <f t="shared" ref="C164:M164" si="88">C139</f>
        <v>1.59</v>
      </c>
      <c r="D164" s="30">
        <f t="shared" si="88"/>
        <v>1.59</v>
      </c>
      <c r="E164" s="30">
        <f t="shared" si="88"/>
        <v>1.59</v>
      </c>
      <c r="F164" s="30">
        <f t="shared" si="88"/>
        <v>1.59</v>
      </c>
      <c r="G164" s="30">
        <f t="shared" si="88"/>
        <v>1.59</v>
      </c>
      <c r="H164" s="30">
        <f t="shared" si="88"/>
        <v>1.59</v>
      </c>
      <c r="I164" s="30">
        <f t="shared" si="88"/>
        <v>1.59</v>
      </c>
      <c r="J164" s="30">
        <f t="shared" si="88"/>
        <v>1.59</v>
      </c>
      <c r="K164" s="30">
        <f t="shared" si="88"/>
        <v>1.59</v>
      </c>
      <c r="L164" s="30">
        <f t="shared" si="88"/>
        <v>1.59</v>
      </c>
      <c r="M164" s="30">
        <f t="shared" si="88"/>
        <v>1.59</v>
      </c>
      <c r="N164" s="20"/>
    </row>
    <row r="165" spans="1:14">
      <c r="A165" s="26" t="s">
        <v>17</v>
      </c>
      <c r="B165" s="199">
        <f t="shared" ref="B165:M165" si="89">B163*B164</f>
        <v>296353.74</v>
      </c>
      <c r="C165" s="199">
        <f t="shared" si="89"/>
        <v>259106.40000000002</v>
      </c>
      <c r="D165" s="199">
        <f t="shared" si="89"/>
        <v>207285.12000000002</v>
      </c>
      <c r="E165" s="199">
        <f t="shared" si="89"/>
        <v>212144.16</v>
      </c>
      <c r="F165" s="199">
        <f t="shared" si="89"/>
        <v>234815.97</v>
      </c>
      <c r="G165" s="199">
        <f t="shared" si="89"/>
        <v>259106.40000000002</v>
      </c>
      <c r="H165" s="199">
        <f t="shared" si="89"/>
        <v>255867.57</v>
      </c>
      <c r="I165" s="199">
        <f t="shared" si="89"/>
        <v>273681.93</v>
      </c>
      <c r="J165" s="199">
        <f t="shared" si="89"/>
        <v>259106.40000000002</v>
      </c>
      <c r="K165" s="199">
        <f t="shared" si="89"/>
        <v>244532.46000000002</v>
      </c>
      <c r="L165" s="199">
        <f t="shared" si="89"/>
        <v>208905.33000000002</v>
      </c>
      <c r="M165" s="199">
        <f t="shared" si="89"/>
        <v>234815.97</v>
      </c>
      <c r="N165" s="199">
        <f>SUM(B165:M165)</f>
        <v>2945721.45</v>
      </c>
    </row>
    <row r="166" spans="1:14" ht="8.2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12.75" customHeight="1">
      <c r="A167" s="26" t="str">
        <f>A142</f>
        <v>TRANSMISSION SERVICE SCHEDULING CHARGE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ht="12.75" customHeight="1">
      <c r="A168" s="27" t="s">
        <v>40</v>
      </c>
      <c r="B168" s="28">
        <f>B161</f>
        <v>183000</v>
      </c>
      <c r="C168" s="28">
        <f t="shared" ref="C168:M168" si="90">C161</f>
        <v>160000</v>
      </c>
      <c r="D168" s="28">
        <f t="shared" si="90"/>
        <v>128000</v>
      </c>
      <c r="E168" s="28">
        <f t="shared" si="90"/>
        <v>131000</v>
      </c>
      <c r="F168" s="28">
        <f t="shared" si="90"/>
        <v>145000</v>
      </c>
      <c r="G168" s="28">
        <f t="shared" si="90"/>
        <v>160000</v>
      </c>
      <c r="H168" s="28">
        <f t="shared" si="90"/>
        <v>158000</v>
      </c>
      <c r="I168" s="28">
        <f t="shared" si="90"/>
        <v>169000</v>
      </c>
      <c r="J168" s="28">
        <f t="shared" si="90"/>
        <v>160000</v>
      </c>
      <c r="K168" s="28">
        <f t="shared" si="90"/>
        <v>151000</v>
      </c>
      <c r="L168" s="28">
        <f t="shared" si="90"/>
        <v>129000</v>
      </c>
      <c r="M168" s="28">
        <f t="shared" si="90"/>
        <v>145000</v>
      </c>
      <c r="N168" s="21">
        <f>SUM(B168:M168)</f>
        <v>1819000</v>
      </c>
    </row>
    <row r="169" spans="1:14" ht="12.75" customHeight="1">
      <c r="A169" s="27" t="s">
        <v>45</v>
      </c>
      <c r="B169" s="28">
        <f>ROUND(B168*'Transmission Formula Rate (7)'!$B$27,0)</f>
        <v>3386</v>
      </c>
      <c r="C169" s="28">
        <f>ROUND(C168*'Transmission Formula Rate (7)'!$B$27,0)</f>
        <v>2960</v>
      </c>
      <c r="D169" s="28">
        <f>ROUND(D168*'Transmission Formula Rate (7)'!$B$27,0)</f>
        <v>2368</v>
      </c>
      <c r="E169" s="28">
        <f>ROUND(E168*'Transmission Formula Rate (7)'!$B$27,0)</f>
        <v>2424</v>
      </c>
      <c r="F169" s="28">
        <f>ROUND(F168*'Transmission Formula Rate (7)'!$B$27,0)</f>
        <v>2683</v>
      </c>
      <c r="G169" s="28">
        <f>ROUND(G168*'Transmission Formula Rate (7)'!$B$27,0)</f>
        <v>2960</v>
      </c>
      <c r="H169" s="28">
        <f>ROUND(H168*'Transmission Formula Rate (7)'!$B$27,0)</f>
        <v>2923</v>
      </c>
      <c r="I169" s="28">
        <f>ROUND(I168*'Transmission Formula Rate (7)'!$B$27,0)</f>
        <v>3127</v>
      </c>
      <c r="J169" s="28">
        <f>ROUND(J168*'Transmission Formula Rate (7)'!$B$27,0)</f>
        <v>2960</v>
      </c>
      <c r="K169" s="28">
        <f>ROUND(K168*'Transmission Formula Rate (7)'!$B$27,0)</f>
        <v>2794</v>
      </c>
      <c r="L169" s="28">
        <f>ROUND(L168*'Transmission Formula Rate (7)'!$B$27,0)</f>
        <v>2387</v>
      </c>
      <c r="M169" s="28">
        <f>ROUND(M168*'Transmission Formula Rate (7)'!$B$27,0)</f>
        <v>2683</v>
      </c>
      <c r="N169" s="21">
        <f>SUM(B169:M169)</f>
        <v>33655</v>
      </c>
    </row>
    <row r="170" spans="1:14" ht="12.75" customHeight="1">
      <c r="A170" s="27" t="str">
        <f>A163</f>
        <v xml:space="preserve">       Vero Beach Load</v>
      </c>
      <c r="B170" s="28">
        <f t="shared" ref="B170:M170" si="91">B168+B169</f>
        <v>186386</v>
      </c>
      <c r="C170" s="28">
        <f t="shared" si="91"/>
        <v>162960</v>
      </c>
      <c r="D170" s="28">
        <f t="shared" si="91"/>
        <v>130368</v>
      </c>
      <c r="E170" s="28">
        <f t="shared" si="91"/>
        <v>133424</v>
      </c>
      <c r="F170" s="28">
        <f t="shared" si="91"/>
        <v>147683</v>
      </c>
      <c r="G170" s="28">
        <f t="shared" si="91"/>
        <v>162960</v>
      </c>
      <c r="H170" s="28">
        <f t="shared" si="91"/>
        <v>160923</v>
      </c>
      <c r="I170" s="28">
        <f t="shared" si="91"/>
        <v>172127</v>
      </c>
      <c r="J170" s="28">
        <f t="shared" si="91"/>
        <v>162960</v>
      </c>
      <c r="K170" s="28">
        <f t="shared" si="91"/>
        <v>153794</v>
      </c>
      <c r="L170" s="28">
        <f t="shared" si="91"/>
        <v>131387</v>
      </c>
      <c r="M170" s="28">
        <f t="shared" si="91"/>
        <v>147683</v>
      </c>
      <c r="N170" s="21">
        <f>SUM(B170:M170)</f>
        <v>1852655</v>
      </c>
    </row>
    <row r="171" spans="1:14" ht="12.75" customHeight="1">
      <c r="A171" s="26" t="s">
        <v>20</v>
      </c>
      <c r="B171" s="32">
        <f>B146</f>
        <v>1.274E-2</v>
      </c>
      <c r="C171" s="32">
        <f>B171</f>
        <v>1.274E-2</v>
      </c>
      <c r="D171" s="32">
        <f t="shared" ref="D171" si="92">C171</f>
        <v>1.274E-2</v>
      </c>
      <c r="E171" s="32">
        <f t="shared" ref="E171" si="93">D171</f>
        <v>1.274E-2</v>
      </c>
      <c r="F171" s="32">
        <f t="shared" ref="F171" si="94">E171</f>
        <v>1.274E-2</v>
      </c>
      <c r="G171" s="32">
        <f t="shared" ref="G171" si="95">F171</f>
        <v>1.274E-2</v>
      </c>
      <c r="H171" s="32">
        <f t="shared" ref="H171" si="96">G171</f>
        <v>1.274E-2</v>
      </c>
      <c r="I171" s="32">
        <f t="shared" ref="I171" si="97">H171</f>
        <v>1.274E-2</v>
      </c>
      <c r="J171" s="32">
        <f t="shared" ref="J171" si="98">I171</f>
        <v>1.274E-2</v>
      </c>
      <c r="K171" s="32">
        <f t="shared" ref="K171" si="99">J171</f>
        <v>1.274E-2</v>
      </c>
      <c r="L171" s="32">
        <f t="shared" ref="L171" si="100">K171</f>
        <v>1.274E-2</v>
      </c>
      <c r="M171" s="32">
        <f t="shared" ref="M171" si="101">L171</f>
        <v>1.274E-2</v>
      </c>
      <c r="N171" s="20"/>
    </row>
    <row r="172" spans="1:14" ht="12.75" customHeight="1">
      <c r="A172" s="26" t="s">
        <v>17</v>
      </c>
      <c r="B172" s="199">
        <f t="shared" ref="B172:M172" si="102">B170*B171</f>
        <v>2374.55764</v>
      </c>
      <c r="C172" s="199">
        <f t="shared" si="102"/>
        <v>2076.1104</v>
      </c>
      <c r="D172" s="199">
        <f t="shared" si="102"/>
        <v>1660.88832</v>
      </c>
      <c r="E172" s="199">
        <f t="shared" si="102"/>
        <v>1699.82176</v>
      </c>
      <c r="F172" s="199">
        <f t="shared" si="102"/>
        <v>1881.4814199999998</v>
      </c>
      <c r="G172" s="199">
        <f t="shared" si="102"/>
        <v>2076.1104</v>
      </c>
      <c r="H172" s="199">
        <f t="shared" si="102"/>
        <v>2050.1590200000001</v>
      </c>
      <c r="I172" s="199">
        <f t="shared" si="102"/>
        <v>2192.8979799999997</v>
      </c>
      <c r="J172" s="199">
        <f t="shared" si="102"/>
        <v>2076.1104</v>
      </c>
      <c r="K172" s="199">
        <f t="shared" si="102"/>
        <v>1959.33556</v>
      </c>
      <c r="L172" s="199">
        <f t="shared" si="102"/>
        <v>1673.8703799999998</v>
      </c>
      <c r="M172" s="199">
        <f t="shared" si="102"/>
        <v>1881.4814199999998</v>
      </c>
      <c r="N172" s="199">
        <f>SUM(B172:M172)</f>
        <v>23602.824699999997</v>
      </c>
    </row>
    <row r="173" spans="1:14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>
      <c r="A174" s="26" t="s">
        <v>38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>
      <c r="A175" s="27" t="s">
        <v>40</v>
      </c>
      <c r="B175" s="28">
        <f t="shared" ref="B175:M175" si="103">B161</f>
        <v>183000</v>
      </c>
      <c r="C175" s="28">
        <f t="shared" si="103"/>
        <v>160000</v>
      </c>
      <c r="D175" s="28">
        <f t="shared" si="103"/>
        <v>128000</v>
      </c>
      <c r="E175" s="28">
        <f t="shared" si="103"/>
        <v>131000</v>
      </c>
      <c r="F175" s="28">
        <f t="shared" si="103"/>
        <v>145000</v>
      </c>
      <c r="G175" s="28">
        <f t="shared" si="103"/>
        <v>160000</v>
      </c>
      <c r="H175" s="28">
        <f t="shared" si="103"/>
        <v>158000</v>
      </c>
      <c r="I175" s="28">
        <f t="shared" si="103"/>
        <v>169000</v>
      </c>
      <c r="J175" s="28">
        <f t="shared" si="103"/>
        <v>160000</v>
      </c>
      <c r="K175" s="28">
        <f t="shared" si="103"/>
        <v>151000</v>
      </c>
      <c r="L175" s="28">
        <f t="shared" si="103"/>
        <v>129000</v>
      </c>
      <c r="M175" s="28">
        <f t="shared" si="103"/>
        <v>145000</v>
      </c>
      <c r="N175" s="21">
        <f>SUM(B175:M175)</f>
        <v>1819000</v>
      </c>
    </row>
    <row r="176" spans="1:14">
      <c r="A176" s="27" t="s">
        <v>45</v>
      </c>
      <c r="B176" s="28">
        <f>ROUND(B175*'Transmission Formula Rate (7)'!$B$27,0)</f>
        <v>3386</v>
      </c>
      <c r="C176" s="28">
        <f>ROUND(C175*'Transmission Formula Rate (7)'!$B$27,0)</f>
        <v>2960</v>
      </c>
      <c r="D176" s="28">
        <f>ROUND(D175*'Transmission Formula Rate (7)'!$B$27,0)</f>
        <v>2368</v>
      </c>
      <c r="E176" s="28">
        <f>ROUND(E175*'Transmission Formula Rate (7)'!$B$27,0)</f>
        <v>2424</v>
      </c>
      <c r="F176" s="28">
        <f>ROUND(F175*'Transmission Formula Rate (7)'!$B$27,0)</f>
        <v>2683</v>
      </c>
      <c r="G176" s="28">
        <f>ROUND(G175*'Transmission Formula Rate (7)'!$B$27,0)</f>
        <v>2960</v>
      </c>
      <c r="H176" s="28">
        <f>ROUND(H175*'Transmission Formula Rate (7)'!$B$27,0)</f>
        <v>2923</v>
      </c>
      <c r="I176" s="28">
        <f>ROUND(I175*'Transmission Formula Rate (7)'!$B$27,0)</f>
        <v>3127</v>
      </c>
      <c r="J176" s="28">
        <f>ROUND(J175*'Transmission Formula Rate (7)'!$B$27,0)</f>
        <v>2960</v>
      </c>
      <c r="K176" s="28">
        <f>ROUND(K175*'Transmission Formula Rate (7)'!$B$27,0)</f>
        <v>2794</v>
      </c>
      <c r="L176" s="28">
        <f>ROUND(L175*'Transmission Formula Rate (7)'!$B$27,0)</f>
        <v>2387</v>
      </c>
      <c r="M176" s="28">
        <f>ROUND(M175*'Transmission Formula Rate (7)'!$B$27,0)</f>
        <v>2683</v>
      </c>
      <c r="N176" s="21">
        <f>SUM(B176:M176)</f>
        <v>33655</v>
      </c>
    </row>
    <row r="177" spans="1:14">
      <c r="A177" s="27" t="str">
        <f>A163</f>
        <v xml:space="preserve">       Vero Beach Load</v>
      </c>
      <c r="B177" s="28">
        <f t="shared" ref="B177:M177" si="104">B175+B176</f>
        <v>186386</v>
      </c>
      <c r="C177" s="28">
        <f t="shared" si="104"/>
        <v>162960</v>
      </c>
      <c r="D177" s="28">
        <f t="shared" si="104"/>
        <v>130368</v>
      </c>
      <c r="E177" s="28">
        <f t="shared" si="104"/>
        <v>133424</v>
      </c>
      <c r="F177" s="28">
        <f t="shared" si="104"/>
        <v>147683</v>
      </c>
      <c r="G177" s="28">
        <f t="shared" si="104"/>
        <v>162960</v>
      </c>
      <c r="H177" s="28">
        <f t="shared" si="104"/>
        <v>160923</v>
      </c>
      <c r="I177" s="28">
        <f t="shared" si="104"/>
        <v>172127</v>
      </c>
      <c r="J177" s="28">
        <f t="shared" si="104"/>
        <v>162960</v>
      </c>
      <c r="K177" s="28">
        <f t="shared" si="104"/>
        <v>153794</v>
      </c>
      <c r="L177" s="28">
        <f t="shared" si="104"/>
        <v>131387</v>
      </c>
      <c r="M177" s="28">
        <f t="shared" si="104"/>
        <v>147683</v>
      </c>
      <c r="N177" s="21">
        <f>SUM(B177:M177)</f>
        <v>1852655</v>
      </c>
    </row>
    <row r="178" spans="1:14">
      <c r="A178" s="26" t="s">
        <v>20</v>
      </c>
      <c r="B178" s="32">
        <f>'charges (1 &amp; 2)'!$G$38</f>
        <v>0.1008</v>
      </c>
      <c r="C178" s="32">
        <f>B178</f>
        <v>0.1008</v>
      </c>
      <c r="D178" s="32">
        <f t="shared" ref="D178" si="105">C178</f>
        <v>0.1008</v>
      </c>
      <c r="E178" s="32">
        <f t="shared" ref="E178" si="106">D178</f>
        <v>0.1008</v>
      </c>
      <c r="F178" s="32">
        <f t="shared" ref="F178" si="107">E178</f>
        <v>0.1008</v>
      </c>
      <c r="G178" s="32">
        <f t="shared" ref="G178" si="108">F178</f>
        <v>0.1008</v>
      </c>
      <c r="H178" s="32">
        <f t="shared" ref="H178" si="109">G178</f>
        <v>0.1008</v>
      </c>
      <c r="I178" s="32">
        <f t="shared" ref="I178" si="110">H178</f>
        <v>0.1008</v>
      </c>
      <c r="J178" s="32">
        <f t="shared" ref="J178" si="111">I178</f>
        <v>0.1008</v>
      </c>
      <c r="K178" s="32">
        <f t="shared" ref="K178" si="112">J178</f>
        <v>0.1008</v>
      </c>
      <c r="L178" s="32">
        <f t="shared" ref="L178" si="113">K178</f>
        <v>0.1008</v>
      </c>
      <c r="M178" s="32">
        <f t="shared" ref="M178" si="114">L178</f>
        <v>0.1008</v>
      </c>
      <c r="N178" s="20"/>
    </row>
    <row r="179" spans="1:14">
      <c r="A179" s="26" t="s">
        <v>17</v>
      </c>
      <c r="B179" s="199">
        <f t="shared" ref="B179:M179" si="115">B177*B178</f>
        <v>18787.7088</v>
      </c>
      <c r="C179" s="199">
        <f t="shared" si="115"/>
        <v>16426.367999999999</v>
      </c>
      <c r="D179" s="199">
        <f t="shared" si="115"/>
        <v>13141.0944</v>
      </c>
      <c r="E179" s="199">
        <f t="shared" si="115"/>
        <v>13449.1392</v>
      </c>
      <c r="F179" s="199">
        <f t="shared" si="115"/>
        <v>14886.446400000001</v>
      </c>
      <c r="G179" s="199">
        <f t="shared" si="115"/>
        <v>16426.367999999999</v>
      </c>
      <c r="H179" s="199">
        <f t="shared" si="115"/>
        <v>16221.038399999999</v>
      </c>
      <c r="I179" s="199">
        <f t="shared" si="115"/>
        <v>17350.401600000001</v>
      </c>
      <c r="J179" s="199">
        <f t="shared" si="115"/>
        <v>16426.367999999999</v>
      </c>
      <c r="K179" s="199">
        <f t="shared" si="115"/>
        <v>15502.4352</v>
      </c>
      <c r="L179" s="199">
        <f t="shared" si="115"/>
        <v>13243.809600000001</v>
      </c>
      <c r="M179" s="199">
        <f t="shared" si="115"/>
        <v>14886.446400000001</v>
      </c>
      <c r="N179" s="199">
        <f>SUM(B179:M179)</f>
        <v>186747.62400000001</v>
      </c>
    </row>
    <row r="180" spans="1:14" ht="6.75" customHeight="1">
      <c r="A180" s="26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>
      <c r="A181" s="26" t="s">
        <v>25</v>
      </c>
      <c r="B181" s="364">
        <f>B165+B179+B172</f>
        <v>317516.00644000003</v>
      </c>
      <c r="C181" s="364">
        <f t="shared" ref="C181:M181" si="116">C165+C179+C172</f>
        <v>277608.87840000005</v>
      </c>
      <c r="D181" s="364">
        <f t="shared" si="116"/>
        <v>222087.10272000002</v>
      </c>
      <c r="E181" s="364">
        <f t="shared" si="116"/>
        <v>227293.12096</v>
      </c>
      <c r="F181" s="364">
        <f t="shared" si="116"/>
        <v>251583.89781999998</v>
      </c>
      <c r="G181" s="364">
        <f t="shared" si="116"/>
        <v>277608.87840000005</v>
      </c>
      <c r="H181" s="364">
        <f t="shared" si="116"/>
        <v>274138.76742000005</v>
      </c>
      <c r="I181" s="364">
        <f t="shared" si="116"/>
        <v>293225.22957999998</v>
      </c>
      <c r="J181" s="364">
        <f t="shared" si="116"/>
        <v>277608.87840000005</v>
      </c>
      <c r="K181" s="364">
        <f t="shared" si="116"/>
        <v>261994.23076000003</v>
      </c>
      <c r="L181" s="364">
        <f t="shared" si="116"/>
        <v>223823.00998000003</v>
      </c>
      <c r="M181" s="364">
        <f t="shared" si="116"/>
        <v>251583.89781999998</v>
      </c>
      <c r="N181" s="364">
        <f>SUM(B181:M181)</f>
        <v>3156071.8987000003</v>
      </c>
    </row>
  </sheetData>
  <phoneticPr fontId="23" type="noConversion"/>
  <pageMargins left="0.19" right="0.2" top="0.62" bottom="0.46" header="0.4" footer="0.18"/>
  <pageSetup pageOrder="overThenDown" orientation="landscape" r:id="rId1"/>
  <headerFooter alignWithMargins="0">
    <oddHeader>&amp;A</oddHeader>
    <oddFooter>&amp;Z&amp;F</oddFooter>
  </headerFooter>
  <rowBreaks count="6" manualBreakCount="6">
    <brk id="31" max="16383" man="1"/>
    <brk id="56" max="16383" man="1"/>
    <brk id="81" max="16383" man="1"/>
    <brk id="106" max="16383" man="1"/>
    <brk id="131" max="16383" man="1"/>
    <brk id="203" max="65535" man="1"/>
  </rowBreaks>
  <ignoredErrors>
    <ignoredError sqref="N18 N93 N25 N43 N50" formula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B050"/>
  </sheetPr>
  <dimension ref="A1:R182"/>
  <sheetViews>
    <sheetView zoomScaleNormal="100" zoomScaleSheetLayoutView="100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2"/>
  <cols>
    <col min="1" max="1" width="12.77734375" style="22" customWidth="1"/>
    <col min="2" max="2" width="9.6640625" style="22" customWidth="1"/>
    <col min="3" max="3" width="8.88671875" style="22" customWidth="1"/>
    <col min="4" max="5" width="8.44140625" style="22" customWidth="1"/>
    <col min="6" max="6" width="9.109375" style="22" customWidth="1"/>
    <col min="7" max="7" width="8" style="22" customWidth="1"/>
    <col min="8" max="8" width="7.88671875" style="22" customWidth="1"/>
    <col min="9" max="9" width="8.33203125" style="22" customWidth="1"/>
    <col min="10" max="10" width="7.88671875" style="22" customWidth="1"/>
    <col min="11" max="11" width="8.33203125" style="22" customWidth="1"/>
    <col min="12" max="12" width="9.109375" style="22" customWidth="1"/>
    <col min="13" max="13" width="8.21875" style="22" customWidth="1"/>
    <col min="14" max="14" width="9.33203125" style="22" customWidth="1"/>
    <col min="15" max="15" width="10.109375" style="277" bestFit="1" customWidth="1"/>
    <col min="16" max="16" width="9" style="277"/>
    <col min="17" max="16384" width="9" style="22"/>
  </cols>
  <sheetData>
    <row r="1" spans="1:18" ht="13.2">
      <c r="A1" s="480" t="s">
        <v>506</v>
      </c>
    </row>
    <row r="2" spans="1:18" ht="13.2">
      <c r="A2" s="480" t="s">
        <v>473</v>
      </c>
    </row>
    <row r="4" spans="1:18" s="16" customFormat="1" ht="13.8">
      <c r="A4" s="22"/>
      <c r="B4" s="14"/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274"/>
      <c r="P4" s="274"/>
      <c r="Q4" s="15"/>
      <c r="R4" s="15"/>
    </row>
    <row r="5" spans="1:18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74"/>
      <c r="P5" s="274"/>
      <c r="Q5" s="15"/>
      <c r="R5" s="15"/>
    </row>
    <row r="6" spans="1:18" s="16" customFormat="1" ht="13.8">
      <c r="A6" s="34" t="s">
        <v>349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274"/>
      <c r="P6" s="274"/>
      <c r="Q6" s="15"/>
      <c r="R6" s="15"/>
    </row>
    <row r="7" spans="1:18" s="16" customFormat="1" ht="13.8">
      <c r="A7" s="23"/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  <c r="O7" s="287" t="s">
        <v>132</v>
      </c>
      <c r="P7" s="275"/>
    </row>
    <row r="8" spans="1:18" s="20" customFormat="1" ht="6" customHeight="1">
      <c r="A8" s="26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76"/>
      <c r="P8" s="276"/>
    </row>
    <row r="9" spans="1:18" s="20" customFormat="1" ht="10.199999999999999">
      <c r="A9" s="25">
        <f>2014</f>
        <v>2014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76"/>
      <c r="P9" s="276"/>
    </row>
    <row r="10" spans="1:18" s="20" customFormat="1" ht="13.2">
      <c r="A10" s="23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76"/>
      <c r="P10" s="276"/>
    </row>
    <row r="11" spans="1:18" s="20" customFormat="1" ht="10.199999999999999">
      <c r="A11" s="26" t="s">
        <v>37</v>
      </c>
      <c r="O11" s="276"/>
      <c r="P11" s="276"/>
    </row>
    <row r="12" spans="1:18" s="29" customFormat="1">
      <c r="A12" s="27" t="s">
        <v>40</v>
      </c>
      <c r="B12" s="239">
        <f>'FMPA Network Forecast'!D19*1000</f>
        <v>413200</v>
      </c>
      <c r="C12" s="239">
        <f>'FMPA Network Forecast'!E19*1000</f>
        <v>385500</v>
      </c>
      <c r="D12" s="239">
        <f>'FMPA Network Forecast'!F19*1000</f>
        <v>337200</v>
      </c>
      <c r="E12" s="239">
        <f>'FMPA Network Forecast'!G19*1000</f>
        <v>362300</v>
      </c>
      <c r="F12" s="239">
        <f>'FMPA Network Forecast'!H19*1000</f>
        <v>408700</v>
      </c>
      <c r="G12" s="239">
        <f>'FMPA Network Forecast'!I19*1000</f>
        <v>444600</v>
      </c>
      <c r="H12" s="239">
        <f>'FMPA Network Forecast'!J19*1000</f>
        <v>460000</v>
      </c>
      <c r="I12" s="239">
        <f>'FMPA Network Forecast'!K19*1000</f>
        <v>467800</v>
      </c>
      <c r="J12" s="239">
        <f>'FMPA Network Forecast'!L19*1000</f>
        <v>426800</v>
      </c>
      <c r="K12" s="239">
        <f>'FMPA Network Forecast'!M19*1000</f>
        <v>394300</v>
      </c>
      <c r="L12" s="239">
        <f>'FMPA Network Forecast'!N19*1000</f>
        <v>353000</v>
      </c>
      <c r="M12" s="239">
        <f>'FMPA Network Forecast'!O19*1000</f>
        <v>338900</v>
      </c>
      <c r="N12" s="21">
        <f>SUM(B12:M12)</f>
        <v>4792300</v>
      </c>
      <c r="O12" s="284">
        <f>SUM('FMPA Network Forecast'!D19:O19)*1000</f>
        <v>4792300</v>
      </c>
      <c r="P12" s="277">
        <f>N12-O12</f>
        <v>0</v>
      </c>
    </row>
    <row r="13" spans="1:18" s="29" customFormat="1">
      <c r="A13" s="27" t="s">
        <v>45</v>
      </c>
      <c r="B13" s="28">
        <f>ROUND(B12*'Transmission Formula Rate (7)'!$B$27,0)</f>
        <v>7644</v>
      </c>
      <c r="C13" s="28">
        <f>ROUND(C12*'Transmission Formula Rate (7)'!$B$27,0)</f>
        <v>7132</v>
      </c>
      <c r="D13" s="28">
        <f>ROUND(D12*'Transmission Formula Rate (7)'!$B$27,0)</f>
        <v>6238</v>
      </c>
      <c r="E13" s="28">
        <f>ROUND(E12*'Transmission Formula Rate (7)'!$B$27,0)</f>
        <v>6703</v>
      </c>
      <c r="F13" s="28">
        <f>ROUND(F12*'Transmission Formula Rate (7)'!$B$27,0)</f>
        <v>7561</v>
      </c>
      <c r="G13" s="28">
        <f>ROUND(G12*'Transmission Formula Rate (7)'!$B$27,0)</f>
        <v>8225</v>
      </c>
      <c r="H13" s="28">
        <f>ROUND(H12*'Transmission Formula Rate (7)'!$B$27,0)</f>
        <v>8510</v>
      </c>
      <c r="I13" s="28">
        <f>ROUND(I12*'Transmission Formula Rate (7)'!$B$27,0)</f>
        <v>8654</v>
      </c>
      <c r="J13" s="28">
        <f>ROUND(J12*'Transmission Formula Rate (7)'!$B$27,0)</f>
        <v>7896</v>
      </c>
      <c r="K13" s="28">
        <f>ROUND(K12*'Transmission Formula Rate (7)'!$B$27,0)</f>
        <v>7295</v>
      </c>
      <c r="L13" s="28">
        <f>ROUND(L12*'Transmission Formula Rate (7)'!$B$27,0)</f>
        <v>6531</v>
      </c>
      <c r="M13" s="28">
        <f>ROUND(M12*'Transmission Formula Rate (7)'!$B$27,0)</f>
        <v>6270</v>
      </c>
      <c r="N13" s="21">
        <f>SUM(B13:M13)</f>
        <v>88659</v>
      </c>
      <c r="O13" s="277"/>
      <c r="P13" s="278"/>
    </row>
    <row r="14" spans="1:18" s="29" customFormat="1">
      <c r="A14" s="27" t="s">
        <v>46</v>
      </c>
      <c r="B14" s="28">
        <f>B12+B13</f>
        <v>420844</v>
      </c>
      <c r="C14" s="28">
        <f t="shared" ref="C14:M14" si="0">C12+C13</f>
        <v>392632</v>
      </c>
      <c r="D14" s="28">
        <f t="shared" si="0"/>
        <v>343438</v>
      </c>
      <c r="E14" s="28">
        <f t="shared" si="0"/>
        <v>369003</v>
      </c>
      <c r="F14" s="28">
        <f t="shared" si="0"/>
        <v>416261</v>
      </c>
      <c r="G14" s="28">
        <f t="shared" si="0"/>
        <v>452825</v>
      </c>
      <c r="H14" s="28">
        <f t="shared" si="0"/>
        <v>468510</v>
      </c>
      <c r="I14" s="28">
        <f t="shared" si="0"/>
        <v>476454</v>
      </c>
      <c r="J14" s="28">
        <f t="shared" si="0"/>
        <v>434696</v>
      </c>
      <c r="K14" s="28">
        <f t="shared" si="0"/>
        <v>401595</v>
      </c>
      <c r="L14" s="28">
        <f t="shared" si="0"/>
        <v>359531</v>
      </c>
      <c r="M14" s="28">
        <f t="shared" si="0"/>
        <v>345170</v>
      </c>
      <c r="N14" s="21">
        <f>SUM(B14:M14)</f>
        <v>4880959</v>
      </c>
      <c r="O14" s="277"/>
      <c r="P14" s="278"/>
    </row>
    <row r="15" spans="1:18" s="20" customFormat="1">
      <c r="A15" s="26" t="s">
        <v>20</v>
      </c>
      <c r="B15" s="30">
        <f>'Transmission Formula Rate (7)'!B8</f>
        <v>1.59</v>
      </c>
      <c r="C15" s="30">
        <f>'Transmission Formula Rate (7)'!C8</f>
        <v>1.59</v>
      </c>
      <c r="D15" s="30">
        <f>'Transmission Formula Rate (7)'!D8</f>
        <v>1.59</v>
      </c>
      <c r="E15" s="30">
        <f>'Transmission Formula Rate (7)'!E8</f>
        <v>1.59</v>
      </c>
      <c r="F15" s="30">
        <f>'Transmission Formula Rate (7)'!F8</f>
        <v>1.59</v>
      </c>
      <c r="G15" s="30">
        <f>'Transmission Formula Rate (7)'!G8</f>
        <v>1.59</v>
      </c>
      <c r="H15" s="30">
        <f>'Transmission Formula Rate (7)'!H8</f>
        <v>1.59</v>
      </c>
      <c r="I15" s="30">
        <f>'Transmission Formula Rate (7)'!I8</f>
        <v>1.59</v>
      </c>
      <c r="J15" s="30">
        <f>'Transmission Formula Rate (7)'!J8</f>
        <v>1.59</v>
      </c>
      <c r="K15" s="30">
        <f>'Transmission Formula Rate (7)'!K8</f>
        <v>1.59</v>
      </c>
      <c r="L15" s="30">
        <f>'Transmission Formula Rate (7)'!L8</f>
        <v>1.59</v>
      </c>
      <c r="M15" s="30">
        <f>'Transmission Formula Rate (7)'!M8</f>
        <v>1.59</v>
      </c>
      <c r="O15" s="277"/>
      <c r="P15" s="276"/>
    </row>
    <row r="16" spans="1:18" s="20" customFormat="1">
      <c r="A16" s="26" t="s">
        <v>17</v>
      </c>
      <c r="B16" s="199">
        <f>B14*B15</f>
        <v>669141.96000000008</v>
      </c>
      <c r="C16" s="199">
        <f t="shared" ref="C16:M16" si="1">C14*C15</f>
        <v>624284.88</v>
      </c>
      <c r="D16" s="199">
        <f t="shared" si="1"/>
        <v>546066.42000000004</v>
      </c>
      <c r="E16" s="199">
        <f t="shared" si="1"/>
        <v>586714.77</v>
      </c>
      <c r="F16" s="199">
        <f t="shared" si="1"/>
        <v>661854.99</v>
      </c>
      <c r="G16" s="199">
        <f t="shared" si="1"/>
        <v>719991.75</v>
      </c>
      <c r="H16" s="199">
        <f t="shared" si="1"/>
        <v>744930.9</v>
      </c>
      <c r="I16" s="199">
        <f t="shared" si="1"/>
        <v>757561.86</v>
      </c>
      <c r="J16" s="199">
        <f t="shared" si="1"/>
        <v>691166.64</v>
      </c>
      <c r="K16" s="199">
        <f t="shared" si="1"/>
        <v>638536.05000000005</v>
      </c>
      <c r="L16" s="199">
        <f t="shared" si="1"/>
        <v>571654.29</v>
      </c>
      <c r="M16" s="199">
        <f t="shared" si="1"/>
        <v>548820.30000000005</v>
      </c>
      <c r="N16" s="199">
        <f>SUM(B16:M16)</f>
        <v>7760724.8100000005</v>
      </c>
      <c r="O16" s="277"/>
      <c r="P16" s="276"/>
    </row>
    <row r="17" spans="1:16" s="20" customFormat="1" ht="8.25" customHeight="1">
      <c r="O17" s="277"/>
      <c r="P17" s="276"/>
    </row>
    <row r="18" spans="1:16" s="20" customFormat="1" ht="12.75" customHeight="1">
      <c r="A18" s="26" t="s">
        <v>141</v>
      </c>
      <c r="O18" s="277"/>
      <c r="P18" s="276"/>
    </row>
    <row r="19" spans="1:16" s="20" customFormat="1" ht="12.75" customHeight="1">
      <c r="A19" s="27" t="s">
        <v>40</v>
      </c>
      <c r="B19" s="28">
        <f>B12</f>
        <v>413200</v>
      </c>
      <c r="C19" s="28">
        <f t="shared" ref="C19:M19" si="2">C12</f>
        <v>385500</v>
      </c>
      <c r="D19" s="28">
        <f t="shared" si="2"/>
        <v>337200</v>
      </c>
      <c r="E19" s="28">
        <f t="shared" si="2"/>
        <v>362300</v>
      </c>
      <c r="F19" s="28">
        <f t="shared" si="2"/>
        <v>408700</v>
      </c>
      <c r="G19" s="28">
        <f t="shared" si="2"/>
        <v>444600</v>
      </c>
      <c r="H19" s="28">
        <f t="shared" si="2"/>
        <v>460000</v>
      </c>
      <c r="I19" s="28">
        <f t="shared" si="2"/>
        <v>467800</v>
      </c>
      <c r="J19" s="28">
        <f t="shared" si="2"/>
        <v>426800</v>
      </c>
      <c r="K19" s="28">
        <f t="shared" si="2"/>
        <v>394300</v>
      </c>
      <c r="L19" s="28">
        <f t="shared" si="2"/>
        <v>353000</v>
      </c>
      <c r="M19" s="28">
        <f t="shared" si="2"/>
        <v>338900</v>
      </c>
      <c r="N19" s="21">
        <f>SUM(B19:M19)</f>
        <v>4792300</v>
      </c>
      <c r="O19" s="277"/>
      <c r="P19" s="276"/>
    </row>
    <row r="20" spans="1:16" s="20" customFormat="1" ht="12.75" customHeight="1">
      <c r="A20" s="27" t="s">
        <v>45</v>
      </c>
      <c r="B20" s="28">
        <f>ROUND(B19*'Transmission Formula Rate (7)'!$B$27,0)</f>
        <v>7644</v>
      </c>
      <c r="C20" s="28">
        <f>ROUND(C19*'Transmission Formula Rate (7)'!$B$27,0)</f>
        <v>7132</v>
      </c>
      <c r="D20" s="28">
        <f>ROUND(D19*'Transmission Formula Rate (7)'!$B$27,0)</f>
        <v>6238</v>
      </c>
      <c r="E20" s="28">
        <f>ROUND(E19*'Transmission Formula Rate (7)'!$B$27,0)</f>
        <v>6703</v>
      </c>
      <c r="F20" s="28">
        <f>ROUND(F19*'Transmission Formula Rate (7)'!$B$27,0)</f>
        <v>7561</v>
      </c>
      <c r="G20" s="28">
        <f>ROUND(G19*'Transmission Formula Rate (7)'!$B$27,0)</f>
        <v>8225</v>
      </c>
      <c r="H20" s="28">
        <f>ROUND(H19*'Transmission Formula Rate (7)'!$B$27,0)</f>
        <v>8510</v>
      </c>
      <c r="I20" s="28">
        <f>ROUND(I19*'Transmission Formula Rate (7)'!$B$27,0)</f>
        <v>8654</v>
      </c>
      <c r="J20" s="28">
        <f>ROUND(J19*'Transmission Formula Rate (7)'!$B$27,0)</f>
        <v>7896</v>
      </c>
      <c r="K20" s="28">
        <f>ROUND(K19*'Transmission Formula Rate (7)'!$B$27,0)</f>
        <v>7295</v>
      </c>
      <c r="L20" s="28">
        <f>ROUND(L19*'Transmission Formula Rate (7)'!$B$27,0)</f>
        <v>6531</v>
      </c>
      <c r="M20" s="28">
        <f>ROUND(M19*'Transmission Formula Rate (7)'!$B$27,0)</f>
        <v>6270</v>
      </c>
      <c r="N20" s="21">
        <f>SUM(B20:M20)</f>
        <v>88659</v>
      </c>
      <c r="O20" s="277"/>
      <c r="P20" s="276"/>
    </row>
    <row r="21" spans="1:16" s="20" customFormat="1" ht="12.75" customHeight="1">
      <c r="A21" s="27" t="s">
        <v>46</v>
      </c>
      <c r="B21" s="28">
        <f t="shared" ref="B21:M21" si="3">B19+B20</f>
        <v>420844</v>
      </c>
      <c r="C21" s="28">
        <f t="shared" si="3"/>
        <v>392632</v>
      </c>
      <c r="D21" s="28">
        <f t="shared" si="3"/>
        <v>343438</v>
      </c>
      <c r="E21" s="28">
        <f t="shared" si="3"/>
        <v>369003</v>
      </c>
      <c r="F21" s="28">
        <f t="shared" si="3"/>
        <v>416261</v>
      </c>
      <c r="G21" s="28">
        <f t="shared" si="3"/>
        <v>452825</v>
      </c>
      <c r="H21" s="28">
        <f t="shared" si="3"/>
        <v>468510</v>
      </c>
      <c r="I21" s="28">
        <f t="shared" si="3"/>
        <v>476454</v>
      </c>
      <c r="J21" s="28">
        <f t="shared" si="3"/>
        <v>434696</v>
      </c>
      <c r="K21" s="28">
        <f t="shared" si="3"/>
        <v>401595</v>
      </c>
      <c r="L21" s="28">
        <f t="shared" si="3"/>
        <v>359531</v>
      </c>
      <c r="M21" s="28">
        <f t="shared" si="3"/>
        <v>345170</v>
      </c>
      <c r="N21" s="21">
        <f>SUM(B21:M21)</f>
        <v>4880959</v>
      </c>
      <c r="O21" s="277"/>
      <c r="P21" s="276"/>
    </row>
    <row r="22" spans="1:16" s="20" customFormat="1" ht="12.75" customHeight="1">
      <c r="A22" s="26" t="s">
        <v>20</v>
      </c>
      <c r="B22" s="32">
        <f>'charges (1 &amp; 2)'!D27</f>
        <v>1.274E-2</v>
      </c>
      <c r="C22" s="32">
        <f>B22</f>
        <v>1.274E-2</v>
      </c>
      <c r="D22" s="32">
        <f t="shared" ref="D22:M22" si="4">C22</f>
        <v>1.274E-2</v>
      </c>
      <c r="E22" s="32">
        <f t="shared" si="4"/>
        <v>1.274E-2</v>
      </c>
      <c r="F22" s="32">
        <f t="shared" si="4"/>
        <v>1.274E-2</v>
      </c>
      <c r="G22" s="32">
        <f t="shared" si="4"/>
        <v>1.274E-2</v>
      </c>
      <c r="H22" s="32">
        <f t="shared" si="4"/>
        <v>1.274E-2</v>
      </c>
      <c r="I22" s="32">
        <f t="shared" si="4"/>
        <v>1.274E-2</v>
      </c>
      <c r="J22" s="32">
        <f t="shared" si="4"/>
        <v>1.274E-2</v>
      </c>
      <c r="K22" s="32">
        <f t="shared" si="4"/>
        <v>1.274E-2</v>
      </c>
      <c r="L22" s="32">
        <f t="shared" si="4"/>
        <v>1.274E-2</v>
      </c>
      <c r="M22" s="32">
        <f t="shared" si="4"/>
        <v>1.274E-2</v>
      </c>
      <c r="O22" s="277"/>
      <c r="P22" s="276"/>
    </row>
    <row r="23" spans="1:16" s="20" customFormat="1" ht="12.75" customHeight="1">
      <c r="A23" s="26" t="s">
        <v>17</v>
      </c>
      <c r="B23" s="199">
        <f t="shared" ref="B23:M23" si="5">B21*B22</f>
        <v>5361.5525600000001</v>
      </c>
      <c r="C23" s="199">
        <f t="shared" si="5"/>
        <v>5002.1316799999995</v>
      </c>
      <c r="D23" s="199">
        <f t="shared" si="5"/>
        <v>4375.4001200000002</v>
      </c>
      <c r="E23" s="199">
        <f t="shared" si="5"/>
        <v>4701.0982199999999</v>
      </c>
      <c r="F23" s="199">
        <f t="shared" si="5"/>
        <v>5303.1651400000001</v>
      </c>
      <c r="G23" s="199">
        <f t="shared" si="5"/>
        <v>5768.9904999999999</v>
      </c>
      <c r="H23" s="199">
        <f t="shared" si="5"/>
        <v>5968.8173999999999</v>
      </c>
      <c r="I23" s="199">
        <f t="shared" si="5"/>
        <v>6070.0239599999995</v>
      </c>
      <c r="J23" s="199">
        <f t="shared" si="5"/>
        <v>5538.0270399999999</v>
      </c>
      <c r="K23" s="199">
        <f t="shared" si="5"/>
        <v>5116.3202999999994</v>
      </c>
      <c r="L23" s="199">
        <f t="shared" si="5"/>
        <v>4580.4249399999999</v>
      </c>
      <c r="M23" s="199">
        <f t="shared" si="5"/>
        <v>4397.4657999999999</v>
      </c>
      <c r="N23" s="199">
        <f>SUM(B23:M23)</f>
        <v>62183.417659999999</v>
      </c>
      <c r="O23" s="277"/>
      <c r="P23" s="276"/>
    </row>
    <row r="24" spans="1:16" s="20" customFormat="1" ht="8.25" customHeight="1">
      <c r="O24" s="277"/>
      <c r="P24" s="276"/>
    </row>
    <row r="25" spans="1:16" s="20" customFormat="1">
      <c r="A25" s="26" t="s">
        <v>38</v>
      </c>
      <c r="O25" s="277"/>
      <c r="P25" s="276"/>
    </row>
    <row r="26" spans="1:16" s="29" customFormat="1">
      <c r="A26" s="27" t="s">
        <v>40</v>
      </c>
      <c r="B26" s="28">
        <f>B12</f>
        <v>413200</v>
      </c>
      <c r="C26" s="28">
        <f t="shared" ref="C26:M26" si="6">C12</f>
        <v>385500</v>
      </c>
      <c r="D26" s="28">
        <f t="shared" si="6"/>
        <v>337200</v>
      </c>
      <c r="E26" s="28">
        <f t="shared" si="6"/>
        <v>362300</v>
      </c>
      <c r="F26" s="28">
        <f t="shared" si="6"/>
        <v>408700</v>
      </c>
      <c r="G26" s="28">
        <f t="shared" si="6"/>
        <v>444600</v>
      </c>
      <c r="H26" s="28">
        <f t="shared" si="6"/>
        <v>460000</v>
      </c>
      <c r="I26" s="28">
        <f t="shared" si="6"/>
        <v>467800</v>
      </c>
      <c r="J26" s="28">
        <f t="shared" si="6"/>
        <v>426800</v>
      </c>
      <c r="K26" s="28">
        <f t="shared" si="6"/>
        <v>394300</v>
      </c>
      <c r="L26" s="28">
        <f t="shared" si="6"/>
        <v>353000</v>
      </c>
      <c r="M26" s="28">
        <f t="shared" si="6"/>
        <v>338900</v>
      </c>
      <c r="N26" s="21">
        <f>SUM(B26:M26)</f>
        <v>4792300</v>
      </c>
      <c r="O26" s="277"/>
      <c r="P26" s="278"/>
    </row>
    <row r="27" spans="1:16" s="29" customFormat="1">
      <c r="A27" s="27" t="s">
        <v>45</v>
      </c>
      <c r="B27" s="28">
        <f>ROUND(B26*'Transmission Formula Rate (7)'!$B$27,0)</f>
        <v>7644</v>
      </c>
      <c r="C27" s="28">
        <f>ROUND(C26*'Transmission Formula Rate (7)'!$B$27,0)</f>
        <v>7132</v>
      </c>
      <c r="D27" s="28">
        <f>ROUND(D26*'Transmission Formula Rate (7)'!$B$27,0)</f>
        <v>6238</v>
      </c>
      <c r="E27" s="28">
        <f>ROUND(E26*'Transmission Formula Rate (7)'!$B$27,0)</f>
        <v>6703</v>
      </c>
      <c r="F27" s="28">
        <f>ROUND(F26*'Transmission Formula Rate (7)'!$B$27,0)</f>
        <v>7561</v>
      </c>
      <c r="G27" s="28">
        <f>ROUND(G26*'Transmission Formula Rate (7)'!$B$27,0)</f>
        <v>8225</v>
      </c>
      <c r="H27" s="28">
        <f>ROUND(H26*'Transmission Formula Rate (7)'!$B$27,0)</f>
        <v>8510</v>
      </c>
      <c r="I27" s="28">
        <f>ROUND(I26*'Transmission Formula Rate (7)'!$B$27,0)</f>
        <v>8654</v>
      </c>
      <c r="J27" s="28">
        <f>ROUND(J26*'Transmission Formula Rate (7)'!$B$27,0)</f>
        <v>7896</v>
      </c>
      <c r="K27" s="28">
        <f>ROUND(K26*'Transmission Formula Rate (7)'!$B$27,0)</f>
        <v>7295</v>
      </c>
      <c r="L27" s="28">
        <f>ROUND(L26*'Transmission Formula Rate (7)'!$B$27,0)</f>
        <v>6531</v>
      </c>
      <c r="M27" s="28">
        <f>ROUND(M26*'Transmission Formula Rate (7)'!$B$27,0)</f>
        <v>6270</v>
      </c>
      <c r="N27" s="21">
        <f>SUM(B27:M27)</f>
        <v>88659</v>
      </c>
      <c r="O27" s="277"/>
      <c r="P27" s="278"/>
    </row>
    <row r="28" spans="1:16" s="29" customFormat="1">
      <c r="A28" s="27" t="s">
        <v>46</v>
      </c>
      <c r="B28" s="28">
        <f>B26+B27</f>
        <v>420844</v>
      </c>
      <c r="C28" s="28">
        <f t="shared" ref="C28:M28" si="7">C26+C27</f>
        <v>392632</v>
      </c>
      <c r="D28" s="28">
        <f t="shared" si="7"/>
        <v>343438</v>
      </c>
      <c r="E28" s="28">
        <f t="shared" si="7"/>
        <v>369003</v>
      </c>
      <c r="F28" s="28">
        <f t="shared" si="7"/>
        <v>416261</v>
      </c>
      <c r="G28" s="28">
        <f t="shared" si="7"/>
        <v>452825</v>
      </c>
      <c r="H28" s="28">
        <f t="shared" si="7"/>
        <v>468510</v>
      </c>
      <c r="I28" s="28">
        <f t="shared" si="7"/>
        <v>476454</v>
      </c>
      <c r="J28" s="28">
        <f t="shared" si="7"/>
        <v>434696</v>
      </c>
      <c r="K28" s="28">
        <f t="shared" si="7"/>
        <v>401595</v>
      </c>
      <c r="L28" s="28">
        <f t="shared" si="7"/>
        <v>359531</v>
      </c>
      <c r="M28" s="28">
        <f t="shared" si="7"/>
        <v>345170</v>
      </c>
      <c r="N28" s="21">
        <f>SUM(B28:M28)</f>
        <v>4880959</v>
      </c>
      <c r="O28" s="277"/>
      <c r="P28" s="278"/>
    </row>
    <row r="29" spans="1:16" s="20" customFormat="1">
      <c r="A29" s="26" t="s">
        <v>20</v>
      </c>
      <c r="B29" s="32">
        <f>'charges (1 &amp; 2)'!$D$26</f>
        <v>7.0000000000000007E-2</v>
      </c>
      <c r="C29" s="32">
        <f>'charges (1 &amp; 2)'!$D$26</f>
        <v>7.0000000000000007E-2</v>
      </c>
      <c r="D29" s="32">
        <f>'charges (1 &amp; 2)'!$D$26</f>
        <v>7.0000000000000007E-2</v>
      </c>
      <c r="E29" s="32">
        <f>'charges (1 &amp; 2)'!$D$26</f>
        <v>7.0000000000000007E-2</v>
      </c>
      <c r="F29" s="32">
        <f>'charges (1 &amp; 2)'!$D$26</f>
        <v>7.0000000000000007E-2</v>
      </c>
      <c r="G29" s="32">
        <f>'charges (1 &amp; 2)'!$D$26</f>
        <v>7.0000000000000007E-2</v>
      </c>
      <c r="H29" s="32">
        <f>'charges (1 &amp; 2)'!$D$26</f>
        <v>7.0000000000000007E-2</v>
      </c>
      <c r="I29" s="32">
        <f>'charges (1 &amp; 2)'!$D$26</f>
        <v>7.0000000000000007E-2</v>
      </c>
      <c r="J29" s="32">
        <f>'charges (1 &amp; 2)'!$D$26</f>
        <v>7.0000000000000007E-2</v>
      </c>
      <c r="K29" s="32">
        <f>'charges (1 &amp; 2)'!$D$26</f>
        <v>7.0000000000000007E-2</v>
      </c>
      <c r="L29" s="32">
        <f>'charges (1 &amp; 2)'!$D$26</f>
        <v>7.0000000000000007E-2</v>
      </c>
      <c r="M29" s="32">
        <f>'charges (1 &amp; 2)'!$D$26</f>
        <v>7.0000000000000007E-2</v>
      </c>
      <c r="O29" s="277"/>
      <c r="P29" s="276"/>
    </row>
    <row r="30" spans="1:16" s="20" customFormat="1">
      <c r="A30" s="26" t="s">
        <v>17</v>
      </c>
      <c r="B30" s="199">
        <f>B28*B29</f>
        <v>29459.08</v>
      </c>
      <c r="C30" s="199">
        <f t="shared" ref="C30:M30" si="8">C28*C29</f>
        <v>27484.240000000002</v>
      </c>
      <c r="D30" s="199">
        <f t="shared" si="8"/>
        <v>24040.660000000003</v>
      </c>
      <c r="E30" s="199">
        <f t="shared" si="8"/>
        <v>25830.210000000003</v>
      </c>
      <c r="F30" s="199">
        <f t="shared" si="8"/>
        <v>29138.270000000004</v>
      </c>
      <c r="G30" s="199">
        <f t="shared" si="8"/>
        <v>31697.750000000004</v>
      </c>
      <c r="H30" s="199">
        <f t="shared" si="8"/>
        <v>32795.700000000004</v>
      </c>
      <c r="I30" s="199">
        <f t="shared" si="8"/>
        <v>33351.780000000006</v>
      </c>
      <c r="J30" s="199">
        <f t="shared" si="8"/>
        <v>30428.720000000001</v>
      </c>
      <c r="K30" s="199">
        <f t="shared" si="8"/>
        <v>28111.65</v>
      </c>
      <c r="L30" s="199">
        <f t="shared" si="8"/>
        <v>25167.170000000002</v>
      </c>
      <c r="M30" s="199">
        <f t="shared" si="8"/>
        <v>24161.9</v>
      </c>
      <c r="N30" s="199">
        <f>SUM(B30:M30)</f>
        <v>341667.13000000006</v>
      </c>
      <c r="O30" s="277"/>
      <c r="P30" s="276"/>
    </row>
    <row r="31" spans="1:16" s="20" customFormat="1" ht="10.199999999999999">
      <c r="A31" s="26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276"/>
      <c r="P31" s="276"/>
    </row>
    <row r="32" spans="1:16" s="20" customFormat="1" ht="10.199999999999999">
      <c r="A32" s="26" t="s">
        <v>25</v>
      </c>
      <c r="B32" s="198">
        <f>B16+B30+B23</f>
        <v>703962.59256000002</v>
      </c>
      <c r="C32" s="198">
        <f t="shared" ref="C32:M32" si="9">C16+C30+C23</f>
        <v>656771.25167999999</v>
      </c>
      <c r="D32" s="198">
        <f t="shared" si="9"/>
        <v>574482.48012000008</v>
      </c>
      <c r="E32" s="198">
        <f t="shared" si="9"/>
        <v>617246.07822000002</v>
      </c>
      <c r="F32" s="198">
        <f t="shared" si="9"/>
        <v>696296.42514000006</v>
      </c>
      <c r="G32" s="198">
        <f t="shared" si="9"/>
        <v>757458.49049999996</v>
      </c>
      <c r="H32" s="198">
        <f t="shared" si="9"/>
        <v>783695.41739999992</v>
      </c>
      <c r="I32" s="198">
        <f t="shared" si="9"/>
        <v>796983.66396000003</v>
      </c>
      <c r="J32" s="198">
        <f t="shared" si="9"/>
        <v>727133.38703999994</v>
      </c>
      <c r="K32" s="198">
        <f t="shared" si="9"/>
        <v>671764.02030000009</v>
      </c>
      <c r="L32" s="198">
        <f t="shared" si="9"/>
        <v>601401.88494000013</v>
      </c>
      <c r="M32" s="198">
        <f t="shared" si="9"/>
        <v>577379.66580000008</v>
      </c>
      <c r="N32" s="198">
        <f>SUM(B32:M32)</f>
        <v>8164575.3576600011</v>
      </c>
      <c r="O32" s="276"/>
      <c r="P32" s="276"/>
    </row>
    <row r="33" spans="1:16" s="20" customFormat="1" ht="10.199999999999999">
      <c r="A33" s="2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76"/>
      <c r="P33" s="276"/>
    </row>
    <row r="34" spans="1:16" s="20" customFormat="1" ht="10.199999999999999">
      <c r="A34" s="25">
        <f>+A9+1</f>
        <v>2015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76"/>
      <c r="P34" s="276"/>
    </row>
    <row r="35" spans="1:16" s="20" customFormat="1" ht="10.199999999999999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76"/>
      <c r="P35" s="276"/>
    </row>
    <row r="36" spans="1:16" s="20" customFormat="1" ht="10.199999999999999">
      <c r="A36" s="26" t="s">
        <v>37</v>
      </c>
      <c r="O36" s="276"/>
      <c r="P36" s="276"/>
    </row>
    <row r="37" spans="1:16" s="29" customFormat="1">
      <c r="A37" s="27" t="s">
        <v>40</v>
      </c>
      <c r="B37" s="239">
        <f>'FMPA Network Forecast'!D20*1000</f>
        <v>416700.00000000006</v>
      </c>
      <c r="C37" s="239">
        <f>'FMPA Network Forecast'!E20*1000</f>
        <v>388500</v>
      </c>
      <c r="D37" s="239">
        <f>'FMPA Network Forecast'!F20*1000</f>
        <v>339800</v>
      </c>
      <c r="E37" s="239">
        <f>'FMPA Network Forecast'!G20*1000</f>
        <v>365100</v>
      </c>
      <c r="F37" s="239">
        <f>'FMPA Network Forecast'!H20*1000</f>
        <v>411900</v>
      </c>
      <c r="G37" s="239">
        <f>'FMPA Network Forecast'!I20*1000</f>
        <v>448000</v>
      </c>
      <c r="H37" s="239">
        <f>'FMPA Network Forecast'!J20*1000</f>
        <v>463500</v>
      </c>
      <c r="I37" s="239">
        <f>'FMPA Network Forecast'!K20*1000</f>
        <v>471400</v>
      </c>
      <c r="J37" s="239">
        <f>'FMPA Network Forecast'!L20*1000</f>
        <v>430100</v>
      </c>
      <c r="K37" s="239">
        <f>'FMPA Network Forecast'!M20*1000</f>
        <v>397400</v>
      </c>
      <c r="L37" s="239">
        <f>'FMPA Network Forecast'!N20*1000</f>
        <v>355800</v>
      </c>
      <c r="M37" s="239">
        <f>'FMPA Network Forecast'!O20*1000</f>
        <v>341500</v>
      </c>
      <c r="N37" s="21">
        <f>SUM(B37:M37)</f>
        <v>4829700</v>
      </c>
      <c r="O37" s="284">
        <f>SUM('FMPA Network Forecast'!D20:O20)*1000</f>
        <v>4829700</v>
      </c>
      <c r="P37" s="277">
        <f>N37-O37</f>
        <v>0</v>
      </c>
    </row>
    <row r="38" spans="1:16" s="29" customFormat="1">
      <c r="A38" s="27" t="s">
        <v>45</v>
      </c>
      <c r="B38" s="28">
        <f>ROUND(B37*'Transmission Formula Rate (7)'!$B$27,0)</f>
        <v>7709</v>
      </c>
      <c r="C38" s="28">
        <f>ROUND(C37*'Transmission Formula Rate (7)'!$B$27,0)</f>
        <v>7187</v>
      </c>
      <c r="D38" s="28">
        <f>ROUND(D37*'Transmission Formula Rate (7)'!$B$27,0)</f>
        <v>6286</v>
      </c>
      <c r="E38" s="28">
        <f>ROUND(E37*'Transmission Formula Rate (7)'!$B$27,0)</f>
        <v>6754</v>
      </c>
      <c r="F38" s="28">
        <f>ROUND(F37*'Transmission Formula Rate (7)'!$B$27,0)</f>
        <v>7620</v>
      </c>
      <c r="G38" s="28">
        <f>ROUND(G37*'Transmission Formula Rate (7)'!$B$27,0)</f>
        <v>8288</v>
      </c>
      <c r="H38" s="28">
        <f>ROUND(H37*'Transmission Formula Rate (7)'!$B$27,0)</f>
        <v>8575</v>
      </c>
      <c r="I38" s="28">
        <f>ROUND(I37*'Transmission Formula Rate (7)'!$B$27,0)</f>
        <v>8721</v>
      </c>
      <c r="J38" s="28">
        <f>ROUND(J37*'Transmission Formula Rate (7)'!$B$27,0)</f>
        <v>7957</v>
      </c>
      <c r="K38" s="28">
        <f>ROUND(K37*'Transmission Formula Rate (7)'!$B$27,0)</f>
        <v>7352</v>
      </c>
      <c r="L38" s="28">
        <f>ROUND(L37*'Transmission Formula Rate (7)'!$B$27,0)</f>
        <v>6582</v>
      </c>
      <c r="M38" s="28">
        <f>ROUND(M37*'Transmission Formula Rate (7)'!$B$27,0)</f>
        <v>6318</v>
      </c>
      <c r="N38" s="21">
        <f>SUM(B38:M38)</f>
        <v>89349</v>
      </c>
      <c r="O38" s="277"/>
      <c r="P38" s="278"/>
    </row>
    <row r="39" spans="1:16" s="29" customFormat="1">
      <c r="A39" s="27" t="s">
        <v>46</v>
      </c>
      <c r="B39" s="28">
        <f>B37+B38</f>
        <v>424409.00000000006</v>
      </c>
      <c r="C39" s="28">
        <f t="shared" ref="C39:M39" si="10">C37+C38</f>
        <v>395687</v>
      </c>
      <c r="D39" s="28">
        <f t="shared" si="10"/>
        <v>346086</v>
      </c>
      <c r="E39" s="28">
        <f t="shared" si="10"/>
        <v>371854</v>
      </c>
      <c r="F39" s="28">
        <f t="shared" si="10"/>
        <v>419520</v>
      </c>
      <c r="G39" s="28">
        <f t="shared" si="10"/>
        <v>456288</v>
      </c>
      <c r="H39" s="28">
        <f t="shared" si="10"/>
        <v>472075</v>
      </c>
      <c r="I39" s="28">
        <f t="shared" si="10"/>
        <v>480121</v>
      </c>
      <c r="J39" s="28">
        <f t="shared" si="10"/>
        <v>438057</v>
      </c>
      <c r="K39" s="28">
        <f t="shared" si="10"/>
        <v>404752</v>
      </c>
      <c r="L39" s="28">
        <f t="shared" si="10"/>
        <v>362382</v>
      </c>
      <c r="M39" s="28">
        <f t="shared" si="10"/>
        <v>347818</v>
      </c>
      <c r="N39" s="21">
        <f>SUM(B39:M39)</f>
        <v>4919049</v>
      </c>
      <c r="O39" s="277"/>
      <c r="P39" s="278"/>
    </row>
    <row r="40" spans="1:16" s="20" customFormat="1">
      <c r="A40" s="26" t="s">
        <v>20</v>
      </c>
      <c r="B40" s="30">
        <f>'Transmission Formula Rate (7)'!B10</f>
        <v>1.59</v>
      </c>
      <c r="C40" s="30">
        <f>'Transmission Formula Rate (7)'!C10</f>
        <v>1.59</v>
      </c>
      <c r="D40" s="30">
        <f>'Transmission Formula Rate (7)'!D10</f>
        <v>1.59</v>
      </c>
      <c r="E40" s="30">
        <f>'Transmission Formula Rate (7)'!E10</f>
        <v>1.59</v>
      </c>
      <c r="F40" s="30">
        <f>'Transmission Formula Rate (7)'!F10</f>
        <v>1.59</v>
      </c>
      <c r="G40" s="30">
        <f>'Transmission Formula Rate (7)'!G10</f>
        <v>1.59</v>
      </c>
      <c r="H40" s="30">
        <f>'Transmission Formula Rate (7)'!H10</f>
        <v>1.59</v>
      </c>
      <c r="I40" s="30">
        <f>'Transmission Formula Rate (7)'!I10</f>
        <v>1.59</v>
      </c>
      <c r="J40" s="30">
        <f>'Transmission Formula Rate (7)'!J10</f>
        <v>1.59</v>
      </c>
      <c r="K40" s="30">
        <f>'Transmission Formula Rate (7)'!K10</f>
        <v>1.59</v>
      </c>
      <c r="L40" s="30">
        <f>'Transmission Formula Rate (7)'!L10</f>
        <v>1.59</v>
      </c>
      <c r="M40" s="30">
        <f>'Transmission Formula Rate (7)'!M10</f>
        <v>1.59</v>
      </c>
      <c r="O40" s="277"/>
      <c r="P40" s="276"/>
    </row>
    <row r="41" spans="1:16" s="20" customFormat="1">
      <c r="A41" s="26" t="s">
        <v>17</v>
      </c>
      <c r="B41" s="199">
        <f>B39*B40</f>
        <v>674810.31000000017</v>
      </c>
      <c r="C41" s="199">
        <f t="shared" ref="C41:M41" si="11">C39*C40</f>
        <v>629142.33000000007</v>
      </c>
      <c r="D41" s="199">
        <f t="shared" si="11"/>
        <v>550276.74</v>
      </c>
      <c r="E41" s="199">
        <f t="shared" si="11"/>
        <v>591247.86</v>
      </c>
      <c r="F41" s="199">
        <f t="shared" si="11"/>
        <v>667036.80000000005</v>
      </c>
      <c r="G41" s="199">
        <f t="shared" si="11"/>
        <v>725497.92</v>
      </c>
      <c r="H41" s="199">
        <f t="shared" si="11"/>
        <v>750599.25</v>
      </c>
      <c r="I41" s="199">
        <f t="shared" si="11"/>
        <v>763392.39</v>
      </c>
      <c r="J41" s="199">
        <f t="shared" si="11"/>
        <v>696510.63</v>
      </c>
      <c r="K41" s="199">
        <f t="shared" si="11"/>
        <v>643555.68000000005</v>
      </c>
      <c r="L41" s="199">
        <f t="shared" si="11"/>
        <v>576187.38</v>
      </c>
      <c r="M41" s="199">
        <f t="shared" si="11"/>
        <v>553030.62</v>
      </c>
      <c r="N41" s="199">
        <f>SUM(B41:M41)</f>
        <v>7821287.9099999992</v>
      </c>
      <c r="O41" s="277"/>
      <c r="P41" s="276"/>
    </row>
    <row r="42" spans="1:16" s="20" customFormat="1">
      <c r="O42" s="277"/>
      <c r="P42" s="276"/>
    </row>
    <row r="43" spans="1:16" s="20" customFormat="1">
      <c r="A43" s="26" t="s">
        <v>141</v>
      </c>
      <c r="O43" s="277"/>
      <c r="P43" s="276"/>
    </row>
    <row r="44" spans="1:16" s="20" customFormat="1">
      <c r="A44" s="27" t="s">
        <v>40</v>
      </c>
      <c r="B44" s="28">
        <f>B37</f>
        <v>416700.00000000006</v>
      </c>
      <c r="C44" s="28">
        <f t="shared" ref="C44:M44" si="12">C37</f>
        <v>388500</v>
      </c>
      <c r="D44" s="28">
        <f t="shared" si="12"/>
        <v>339800</v>
      </c>
      <c r="E44" s="28">
        <f t="shared" si="12"/>
        <v>365100</v>
      </c>
      <c r="F44" s="28">
        <f t="shared" si="12"/>
        <v>411900</v>
      </c>
      <c r="G44" s="28">
        <f t="shared" si="12"/>
        <v>448000</v>
      </c>
      <c r="H44" s="28">
        <f t="shared" si="12"/>
        <v>463500</v>
      </c>
      <c r="I44" s="28">
        <f t="shared" si="12"/>
        <v>471400</v>
      </c>
      <c r="J44" s="28">
        <f t="shared" si="12"/>
        <v>430100</v>
      </c>
      <c r="K44" s="28">
        <f t="shared" si="12"/>
        <v>397400</v>
      </c>
      <c r="L44" s="28">
        <f t="shared" si="12"/>
        <v>355800</v>
      </c>
      <c r="M44" s="28">
        <f t="shared" si="12"/>
        <v>341500</v>
      </c>
      <c r="N44" s="21">
        <f>SUM(B44:M44)</f>
        <v>4829700</v>
      </c>
      <c r="O44" s="277"/>
      <c r="P44" s="276"/>
    </row>
    <row r="45" spans="1:16" s="20" customFormat="1">
      <c r="A45" s="27" t="s">
        <v>45</v>
      </c>
      <c r="B45" s="28">
        <f>ROUND(B44*'Transmission Formula Rate (7)'!$B$27,0)</f>
        <v>7709</v>
      </c>
      <c r="C45" s="28">
        <f>ROUND(C44*'Transmission Formula Rate (7)'!$B$27,0)</f>
        <v>7187</v>
      </c>
      <c r="D45" s="28">
        <f>ROUND(D44*'Transmission Formula Rate (7)'!$B$27,0)</f>
        <v>6286</v>
      </c>
      <c r="E45" s="28">
        <f>ROUND(E44*'Transmission Formula Rate (7)'!$B$27,0)</f>
        <v>6754</v>
      </c>
      <c r="F45" s="28">
        <f>ROUND(F44*'Transmission Formula Rate (7)'!$B$27,0)</f>
        <v>7620</v>
      </c>
      <c r="G45" s="28">
        <f>ROUND(G44*'Transmission Formula Rate (7)'!$B$27,0)</f>
        <v>8288</v>
      </c>
      <c r="H45" s="28">
        <f>ROUND(H44*'Transmission Formula Rate (7)'!$B$27,0)</f>
        <v>8575</v>
      </c>
      <c r="I45" s="28">
        <f>ROUND(I44*'Transmission Formula Rate (7)'!$B$27,0)</f>
        <v>8721</v>
      </c>
      <c r="J45" s="28">
        <f>ROUND(J44*'Transmission Formula Rate (7)'!$B$27,0)</f>
        <v>7957</v>
      </c>
      <c r="K45" s="28">
        <f>ROUND(K44*'Transmission Formula Rate (7)'!$B$27,0)</f>
        <v>7352</v>
      </c>
      <c r="L45" s="28">
        <f>ROUND(L44*'Transmission Formula Rate (7)'!$B$27,0)</f>
        <v>6582</v>
      </c>
      <c r="M45" s="28">
        <f>ROUND(M44*'Transmission Formula Rate (7)'!$B$27,0)</f>
        <v>6318</v>
      </c>
      <c r="N45" s="21">
        <f>SUM(B45:M45)</f>
        <v>89349</v>
      </c>
      <c r="O45" s="277"/>
      <c r="P45" s="276"/>
    </row>
    <row r="46" spans="1:16" s="20" customFormat="1">
      <c r="A46" s="27" t="s">
        <v>46</v>
      </c>
      <c r="B46" s="28">
        <f t="shared" ref="B46:M46" si="13">B44+B45</f>
        <v>424409.00000000006</v>
      </c>
      <c r="C46" s="28">
        <f t="shared" si="13"/>
        <v>395687</v>
      </c>
      <c r="D46" s="28">
        <f t="shared" si="13"/>
        <v>346086</v>
      </c>
      <c r="E46" s="28">
        <f t="shared" si="13"/>
        <v>371854</v>
      </c>
      <c r="F46" s="28">
        <f t="shared" si="13"/>
        <v>419520</v>
      </c>
      <c r="G46" s="28">
        <f t="shared" si="13"/>
        <v>456288</v>
      </c>
      <c r="H46" s="28">
        <f t="shared" si="13"/>
        <v>472075</v>
      </c>
      <c r="I46" s="28">
        <f t="shared" si="13"/>
        <v>480121</v>
      </c>
      <c r="J46" s="28">
        <f t="shared" si="13"/>
        <v>438057</v>
      </c>
      <c r="K46" s="28">
        <f t="shared" si="13"/>
        <v>404752</v>
      </c>
      <c r="L46" s="28">
        <f t="shared" si="13"/>
        <v>362382</v>
      </c>
      <c r="M46" s="28">
        <f t="shared" si="13"/>
        <v>347818</v>
      </c>
      <c r="N46" s="21">
        <f>SUM(B46:M46)</f>
        <v>4919049</v>
      </c>
      <c r="O46" s="277"/>
      <c r="P46" s="276"/>
    </row>
    <row r="47" spans="1:16" s="20" customFormat="1">
      <c r="A47" s="26" t="s">
        <v>20</v>
      </c>
      <c r="B47" s="32">
        <f>'charges (1 &amp; 2)'!E27</f>
        <v>1.274E-2</v>
      </c>
      <c r="C47" s="32">
        <f>B47</f>
        <v>1.274E-2</v>
      </c>
      <c r="D47" s="32">
        <f t="shared" ref="D47:M47" si="14">C47</f>
        <v>1.274E-2</v>
      </c>
      <c r="E47" s="32">
        <f t="shared" si="14"/>
        <v>1.274E-2</v>
      </c>
      <c r="F47" s="32">
        <f t="shared" si="14"/>
        <v>1.274E-2</v>
      </c>
      <c r="G47" s="32">
        <f t="shared" si="14"/>
        <v>1.274E-2</v>
      </c>
      <c r="H47" s="32">
        <f t="shared" si="14"/>
        <v>1.274E-2</v>
      </c>
      <c r="I47" s="32">
        <f t="shared" si="14"/>
        <v>1.274E-2</v>
      </c>
      <c r="J47" s="32">
        <f t="shared" si="14"/>
        <v>1.274E-2</v>
      </c>
      <c r="K47" s="32">
        <f t="shared" si="14"/>
        <v>1.274E-2</v>
      </c>
      <c r="L47" s="32">
        <f t="shared" si="14"/>
        <v>1.274E-2</v>
      </c>
      <c r="M47" s="32">
        <f t="shared" si="14"/>
        <v>1.274E-2</v>
      </c>
      <c r="O47" s="277"/>
      <c r="P47" s="276"/>
    </row>
    <row r="48" spans="1:16" s="20" customFormat="1">
      <c r="A48" s="26" t="s">
        <v>17</v>
      </c>
      <c r="B48" s="199">
        <f t="shared" ref="B48:M48" si="15">B46*B47</f>
        <v>5406.9706600000009</v>
      </c>
      <c r="C48" s="199">
        <f t="shared" si="15"/>
        <v>5041.0523800000001</v>
      </c>
      <c r="D48" s="199">
        <f t="shared" si="15"/>
        <v>4409.1356399999995</v>
      </c>
      <c r="E48" s="199">
        <f t="shared" si="15"/>
        <v>4737.4199600000002</v>
      </c>
      <c r="F48" s="199">
        <f t="shared" si="15"/>
        <v>5344.6848</v>
      </c>
      <c r="G48" s="199">
        <f t="shared" si="15"/>
        <v>5813.1091200000001</v>
      </c>
      <c r="H48" s="199">
        <f t="shared" si="15"/>
        <v>6014.2354999999998</v>
      </c>
      <c r="I48" s="199">
        <f t="shared" si="15"/>
        <v>6116.74154</v>
      </c>
      <c r="J48" s="199">
        <f t="shared" si="15"/>
        <v>5580.8461799999995</v>
      </c>
      <c r="K48" s="199">
        <f t="shared" si="15"/>
        <v>5156.5404799999997</v>
      </c>
      <c r="L48" s="199">
        <f t="shared" si="15"/>
        <v>4616.7466800000002</v>
      </c>
      <c r="M48" s="199">
        <f t="shared" si="15"/>
        <v>4431.2013200000001</v>
      </c>
      <c r="N48" s="199">
        <f>SUM(B48:M48)</f>
        <v>62668.684260000002</v>
      </c>
      <c r="O48" s="277"/>
      <c r="P48" s="276"/>
    </row>
    <row r="49" spans="1:16" s="20" customFormat="1">
      <c r="O49" s="277"/>
      <c r="P49" s="276"/>
    </row>
    <row r="50" spans="1:16" s="20" customFormat="1">
      <c r="A50" s="26" t="s">
        <v>38</v>
      </c>
      <c r="O50" s="277"/>
      <c r="P50" s="276"/>
    </row>
    <row r="51" spans="1:16" s="29" customFormat="1">
      <c r="A51" s="27" t="s">
        <v>40</v>
      </c>
      <c r="B51" s="28">
        <f>B37</f>
        <v>416700.00000000006</v>
      </c>
      <c r="C51" s="28">
        <f t="shared" ref="C51:M51" si="16">C37</f>
        <v>388500</v>
      </c>
      <c r="D51" s="28">
        <f t="shared" si="16"/>
        <v>339800</v>
      </c>
      <c r="E51" s="28">
        <f t="shared" si="16"/>
        <v>365100</v>
      </c>
      <c r="F51" s="28">
        <f t="shared" si="16"/>
        <v>411900</v>
      </c>
      <c r="G51" s="28">
        <f t="shared" si="16"/>
        <v>448000</v>
      </c>
      <c r="H51" s="28">
        <f t="shared" si="16"/>
        <v>463500</v>
      </c>
      <c r="I51" s="28">
        <f t="shared" si="16"/>
        <v>471400</v>
      </c>
      <c r="J51" s="28">
        <f t="shared" si="16"/>
        <v>430100</v>
      </c>
      <c r="K51" s="28">
        <f t="shared" si="16"/>
        <v>397400</v>
      </c>
      <c r="L51" s="28">
        <f t="shared" si="16"/>
        <v>355800</v>
      </c>
      <c r="M51" s="28">
        <f t="shared" si="16"/>
        <v>341500</v>
      </c>
      <c r="N51" s="21">
        <f>SUM(B51:M51)</f>
        <v>4829700</v>
      </c>
      <c r="O51" s="277"/>
      <c r="P51" s="278"/>
    </row>
    <row r="52" spans="1:16" s="29" customFormat="1">
      <c r="A52" s="27" t="s">
        <v>45</v>
      </c>
      <c r="B52" s="28">
        <f>ROUND(B51*'Transmission Formula Rate (7)'!$B$27,0)</f>
        <v>7709</v>
      </c>
      <c r="C52" s="28">
        <f>ROUND(C51*'Transmission Formula Rate (7)'!$B$27,0)</f>
        <v>7187</v>
      </c>
      <c r="D52" s="28">
        <f>ROUND(D51*'Transmission Formula Rate (7)'!$B$27,0)</f>
        <v>6286</v>
      </c>
      <c r="E52" s="28">
        <f>ROUND(E51*'Transmission Formula Rate (7)'!$B$27,0)</f>
        <v>6754</v>
      </c>
      <c r="F52" s="28">
        <f>ROUND(F51*'Transmission Formula Rate (7)'!$B$27,0)</f>
        <v>7620</v>
      </c>
      <c r="G52" s="28">
        <f>ROUND(G51*'Transmission Formula Rate (7)'!$B$27,0)</f>
        <v>8288</v>
      </c>
      <c r="H52" s="28">
        <f>ROUND(H51*'Transmission Formula Rate (7)'!$B$27,0)</f>
        <v>8575</v>
      </c>
      <c r="I52" s="28">
        <f>ROUND(I51*'Transmission Formula Rate (7)'!$B$27,0)</f>
        <v>8721</v>
      </c>
      <c r="J52" s="28">
        <f>ROUND(J51*'Transmission Formula Rate (7)'!$B$27,0)</f>
        <v>7957</v>
      </c>
      <c r="K52" s="28">
        <f>ROUND(K51*'Transmission Formula Rate (7)'!$B$27,0)</f>
        <v>7352</v>
      </c>
      <c r="L52" s="28">
        <f>ROUND(L51*'Transmission Formula Rate (7)'!$B$27,0)</f>
        <v>6582</v>
      </c>
      <c r="M52" s="28">
        <f>ROUND(M51*'Transmission Formula Rate (7)'!$B$27,0)</f>
        <v>6318</v>
      </c>
      <c r="N52" s="21">
        <f>SUM(B52:M52)</f>
        <v>89349</v>
      </c>
      <c r="O52" s="277"/>
      <c r="P52" s="278"/>
    </row>
    <row r="53" spans="1:16" s="29" customFormat="1">
      <c r="A53" s="27" t="s">
        <v>46</v>
      </c>
      <c r="B53" s="28">
        <f>B51+B52</f>
        <v>424409.00000000006</v>
      </c>
      <c r="C53" s="28">
        <f t="shared" ref="C53:M53" si="17">C51+C52</f>
        <v>395687</v>
      </c>
      <c r="D53" s="28">
        <f t="shared" si="17"/>
        <v>346086</v>
      </c>
      <c r="E53" s="28">
        <f t="shared" si="17"/>
        <v>371854</v>
      </c>
      <c r="F53" s="28">
        <f t="shared" si="17"/>
        <v>419520</v>
      </c>
      <c r="G53" s="28">
        <f t="shared" si="17"/>
        <v>456288</v>
      </c>
      <c r="H53" s="28">
        <f t="shared" si="17"/>
        <v>472075</v>
      </c>
      <c r="I53" s="28">
        <f t="shared" si="17"/>
        <v>480121</v>
      </c>
      <c r="J53" s="28">
        <f t="shared" si="17"/>
        <v>438057</v>
      </c>
      <c r="K53" s="28">
        <f t="shared" si="17"/>
        <v>404752</v>
      </c>
      <c r="L53" s="28">
        <f t="shared" si="17"/>
        <v>362382</v>
      </c>
      <c r="M53" s="28">
        <f t="shared" si="17"/>
        <v>347818</v>
      </c>
      <c r="N53" s="21">
        <f>SUM(B53:M53)</f>
        <v>4919049</v>
      </c>
      <c r="O53" s="277"/>
      <c r="P53" s="278"/>
    </row>
    <row r="54" spans="1:16" s="20" customFormat="1">
      <c r="A54" s="26" t="s">
        <v>20</v>
      </c>
      <c r="B54" s="32">
        <f>'charges (1 &amp; 2)'!$E$26</f>
        <v>7.0000000000000007E-2</v>
      </c>
      <c r="C54" s="32">
        <f>'charges (1 &amp; 2)'!$E$26</f>
        <v>7.0000000000000007E-2</v>
      </c>
      <c r="D54" s="32">
        <f>'charges (1 &amp; 2)'!$E$26</f>
        <v>7.0000000000000007E-2</v>
      </c>
      <c r="E54" s="32">
        <f>'charges (1 &amp; 2)'!$E$26</f>
        <v>7.0000000000000007E-2</v>
      </c>
      <c r="F54" s="32">
        <f>'charges (1 &amp; 2)'!$E$26</f>
        <v>7.0000000000000007E-2</v>
      </c>
      <c r="G54" s="32">
        <f>'charges (1 &amp; 2)'!$E$26</f>
        <v>7.0000000000000007E-2</v>
      </c>
      <c r="H54" s="32">
        <f>'charges (1 &amp; 2)'!$E$26</f>
        <v>7.0000000000000007E-2</v>
      </c>
      <c r="I54" s="32">
        <f>'charges (1 &amp; 2)'!$E$26</f>
        <v>7.0000000000000007E-2</v>
      </c>
      <c r="J54" s="32">
        <f>'charges (1 &amp; 2)'!$E$26</f>
        <v>7.0000000000000007E-2</v>
      </c>
      <c r="K54" s="32">
        <f>'charges (1 &amp; 2)'!$E$26</f>
        <v>7.0000000000000007E-2</v>
      </c>
      <c r="L54" s="32">
        <f>'charges (1 &amp; 2)'!$E$26</f>
        <v>7.0000000000000007E-2</v>
      </c>
      <c r="M54" s="32">
        <f>'charges (1 &amp; 2)'!$E$26</f>
        <v>7.0000000000000007E-2</v>
      </c>
      <c r="O54" s="277"/>
      <c r="P54" s="276"/>
    </row>
    <row r="55" spans="1:16" s="20" customFormat="1">
      <c r="A55" s="26" t="s">
        <v>17</v>
      </c>
      <c r="B55" s="199">
        <f>B53*B54</f>
        <v>29708.630000000008</v>
      </c>
      <c r="C55" s="199">
        <f t="shared" ref="C55:M55" si="18">C53*C54</f>
        <v>27698.090000000004</v>
      </c>
      <c r="D55" s="199">
        <f t="shared" si="18"/>
        <v>24226.020000000004</v>
      </c>
      <c r="E55" s="199">
        <f t="shared" si="18"/>
        <v>26029.780000000002</v>
      </c>
      <c r="F55" s="199">
        <f t="shared" si="18"/>
        <v>29366.400000000001</v>
      </c>
      <c r="G55" s="199">
        <f t="shared" si="18"/>
        <v>31940.160000000003</v>
      </c>
      <c r="H55" s="199">
        <f t="shared" si="18"/>
        <v>33045.25</v>
      </c>
      <c r="I55" s="199">
        <f t="shared" si="18"/>
        <v>33608.47</v>
      </c>
      <c r="J55" s="199">
        <f t="shared" si="18"/>
        <v>30663.99</v>
      </c>
      <c r="K55" s="199">
        <f t="shared" si="18"/>
        <v>28332.640000000003</v>
      </c>
      <c r="L55" s="199">
        <f t="shared" si="18"/>
        <v>25366.74</v>
      </c>
      <c r="M55" s="199">
        <f t="shared" si="18"/>
        <v>24347.260000000002</v>
      </c>
      <c r="N55" s="199">
        <f>SUM(B55:M55)</f>
        <v>344333.43000000005</v>
      </c>
      <c r="O55" s="277"/>
      <c r="P55" s="276"/>
    </row>
    <row r="56" spans="1:16" s="20" customFormat="1" ht="10.199999999999999">
      <c r="A56" s="26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200"/>
      <c r="O56" s="276"/>
      <c r="P56" s="276"/>
    </row>
    <row r="57" spans="1:16" s="20" customFormat="1" ht="10.199999999999999">
      <c r="A57" s="26" t="s">
        <v>25</v>
      </c>
      <c r="B57" s="198">
        <f>B41+B55+B48</f>
        <v>709925.91066000017</v>
      </c>
      <c r="C57" s="198">
        <f t="shared" ref="C57:M57" si="19">C41+C55+C48</f>
        <v>661881.47238000005</v>
      </c>
      <c r="D57" s="198">
        <f t="shared" si="19"/>
        <v>578911.89564</v>
      </c>
      <c r="E57" s="198">
        <f t="shared" si="19"/>
        <v>622015.05995999998</v>
      </c>
      <c r="F57" s="198">
        <f t="shared" si="19"/>
        <v>701747.88480000012</v>
      </c>
      <c r="G57" s="198">
        <f t="shared" si="19"/>
        <v>763251.18912000011</v>
      </c>
      <c r="H57" s="198">
        <f t="shared" si="19"/>
        <v>789658.73549999995</v>
      </c>
      <c r="I57" s="198">
        <f t="shared" si="19"/>
        <v>803117.60153999995</v>
      </c>
      <c r="J57" s="198">
        <f t="shared" si="19"/>
        <v>732755.46617999999</v>
      </c>
      <c r="K57" s="198">
        <f t="shared" si="19"/>
        <v>677044.86048000003</v>
      </c>
      <c r="L57" s="198">
        <f t="shared" si="19"/>
        <v>606170.86667999998</v>
      </c>
      <c r="M57" s="198">
        <f t="shared" si="19"/>
        <v>581809.08132</v>
      </c>
      <c r="N57" s="198">
        <f>SUM(B57:M57)</f>
        <v>8228290.0242600013</v>
      </c>
      <c r="O57" s="276"/>
      <c r="P57" s="276"/>
    </row>
    <row r="58" spans="1:16" s="20" customFormat="1" ht="10.199999999999999">
      <c r="A58" s="26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76"/>
      <c r="P58" s="276"/>
    </row>
    <row r="59" spans="1:16" s="20" customFormat="1" ht="10.199999999999999">
      <c r="A59" s="25">
        <f>+A34+1</f>
        <v>2016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76"/>
      <c r="P59" s="276"/>
    </row>
    <row r="60" spans="1:16" s="20" customFormat="1" ht="10.199999999999999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76"/>
      <c r="P60" s="276"/>
    </row>
    <row r="61" spans="1:16" s="20" customFormat="1" ht="10.199999999999999">
      <c r="A61" s="26" t="s">
        <v>37</v>
      </c>
      <c r="O61" s="276"/>
      <c r="P61" s="276"/>
    </row>
    <row r="62" spans="1:16" s="29" customFormat="1">
      <c r="A62" s="27" t="s">
        <v>40</v>
      </c>
      <c r="B62" s="239">
        <f>'FMPA Network Forecast'!D21*1000</f>
        <v>420200</v>
      </c>
      <c r="C62" s="239">
        <f>'FMPA Network Forecast'!E21*1000</f>
        <v>391600</v>
      </c>
      <c r="D62" s="239">
        <f>'FMPA Network Forecast'!F21*1000</f>
        <v>342500</v>
      </c>
      <c r="E62" s="239">
        <f>'FMPA Network Forecast'!G21*1000</f>
        <v>368000</v>
      </c>
      <c r="F62" s="239">
        <f>'FMPA Network Forecast'!H21*1000</f>
        <v>415200</v>
      </c>
      <c r="G62" s="239">
        <f>'FMPA Network Forecast'!I21*1000</f>
        <v>451600</v>
      </c>
      <c r="H62" s="239">
        <f>'FMPA Network Forecast'!J21*1000</f>
        <v>467200</v>
      </c>
      <c r="I62" s="239">
        <f>'FMPA Network Forecast'!K21*1000</f>
        <v>475200.00000000006</v>
      </c>
      <c r="J62" s="239">
        <f>'FMPA Network Forecast'!L21*1000</f>
        <v>433500</v>
      </c>
      <c r="K62" s="239">
        <f>'FMPA Network Forecast'!M21*1000</f>
        <v>400600</v>
      </c>
      <c r="L62" s="239">
        <f>'FMPA Network Forecast'!N21*1000</f>
        <v>358600</v>
      </c>
      <c r="M62" s="239">
        <f>'FMPA Network Forecast'!O21*1000</f>
        <v>344200</v>
      </c>
      <c r="N62" s="21">
        <f>SUM(B62:M62)</f>
        <v>4868400</v>
      </c>
      <c r="O62" s="284">
        <f>SUM('FMPA Network Forecast'!D21:O21)*1000</f>
        <v>4868400.0000000009</v>
      </c>
      <c r="P62" s="277">
        <f>N62-O62</f>
        <v>0</v>
      </c>
    </row>
    <row r="63" spans="1:16" s="29" customFormat="1">
      <c r="A63" s="27" t="s">
        <v>45</v>
      </c>
      <c r="B63" s="28">
        <f>ROUND(B62*'Transmission Formula Rate (7)'!$B$27,0)</f>
        <v>7774</v>
      </c>
      <c r="C63" s="28">
        <f>ROUND(C62*'Transmission Formula Rate (7)'!$B$27,0)</f>
        <v>7245</v>
      </c>
      <c r="D63" s="28">
        <f>ROUND(D62*'Transmission Formula Rate (7)'!$B$27,0)</f>
        <v>6336</v>
      </c>
      <c r="E63" s="28">
        <f>ROUND(E62*'Transmission Formula Rate (7)'!$B$27,0)</f>
        <v>6808</v>
      </c>
      <c r="F63" s="28">
        <f>ROUND(F62*'Transmission Formula Rate (7)'!$B$27,0)</f>
        <v>7681</v>
      </c>
      <c r="G63" s="28">
        <f>ROUND(G62*'Transmission Formula Rate (7)'!$B$27,0)</f>
        <v>8355</v>
      </c>
      <c r="H63" s="28">
        <f>ROUND(H62*'Transmission Formula Rate (7)'!$B$27,0)</f>
        <v>8643</v>
      </c>
      <c r="I63" s="28">
        <f>ROUND(I62*'Transmission Formula Rate (7)'!$B$27,0)</f>
        <v>8791</v>
      </c>
      <c r="J63" s="28">
        <f>ROUND(J62*'Transmission Formula Rate (7)'!$B$27,0)</f>
        <v>8020</v>
      </c>
      <c r="K63" s="28">
        <f>ROUND(K62*'Transmission Formula Rate (7)'!$B$27,0)</f>
        <v>7411</v>
      </c>
      <c r="L63" s="28">
        <f>ROUND(L62*'Transmission Formula Rate (7)'!$B$27,0)</f>
        <v>6634</v>
      </c>
      <c r="M63" s="28">
        <f>ROUND(M62*'Transmission Formula Rate (7)'!$B$27,0)</f>
        <v>6368</v>
      </c>
      <c r="N63" s="21">
        <f>SUM(B63:M63)</f>
        <v>90066</v>
      </c>
      <c r="O63" s="277"/>
      <c r="P63" s="278"/>
    </row>
    <row r="64" spans="1:16" s="29" customFormat="1">
      <c r="A64" s="27" t="s">
        <v>46</v>
      </c>
      <c r="B64" s="28">
        <f>B62+B63</f>
        <v>427974</v>
      </c>
      <c r="C64" s="28">
        <f t="shared" ref="C64:M64" si="20">C62+C63</f>
        <v>398845</v>
      </c>
      <c r="D64" s="28">
        <f t="shared" si="20"/>
        <v>348836</v>
      </c>
      <c r="E64" s="28">
        <f t="shared" si="20"/>
        <v>374808</v>
      </c>
      <c r="F64" s="28">
        <f t="shared" si="20"/>
        <v>422881</v>
      </c>
      <c r="G64" s="28">
        <f t="shared" si="20"/>
        <v>459955</v>
      </c>
      <c r="H64" s="28">
        <f t="shared" si="20"/>
        <v>475843</v>
      </c>
      <c r="I64" s="28">
        <f t="shared" si="20"/>
        <v>483991.00000000006</v>
      </c>
      <c r="J64" s="28">
        <f t="shared" si="20"/>
        <v>441520</v>
      </c>
      <c r="K64" s="28">
        <f t="shared" si="20"/>
        <v>408011</v>
      </c>
      <c r="L64" s="28">
        <f t="shared" si="20"/>
        <v>365234</v>
      </c>
      <c r="M64" s="28">
        <f t="shared" si="20"/>
        <v>350568</v>
      </c>
      <c r="N64" s="28">
        <f>N62+N63</f>
        <v>4958466</v>
      </c>
      <c r="O64" s="277"/>
      <c r="P64" s="278"/>
    </row>
    <row r="65" spans="1:16" s="20" customFormat="1">
      <c r="A65" s="26" t="s">
        <v>20</v>
      </c>
      <c r="B65" s="30">
        <f>'Transmission Formula Rate (7)'!B12</f>
        <v>1.59</v>
      </c>
      <c r="C65" s="30">
        <f>'Transmission Formula Rate (7)'!C12</f>
        <v>1.59</v>
      </c>
      <c r="D65" s="30">
        <f>'Transmission Formula Rate (7)'!D12</f>
        <v>1.59</v>
      </c>
      <c r="E65" s="30">
        <f>'Transmission Formula Rate (7)'!E12</f>
        <v>1.59</v>
      </c>
      <c r="F65" s="30">
        <f>'Transmission Formula Rate (7)'!F12</f>
        <v>1.59</v>
      </c>
      <c r="G65" s="30">
        <f>'Transmission Formula Rate (7)'!G12</f>
        <v>1.59</v>
      </c>
      <c r="H65" s="30">
        <f>'Transmission Formula Rate (7)'!H12</f>
        <v>1.59</v>
      </c>
      <c r="I65" s="30">
        <f>'Transmission Formula Rate (7)'!I12</f>
        <v>1.59</v>
      </c>
      <c r="J65" s="30">
        <f>'Transmission Formula Rate (7)'!J12</f>
        <v>1.59</v>
      </c>
      <c r="K65" s="30">
        <f>'Transmission Formula Rate (7)'!K12</f>
        <v>1.59</v>
      </c>
      <c r="L65" s="30">
        <f>'Transmission Formula Rate (7)'!L12</f>
        <v>1.59</v>
      </c>
      <c r="M65" s="30">
        <f>'Transmission Formula Rate (7)'!M12</f>
        <v>1.59</v>
      </c>
      <c r="O65" s="277"/>
      <c r="P65" s="276"/>
    </row>
    <row r="66" spans="1:16" s="20" customFormat="1">
      <c r="A66" s="26" t="s">
        <v>17</v>
      </c>
      <c r="B66" s="199">
        <f>B64*B65</f>
        <v>680478.66</v>
      </c>
      <c r="C66" s="199">
        <f t="shared" ref="C66:M66" si="21">C64*C65</f>
        <v>634163.55000000005</v>
      </c>
      <c r="D66" s="199">
        <f t="shared" si="21"/>
        <v>554649.24</v>
      </c>
      <c r="E66" s="199">
        <f t="shared" si="21"/>
        <v>595944.72</v>
      </c>
      <c r="F66" s="199">
        <f t="shared" si="21"/>
        <v>672380.79</v>
      </c>
      <c r="G66" s="199">
        <f t="shared" si="21"/>
        <v>731328.45000000007</v>
      </c>
      <c r="H66" s="199">
        <f t="shared" si="21"/>
        <v>756590.37</v>
      </c>
      <c r="I66" s="199">
        <f t="shared" si="21"/>
        <v>769545.69000000018</v>
      </c>
      <c r="J66" s="199">
        <f t="shared" si="21"/>
        <v>702016.8</v>
      </c>
      <c r="K66" s="199">
        <f t="shared" si="21"/>
        <v>648737.49</v>
      </c>
      <c r="L66" s="199">
        <f t="shared" si="21"/>
        <v>580722.06000000006</v>
      </c>
      <c r="M66" s="199">
        <f t="shared" si="21"/>
        <v>557403.12</v>
      </c>
      <c r="N66" s="199">
        <f>SUM(B66:M66)</f>
        <v>7883960.9400000004</v>
      </c>
      <c r="O66" s="277"/>
      <c r="P66" s="276"/>
    </row>
    <row r="67" spans="1:16" s="20" customFormat="1" ht="12.75" customHeight="1">
      <c r="O67" s="277"/>
      <c r="P67" s="276"/>
    </row>
    <row r="68" spans="1:16" s="20" customFormat="1" ht="12.75" customHeight="1">
      <c r="A68" s="26" t="s">
        <v>141</v>
      </c>
      <c r="O68" s="277"/>
      <c r="P68" s="276"/>
    </row>
    <row r="69" spans="1:16" s="20" customFormat="1" ht="12.75" customHeight="1">
      <c r="A69" s="27" t="s">
        <v>40</v>
      </c>
      <c r="B69" s="28">
        <f>B62</f>
        <v>420200</v>
      </c>
      <c r="C69" s="28">
        <f t="shared" ref="C69:M69" si="22">C62</f>
        <v>391600</v>
      </c>
      <c r="D69" s="28">
        <f t="shared" si="22"/>
        <v>342500</v>
      </c>
      <c r="E69" s="28">
        <f t="shared" si="22"/>
        <v>368000</v>
      </c>
      <c r="F69" s="28">
        <f t="shared" si="22"/>
        <v>415200</v>
      </c>
      <c r="G69" s="28">
        <f t="shared" si="22"/>
        <v>451600</v>
      </c>
      <c r="H69" s="28">
        <f t="shared" si="22"/>
        <v>467200</v>
      </c>
      <c r="I69" s="28">
        <f t="shared" si="22"/>
        <v>475200.00000000006</v>
      </c>
      <c r="J69" s="28">
        <f t="shared" si="22"/>
        <v>433500</v>
      </c>
      <c r="K69" s="28">
        <f t="shared" si="22"/>
        <v>400600</v>
      </c>
      <c r="L69" s="28">
        <f t="shared" si="22"/>
        <v>358600</v>
      </c>
      <c r="M69" s="28">
        <f t="shared" si="22"/>
        <v>344200</v>
      </c>
      <c r="N69" s="21">
        <f>SUM(B69:M69)</f>
        <v>4868400</v>
      </c>
      <c r="O69" s="277"/>
      <c r="P69" s="276"/>
    </row>
    <row r="70" spans="1:16" s="20" customFormat="1" ht="12.75" customHeight="1">
      <c r="A70" s="27" t="s">
        <v>45</v>
      </c>
      <c r="B70" s="28">
        <f>ROUND(B69*'Transmission Formula Rate (7)'!$B$27,0)</f>
        <v>7774</v>
      </c>
      <c r="C70" s="28">
        <f>ROUND(C69*'Transmission Formula Rate (7)'!$B$27,0)</f>
        <v>7245</v>
      </c>
      <c r="D70" s="28">
        <f>ROUND(D69*'Transmission Formula Rate (7)'!$B$27,0)</f>
        <v>6336</v>
      </c>
      <c r="E70" s="28">
        <f>ROUND(E69*'Transmission Formula Rate (7)'!$B$27,0)</f>
        <v>6808</v>
      </c>
      <c r="F70" s="28">
        <f>ROUND(F69*'Transmission Formula Rate (7)'!$B$27,0)</f>
        <v>7681</v>
      </c>
      <c r="G70" s="28">
        <f>ROUND(G69*'Transmission Formula Rate (7)'!$B$27,0)</f>
        <v>8355</v>
      </c>
      <c r="H70" s="28">
        <f>ROUND(H69*'Transmission Formula Rate (7)'!$B$27,0)</f>
        <v>8643</v>
      </c>
      <c r="I70" s="28">
        <f>ROUND(I69*'Transmission Formula Rate (7)'!$B$27,0)</f>
        <v>8791</v>
      </c>
      <c r="J70" s="28">
        <f>ROUND(J69*'Transmission Formula Rate (7)'!$B$27,0)</f>
        <v>8020</v>
      </c>
      <c r="K70" s="28">
        <f>ROUND(K69*'Transmission Formula Rate (7)'!$B$27,0)</f>
        <v>7411</v>
      </c>
      <c r="L70" s="28">
        <f>ROUND(L69*'Transmission Formula Rate (7)'!$B$27,0)</f>
        <v>6634</v>
      </c>
      <c r="M70" s="28">
        <f>ROUND(M69*'Transmission Formula Rate (7)'!$B$27,0)</f>
        <v>6368</v>
      </c>
      <c r="N70" s="21">
        <f>SUM(B70:M70)</f>
        <v>90066</v>
      </c>
      <c r="O70" s="277"/>
      <c r="P70" s="276"/>
    </row>
    <row r="71" spans="1:16" s="20" customFormat="1" ht="12.75" customHeight="1">
      <c r="A71" s="27" t="s">
        <v>46</v>
      </c>
      <c r="B71" s="28">
        <f t="shared" ref="B71:N71" si="23">B69+B70</f>
        <v>427974</v>
      </c>
      <c r="C71" s="28">
        <f t="shared" si="23"/>
        <v>398845</v>
      </c>
      <c r="D71" s="28">
        <f t="shared" si="23"/>
        <v>348836</v>
      </c>
      <c r="E71" s="28">
        <f t="shared" si="23"/>
        <v>374808</v>
      </c>
      <c r="F71" s="28">
        <f t="shared" si="23"/>
        <v>422881</v>
      </c>
      <c r="G71" s="28">
        <f t="shared" si="23"/>
        <v>459955</v>
      </c>
      <c r="H71" s="28">
        <f t="shared" si="23"/>
        <v>475843</v>
      </c>
      <c r="I71" s="28">
        <f t="shared" si="23"/>
        <v>483991.00000000006</v>
      </c>
      <c r="J71" s="28">
        <f t="shared" si="23"/>
        <v>441520</v>
      </c>
      <c r="K71" s="28">
        <f t="shared" si="23"/>
        <v>408011</v>
      </c>
      <c r="L71" s="28">
        <f t="shared" si="23"/>
        <v>365234</v>
      </c>
      <c r="M71" s="28">
        <f t="shared" si="23"/>
        <v>350568</v>
      </c>
      <c r="N71" s="28">
        <f t="shared" si="23"/>
        <v>4958466</v>
      </c>
      <c r="O71" s="277"/>
      <c r="P71" s="276"/>
    </row>
    <row r="72" spans="1:16" s="20" customFormat="1" ht="12.75" customHeight="1">
      <c r="A72" s="26" t="s">
        <v>20</v>
      </c>
      <c r="B72" s="32">
        <f>'charges (1 &amp; 2)'!F30</f>
        <v>1.274E-2</v>
      </c>
      <c r="C72" s="32">
        <f>B72</f>
        <v>1.274E-2</v>
      </c>
      <c r="D72" s="32">
        <f t="shared" ref="D72:M72" si="24">C72</f>
        <v>1.274E-2</v>
      </c>
      <c r="E72" s="32">
        <f t="shared" si="24"/>
        <v>1.274E-2</v>
      </c>
      <c r="F72" s="32">
        <f t="shared" si="24"/>
        <v>1.274E-2</v>
      </c>
      <c r="G72" s="32">
        <f t="shared" si="24"/>
        <v>1.274E-2</v>
      </c>
      <c r="H72" s="32">
        <f t="shared" si="24"/>
        <v>1.274E-2</v>
      </c>
      <c r="I72" s="32">
        <f t="shared" si="24"/>
        <v>1.274E-2</v>
      </c>
      <c r="J72" s="32">
        <f t="shared" si="24"/>
        <v>1.274E-2</v>
      </c>
      <c r="K72" s="32">
        <f t="shared" si="24"/>
        <v>1.274E-2</v>
      </c>
      <c r="L72" s="32">
        <f t="shared" si="24"/>
        <v>1.274E-2</v>
      </c>
      <c r="M72" s="32">
        <f t="shared" si="24"/>
        <v>1.274E-2</v>
      </c>
      <c r="O72" s="277"/>
      <c r="P72" s="276"/>
    </row>
    <row r="73" spans="1:16" s="20" customFormat="1" ht="12.75" customHeight="1">
      <c r="A73" s="26" t="s">
        <v>17</v>
      </c>
      <c r="B73" s="199">
        <f t="shared" ref="B73:M73" si="25">B71*B72</f>
        <v>5452.3887599999998</v>
      </c>
      <c r="C73" s="199">
        <f t="shared" si="25"/>
        <v>5081.2852999999996</v>
      </c>
      <c r="D73" s="199">
        <f t="shared" si="25"/>
        <v>4444.1706400000003</v>
      </c>
      <c r="E73" s="199">
        <f t="shared" si="25"/>
        <v>4775.0539200000003</v>
      </c>
      <c r="F73" s="199">
        <f t="shared" si="25"/>
        <v>5387.5039399999996</v>
      </c>
      <c r="G73" s="199">
        <f t="shared" si="25"/>
        <v>5859.8266999999996</v>
      </c>
      <c r="H73" s="199">
        <f t="shared" si="25"/>
        <v>6062.2398199999998</v>
      </c>
      <c r="I73" s="199">
        <f t="shared" si="25"/>
        <v>6166.0453400000006</v>
      </c>
      <c r="J73" s="199">
        <f t="shared" si="25"/>
        <v>5624.9647999999997</v>
      </c>
      <c r="K73" s="199">
        <f t="shared" si="25"/>
        <v>5198.0601399999996</v>
      </c>
      <c r="L73" s="199">
        <f t="shared" si="25"/>
        <v>4653.0811599999997</v>
      </c>
      <c r="M73" s="199">
        <f t="shared" si="25"/>
        <v>4466.23632</v>
      </c>
      <c r="N73" s="199">
        <f>SUM(B73:M73)</f>
        <v>63170.856840000008</v>
      </c>
      <c r="O73" s="277"/>
      <c r="P73" s="276"/>
    </row>
    <row r="74" spans="1:16" s="20" customFormat="1" ht="12.75" customHeight="1">
      <c r="O74" s="277"/>
      <c r="P74" s="276"/>
    </row>
    <row r="75" spans="1:16" s="20" customFormat="1">
      <c r="A75" s="26" t="s">
        <v>38</v>
      </c>
      <c r="O75" s="277"/>
      <c r="P75" s="276"/>
    </row>
    <row r="76" spans="1:16" s="29" customFormat="1">
      <c r="A76" s="27" t="s">
        <v>40</v>
      </c>
      <c r="B76" s="28">
        <f>B62</f>
        <v>420200</v>
      </c>
      <c r="C76" s="28">
        <f t="shared" ref="C76:M76" si="26">C62</f>
        <v>391600</v>
      </c>
      <c r="D76" s="28">
        <f t="shared" si="26"/>
        <v>342500</v>
      </c>
      <c r="E76" s="28">
        <f t="shared" si="26"/>
        <v>368000</v>
      </c>
      <c r="F76" s="28">
        <f t="shared" si="26"/>
        <v>415200</v>
      </c>
      <c r="G76" s="28">
        <f t="shared" si="26"/>
        <v>451600</v>
      </c>
      <c r="H76" s="28">
        <f t="shared" si="26"/>
        <v>467200</v>
      </c>
      <c r="I76" s="28">
        <f t="shared" si="26"/>
        <v>475200.00000000006</v>
      </c>
      <c r="J76" s="28">
        <f t="shared" si="26"/>
        <v>433500</v>
      </c>
      <c r="K76" s="28">
        <f t="shared" si="26"/>
        <v>400600</v>
      </c>
      <c r="L76" s="28">
        <f t="shared" si="26"/>
        <v>358600</v>
      </c>
      <c r="M76" s="28">
        <f t="shared" si="26"/>
        <v>344200</v>
      </c>
      <c r="N76" s="21">
        <f>SUM(B76:M76)</f>
        <v>4868400</v>
      </c>
      <c r="O76" s="277"/>
      <c r="P76" s="278"/>
    </row>
    <row r="77" spans="1:16" s="29" customFormat="1">
      <c r="A77" s="27" t="s">
        <v>45</v>
      </c>
      <c r="B77" s="28">
        <f>ROUND(B76*'Transmission Formula Rate (7)'!$B$27,0)</f>
        <v>7774</v>
      </c>
      <c r="C77" s="28">
        <f>ROUND(C76*'Transmission Formula Rate (7)'!$B$27,0)</f>
        <v>7245</v>
      </c>
      <c r="D77" s="28">
        <f>ROUND(D76*'Transmission Formula Rate (7)'!$B$27,0)</f>
        <v>6336</v>
      </c>
      <c r="E77" s="28">
        <f>ROUND(E76*'Transmission Formula Rate (7)'!$B$27,0)</f>
        <v>6808</v>
      </c>
      <c r="F77" s="28">
        <f>ROUND(F76*'Transmission Formula Rate (7)'!$B$27,0)</f>
        <v>7681</v>
      </c>
      <c r="G77" s="28">
        <f>ROUND(G76*'Transmission Formula Rate (7)'!$B$27,0)</f>
        <v>8355</v>
      </c>
      <c r="H77" s="28">
        <f>ROUND(H76*'Transmission Formula Rate (7)'!$B$27,0)</f>
        <v>8643</v>
      </c>
      <c r="I77" s="28">
        <f>ROUND(I76*'Transmission Formula Rate (7)'!$B$27,0)</f>
        <v>8791</v>
      </c>
      <c r="J77" s="28">
        <f>ROUND(J76*'Transmission Formula Rate (7)'!$B$27,0)</f>
        <v>8020</v>
      </c>
      <c r="K77" s="28">
        <f>ROUND(K76*'Transmission Formula Rate (7)'!$B$27,0)</f>
        <v>7411</v>
      </c>
      <c r="L77" s="28">
        <f>ROUND(L76*'Transmission Formula Rate (7)'!$B$27,0)</f>
        <v>6634</v>
      </c>
      <c r="M77" s="28">
        <f>ROUND(M76*'Transmission Formula Rate (7)'!$B$27,0)</f>
        <v>6368</v>
      </c>
      <c r="N77" s="21">
        <f>SUM(B77:M77)</f>
        <v>90066</v>
      </c>
      <c r="O77" s="277"/>
      <c r="P77" s="278"/>
    </row>
    <row r="78" spans="1:16" s="29" customFormat="1">
      <c r="A78" s="27" t="s">
        <v>46</v>
      </c>
      <c r="B78" s="28">
        <f>B76+B77</f>
        <v>427974</v>
      </c>
      <c r="C78" s="28">
        <f t="shared" ref="C78:M78" si="27">C76+C77</f>
        <v>398845</v>
      </c>
      <c r="D78" s="28">
        <f t="shared" si="27"/>
        <v>348836</v>
      </c>
      <c r="E78" s="28">
        <f t="shared" si="27"/>
        <v>374808</v>
      </c>
      <c r="F78" s="28">
        <f t="shared" si="27"/>
        <v>422881</v>
      </c>
      <c r="G78" s="28">
        <f t="shared" si="27"/>
        <v>459955</v>
      </c>
      <c r="H78" s="28">
        <f t="shared" si="27"/>
        <v>475843</v>
      </c>
      <c r="I78" s="28">
        <f t="shared" si="27"/>
        <v>483991.00000000006</v>
      </c>
      <c r="J78" s="28">
        <f t="shared" si="27"/>
        <v>441520</v>
      </c>
      <c r="K78" s="28">
        <f t="shared" si="27"/>
        <v>408011</v>
      </c>
      <c r="L78" s="28">
        <f t="shared" si="27"/>
        <v>365234</v>
      </c>
      <c r="M78" s="28">
        <f t="shared" si="27"/>
        <v>350568</v>
      </c>
      <c r="N78" s="21">
        <f>SUM(B78:M78)</f>
        <v>4958466</v>
      </c>
      <c r="O78" s="277"/>
      <c r="P78" s="278"/>
    </row>
    <row r="79" spans="1:16" s="20" customFormat="1">
      <c r="A79" s="26" t="s">
        <v>20</v>
      </c>
      <c r="B79" s="32">
        <f>'charges (1 &amp; 2)'!$F$26</f>
        <v>7.0000000000000007E-2</v>
      </c>
      <c r="C79" s="32">
        <f>'charges (1 &amp; 2)'!$F$26</f>
        <v>7.0000000000000007E-2</v>
      </c>
      <c r="D79" s="32">
        <f>'charges (1 &amp; 2)'!$F$26</f>
        <v>7.0000000000000007E-2</v>
      </c>
      <c r="E79" s="32">
        <f>'charges (1 &amp; 2)'!$F$26</f>
        <v>7.0000000000000007E-2</v>
      </c>
      <c r="F79" s="32">
        <f>'charges (1 &amp; 2)'!$F$26</f>
        <v>7.0000000000000007E-2</v>
      </c>
      <c r="G79" s="32">
        <f>'charges (1 &amp; 2)'!$F$26</f>
        <v>7.0000000000000007E-2</v>
      </c>
      <c r="H79" s="32">
        <f>'charges (1 &amp; 2)'!$F$26</f>
        <v>7.0000000000000007E-2</v>
      </c>
      <c r="I79" s="32">
        <f>'charges (1 &amp; 2)'!$F$26</f>
        <v>7.0000000000000007E-2</v>
      </c>
      <c r="J79" s="32">
        <f>'charges (1 &amp; 2)'!$F$26</f>
        <v>7.0000000000000007E-2</v>
      </c>
      <c r="K79" s="32">
        <f>'charges (1 &amp; 2)'!$F$26</f>
        <v>7.0000000000000007E-2</v>
      </c>
      <c r="L79" s="32">
        <f>'charges (1 &amp; 2)'!$F$26</f>
        <v>7.0000000000000007E-2</v>
      </c>
      <c r="M79" s="32">
        <f>'charges (1 &amp; 2)'!$F$26</f>
        <v>7.0000000000000007E-2</v>
      </c>
      <c r="O79" s="277"/>
      <c r="P79" s="276"/>
    </row>
    <row r="80" spans="1:16" s="20" customFormat="1">
      <c r="A80" s="26" t="s">
        <v>17</v>
      </c>
      <c r="B80" s="199">
        <f>B78*B79</f>
        <v>29958.180000000004</v>
      </c>
      <c r="C80" s="199">
        <f t="shared" ref="C80:M80" si="28">C78*C79</f>
        <v>27919.15</v>
      </c>
      <c r="D80" s="199">
        <f t="shared" si="28"/>
        <v>24418.520000000004</v>
      </c>
      <c r="E80" s="199">
        <f t="shared" si="28"/>
        <v>26236.560000000001</v>
      </c>
      <c r="F80" s="199">
        <f t="shared" si="28"/>
        <v>29601.670000000002</v>
      </c>
      <c r="G80" s="199">
        <f t="shared" si="28"/>
        <v>32196.850000000002</v>
      </c>
      <c r="H80" s="199">
        <f t="shared" si="28"/>
        <v>33309.01</v>
      </c>
      <c r="I80" s="199">
        <f t="shared" si="28"/>
        <v>33879.37000000001</v>
      </c>
      <c r="J80" s="199">
        <f t="shared" si="28"/>
        <v>30906.400000000001</v>
      </c>
      <c r="K80" s="199">
        <f t="shared" si="28"/>
        <v>28560.770000000004</v>
      </c>
      <c r="L80" s="199">
        <f t="shared" si="28"/>
        <v>25566.38</v>
      </c>
      <c r="M80" s="199">
        <f t="shared" si="28"/>
        <v>24539.760000000002</v>
      </c>
      <c r="N80" s="199">
        <f>SUM(B80:M80)</f>
        <v>347092.62000000011</v>
      </c>
      <c r="O80" s="277"/>
      <c r="P80" s="276"/>
    </row>
    <row r="81" spans="1:16" s="20" customFormat="1" ht="10.199999999999999">
      <c r="A81" s="26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276"/>
      <c r="P81" s="276"/>
    </row>
    <row r="82" spans="1:16" s="20" customFormat="1" ht="10.199999999999999">
      <c r="A82" s="26" t="s">
        <v>25</v>
      </c>
      <c r="B82" s="198">
        <f>B66+B80+B73</f>
        <v>715889.22876000009</v>
      </c>
      <c r="C82" s="198">
        <f t="shared" ref="C82:M82" si="29">C66+C80+C73</f>
        <v>667163.98530000006</v>
      </c>
      <c r="D82" s="198">
        <f t="shared" si="29"/>
        <v>583511.93064000004</v>
      </c>
      <c r="E82" s="198">
        <f t="shared" si="29"/>
        <v>626956.33392</v>
      </c>
      <c r="F82" s="198">
        <f t="shared" si="29"/>
        <v>707369.96394000005</v>
      </c>
      <c r="G82" s="198">
        <f t="shared" si="29"/>
        <v>769385.12670000002</v>
      </c>
      <c r="H82" s="198">
        <f t="shared" si="29"/>
        <v>795961.61982000002</v>
      </c>
      <c r="I82" s="198">
        <f t="shared" si="29"/>
        <v>809591.10534000013</v>
      </c>
      <c r="J82" s="198">
        <f t="shared" si="29"/>
        <v>738548.16480000003</v>
      </c>
      <c r="K82" s="198">
        <f t="shared" si="29"/>
        <v>682496.32013999997</v>
      </c>
      <c r="L82" s="198">
        <f t="shared" si="29"/>
        <v>610941.52116</v>
      </c>
      <c r="M82" s="198">
        <f t="shared" si="29"/>
        <v>586409.11632000003</v>
      </c>
      <c r="N82" s="198">
        <f>SUM(B82:M82)</f>
        <v>8294224.4168400001</v>
      </c>
      <c r="O82" s="276"/>
      <c r="P82" s="276"/>
    </row>
    <row r="84" spans="1:16">
      <c r="A84" s="25">
        <f>+A59+1</f>
        <v>2017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6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1:16">
      <c r="A86" s="26" t="s">
        <v>37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6">
      <c r="A87" s="27" t="s">
        <v>40</v>
      </c>
      <c r="B87" s="239">
        <f>'FMPA Network Forecast'!D22*1000</f>
        <v>423800</v>
      </c>
      <c r="C87" s="239">
        <f>'FMPA Network Forecast'!E22*1000</f>
        <v>394800</v>
      </c>
      <c r="D87" s="239">
        <f>'FMPA Network Forecast'!F22*1000</f>
        <v>345300</v>
      </c>
      <c r="E87" s="239">
        <f>'FMPA Network Forecast'!G22*1000</f>
        <v>371000</v>
      </c>
      <c r="F87" s="239">
        <f>'FMPA Network Forecast'!H22*1000</f>
        <v>418600</v>
      </c>
      <c r="G87" s="239">
        <f>'FMPA Network Forecast'!I22*1000</f>
        <v>455300</v>
      </c>
      <c r="H87" s="239">
        <f>'FMPA Network Forecast'!J22*1000</f>
        <v>471100</v>
      </c>
      <c r="I87" s="239">
        <f>'FMPA Network Forecast'!K22*1000</f>
        <v>479100</v>
      </c>
      <c r="J87" s="239">
        <f>'FMPA Network Forecast'!L22*1000</f>
        <v>437100</v>
      </c>
      <c r="K87" s="239">
        <f>'FMPA Network Forecast'!M22*1000</f>
        <v>403900</v>
      </c>
      <c r="L87" s="239">
        <f>'FMPA Network Forecast'!N22*1000</f>
        <v>361600</v>
      </c>
      <c r="M87" s="239">
        <f>'FMPA Network Forecast'!O22*1000</f>
        <v>347100</v>
      </c>
      <c r="N87" s="21">
        <f>SUM(B87:M87)</f>
        <v>4908700</v>
      </c>
      <c r="O87" s="284">
        <f>SUM('FMPA Network Forecast'!D22:O22)*1000</f>
        <v>4908700.0000000009</v>
      </c>
      <c r="P87" s="277">
        <f>N87-O87</f>
        <v>0</v>
      </c>
    </row>
    <row r="88" spans="1:16">
      <c r="A88" s="27" t="s">
        <v>45</v>
      </c>
      <c r="B88" s="28">
        <f>ROUND(B87*'Transmission Formula Rate (7)'!$B$27,0)</f>
        <v>7840</v>
      </c>
      <c r="C88" s="28">
        <f>ROUND(C87*'Transmission Formula Rate (7)'!$B$27,0)</f>
        <v>7304</v>
      </c>
      <c r="D88" s="28">
        <f>ROUND(D87*'Transmission Formula Rate (7)'!$B$27,0)</f>
        <v>6388</v>
      </c>
      <c r="E88" s="28">
        <f>ROUND(E87*'Transmission Formula Rate (7)'!$B$27,0)</f>
        <v>6864</v>
      </c>
      <c r="F88" s="28">
        <f>ROUND(F87*'Transmission Formula Rate (7)'!$B$27,0)</f>
        <v>7744</v>
      </c>
      <c r="G88" s="28">
        <f>ROUND(G87*'Transmission Formula Rate (7)'!$B$27,0)</f>
        <v>8423</v>
      </c>
      <c r="H88" s="28">
        <f>ROUND(H87*'Transmission Formula Rate (7)'!$B$27,0)</f>
        <v>8715</v>
      </c>
      <c r="I88" s="28">
        <f>ROUND(I87*'Transmission Formula Rate (7)'!$B$27,0)</f>
        <v>8863</v>
      </c>
      <c r="J88" s="28">
        <f>ROUND(J87*'Transmission Formula Rate (7)'!$B$27,0)</f>
        <v>8086</v>
      </c>
      <c r="K88" s="28">
        <f>ROUND(K87*'Transmission Formula Rate (7)'!$B$27,0)</f>
        <v>7472</v>
      </c>
      <c r="L88" s="28">
        <f>ROUND(L87*'Transmission Formula Rate (7)'!$B$27,0)</f>
        <v>6690</v>
      </c>
      <c r="M88" s="28">
        <f>ROUND(M87*'Transmission Formula Rate (7)'!$B$27,0)</f>
        <v>6421</v>
      </c>
      <c r="N88" s="21">
        <f>SUM(B88:M88)</f>
        <v>90810</v>
      </c>
    </row>
    <row r="89" spans="1:16">
      <c r="A89" s="27" t="s">
        <v>46</v>
      </c>
      <c r="B89" s="28">
        <f>B87+B88</f>
        <v>431640</v>
      </c>
      <c r="C89" s="28">
        <f t="shared" ref="C89:M89" si="30">C87+C88</f>
        <v>402104</v>
      </c>
      <c r="D89" s="28">
        <f t="shared" si="30"/>
        <v>351688</v>
      </c>
      <c r="E89" s="28">
        <f t="shared" si="30"/>
        <v>377864</v>
      </c>
      <c r="F89" s="28">
        <f t="shared" si="30"/>
        <v>426344</v>
      </c>
      <c r="G89" s="28">
        <f t="shared" si="30"/>
        <v>463723</v>
      </c>
      <c r="H89" s="28">
        <f t="shared" si="30"/>
        <v>479815</v>
      </c>
      <c r="I89" s="28">
        <f t="shared" si="30"/>
        <v>487963</v>
      </c>
      <c r="J89" s="28">
        <f t="shared" si="30"/>
        <v>445186</v>
      </c>
      <c r="K89" s="28">
        <f t="shared" si="30"/>
        <v>411372</v>
      </c>
      <c r="L89" s="28">
        <f t="shared" si="30"/>
        <v>368290</v>
      </c>
      <c r="M89" s="28">
        <f t="shared" si="30"/>
        <v>353521</v>
      </c>
      <c r="N89" s="21">
        <f>SUM(B89:M89)</f>
        <v>4999510</v>
      </c>
    </row>
    <row r="90" spans="1:16">
      <c r="A90" s="26" t="s">
        <v>20</v>
      </c>
      <c r="B90" s="30">
        <f>'Transmission Formula Rate (7)'!B14</f>
        <v>1.59</v>
      </c>
      <c r="C90" s="30">
        <f>'Transmission Formula Rate (7)'!C14</f>
        <v>1.59</v>
      </c>
      <c r="D90" s="30">
        <f>'Transmission Formula Rate (7)'!D14</f>
        <v>1.59</v>
      </c>
      <c r="E90" s="30">
        <f>'Transmission Formula Rate (7)'!E14</f>
        <v>1.59</v>
      </c>
      <c r="F90" s="30">
        <f>'Transmission Formula Rate (7)'!F14</f>
        <v>1.59</v>
      </c>
      <c r="G90" s="30">
        <f>'Transmission Formula Rate (7)'!G14</f>
        <v>1.59</v>
      </c>
      <c r="H90" s="30">
        <f>'Transmission Formula Rate (7)'!H14</f>
        <v>1.59</v>
      </c>
      <c r="I90" s="30">
        <f>'Transmission Formula Rate (7)'!I14</f>
        <v>1.59</v>
      </c>
      <c r="J90" s="30">
        <f>'Transmission Formula Rate (7)'!J14</f>
        <v>1.59</v>
      </c>
      <c r="K90" s="30">
        <f>'Transmission Formula Rate (7)'!K14</f>
        <v>1.59</v>
      </c>
      <c r="L90" s="30">
        <f>'Transmission Formula Rate (7)'!L14</f>
        <v>1.59</v>
      </c>
      <c r="M90" s="30">
        <f>'Transmission Formula Rate (7)'!M14</f>
        <v>1.59</v>
      </c>
      <c r="N90" s="20"/>
    </row>
    <row r="91" spans="1:16">
      <c r="A91" s="26" t="s">
        <v>17</v>
      </c>
      <c r="B91" s="199">
        <f>B89*B90</f>
        <v>686307.6</v>
      </c>
      <c r="C91" s="199">
        <f t="shared" ref="C91:M91" si="31">C89*C90</f>
        <v>639345.36</v>
      </c>
      <c r="D91" s="199">
        <f t="shared" si="31"/>
        <v>559183.92000000004</v>
      </c>
      <c r="E91" s="199">
        <f t="shared" si="31"/>
        <v>600803.76</v>
      </c>
      <c r="F91" s="199">
        <f t="shared" si="31"/>
        <v>677886.96000000008</v>
      </c>
      <c r="G91" s="199">
        <f t="shared" si="31"/>
        <v>737319.57000000007</v>
      </c>
      <c r="H91" s="199">
        <f t="shared" si="31"/>
        <v>762905.85000000009</v>
      </c>
      <c r="I91" s="199">
        <f t="shared" si="31"/>
        <v>775861.17</v>
      </c>
      <c r="J91" s="199">
        <f t="shared" si="31"/>
        <v>707845.74</v>
      </c>
      <c r="K91" s="199">
        <f t="shared" si="31"/>
        <v>654081.48</v>
      </c>
      <c r="L91" s="199">
        <f t="shared" si="31"/>
        <v>585581.1</v>
      </c>
      <c r="M91" s="199">
        <f t="shared" si="31"/>
        <v>562098.39</v>
      </c>
      <c r="N91" s="199">
        <f>SUM(B91:M91)</f>
        <v>7949220.8999999994</v>
      </c>
    </row>
    <row r="92" spans="1:16" ht="8.2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6" ht="12.75" customHeight="1">
      <c r="A93" s="26" t="s">
        <v>141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6" ht="12.75" customHeight="1">
      <c r="A94" s="27" t="s">
        <v>40</v>
      </c>
      <c r="B94" s="28">
        <f>B87</f>
        <v>423800</v>
      </c>
      <c r="C94" s="28">
        <f t="shared" ref="C94:M94" si="32">C87</f>
        <v>394800</v>
      </c>
      <c r="D94" s="28">
        <f t="shared" si="32"/>
        <v>345300</v>
      </c>
      <c r="E94" s="28">
        <f t="shared" si="32"/>
        <v>371000</v>
      </c>
      <c r="F94" s="28">
        <f t="shared" si="32"/>
        <v>418600</v>
      </c>
      <c r="G94" s="28">
        <f t="shared" si="32"/>
        <v>455300</v>
      </c>
      <c r="H94" s="28">
        <f t="shared" si="32"/>
        <v>471100</v>
      </c>
      <c r="I94" s="28">
        <f t="shared" si="32"/>
        <v>479100</v>
      </c>
      <c r="J94" s="28">
        <f t="shared" si="32"/>
        <v>437100</v>
      </c>
      <c r="K94" s="28">
        <f t="shared" si="32"/>
        <v>403900</v>
      </c>
      <c r="L94" s="28">
        <f t="shared" si="32"/>
        <v>361600</v>
      </c>
      <c r="M94" s="28">
        <f t="shared" si="32"/>
        <v>347100</v>
      </c>
      <c r="N94" s="21">
        <f>SUM(B94:M94)</f>
        <v>4908700</v>
      </c>
    </row>
    <row r="95" spans="1:16" ht="12.75" customHeight="1">
      <c r="A95" s="27" t="s">
        <v>45</v>
      </c>
      <c r="B95" s="28">
        <f>ROUND(B94*'Transmission Formula Rate (7)'!$B$27,0)</f>
        <v>7840</v>
      </c>
      <c r="C95" s="28">
        <f>ROUND(C94*'Transmission Formula Rate (7)'!$B$27,0)</f>
        <v>7304</v>
      </c>
      <c r="D95" s="28">
        <f>ROUND(D94*'Transmission Formula Rate (7)'!$B$27,0)</f>
        <v>6388</v>
      </c>
      <c r="E95" s="28">
        <f>ROUND(E94*'Transmission Formula Rate (7)'!$B$27,0)</f>
        <v>6864</v>
      </c>
      <c r="F95" s="28">
        <f>ROUND(F94*'Transmission Formula Rate (7)'!$B$27,0)</f>
        <v>7744</v>
      </c>
      <c r="G95" s="28">
        <f>ROUND(G94*'Transmission Formula Rate (7)'!$B$27,0)</f>
        <v>8423</v>
      </c>
      <c r="H95" s="28">
        <f>ROUND(H94*'Transmission Formula Rate (7)'!$B$27,0)</f>
        <v>8715</v>
      </c>
      <c r="I95" s="28">
        <f>ROUND(I94*'Transmission Formula Rate (7)'!$B$27,0)</f>
        <v>8863</v>
      </c>
      <c r="J95" s="28">
        <f>ROUND(J94*'Transmission Formula Rate (7)'!$B$27,0)</f>
        <v>8086</v>
      </c>
      <c r="K95" s="28">
        <f>ROUND(K94*'Transmission Formula Rate (7)'!$B$27,0)</f>
        <v>7472</v>
      </c>
      <c r="L95" s="28">
        <f>ROUND(L94*'Transmission Formula Rate (7)'!$B$27,0)</f>
        <v>6690</v>
      </c>
      <c r="M95" s="28">
        <f>ROUND(M94*'Transmission Formula Rate (7)'!$B$27,0)</f>
        <v>6421</v>
      </c>
      <c r="N95" s="21">
        <f>SUM(B95:M95)</f>
        <v>90810</v>
      </c>
    </row>
    <row r="96" spans="1:16" ht="12.75" customHeight="1">
      <c r="A96" s="27" t="s">
        <v>46</v>
      </c>
      <c r="B96" s="28">
        <f t="shared" ref="B96:M96" si="33">B94+B95</f>
        <v>431640</v>
      </c>
      <c r="C96" s="28">
        <f t="shared" si="33"/>
        <v>402104</v>
      </c>
      <c r="D96" s="28">
        <f t="shared" si="33"/>
        <v>351688</v>
      </c>
      <c r="E96" s="28">
        <f t="shared" si="33"/>
        <v>377864</v>
      </c>
      <c r="F96" s="28">
        <f t="shared" si="33"/>
        <v>426344</v>
      </c>
      <c r="G96" s="28">
        <f t="shared" si="33"/>
        <v>463723</v>
      </c>
      <c r="H96" s="28">
        <f t="shared" si="33"/>
        <v>479815</v>
      </c>
      <c r="I96" s="28">
        <f t="shared" si="33"/>
        <v>487963</v>
      </c>
      <c r="J96" s="28">
        <f t="shared" si="33"/>
        <v>445186</v>
      </c>
      <c r="K96" s="28">
        <f t="shared" si="33"/>
        <v>411372</v>
      </c>
      <c r="L96" s="28">
        <f t="shared" si="33"/>
        <v>368290</v>
      </c>
      <c r="M96" s="28">
        <f t="shared" si="33"/>
        <v>353521</v>
      </c>
      <c r="N96" s="21">
        <f>SUM(B96:M96)</f>
        <v>4999510</v>
      </c>
    </row>
    <row r="97" spans="1:16" ht="12.75" customHeight="1">
      <c r="A97" s="26" t="s">
        <v>20</v>
      </c>
      <c r="B97" s="32">
        <f>'charges (1 &amp; 2)'!G27</f>
        <v>1.274E-2</v>
      </c>
      <c r="C97" s="32">
        <f>B97</f>
        <v>1.274E-2</v>
      </c>
      <c r="D97" s="32">
        <f t="shared" ref="D97:M97" si="34">C97</f>
        <v>1.274E-2</v>
      </c>
      <c r="E97" s="32">
        <f t="shared" si="34"/>
        <v>1.274E-2</v>
      </c>
      <c r="F97" s="32">
        <f t="shared" si="34"/>
        <v>1.274E-2</v>
      </c>
      <c r="G97" s="32">
        <f t="shared" si="34"/>
        <v>1.274E-2</v>
      </c>
      <c r="H97" s="32">
        <f t="shared" si="34"/>
        <v>1.274E-2</v>
      </c>
      <c r="I97" s="32">
        <f t="shared" si="34"/>
        <v>1.274E-2</v>
      </c>
      <c r="J97" s="32">
        <f t="shared" si="34"/>
        <v>1.274E-2</v>
      </c>
      <c r="K97" s="32">
        <f t="shared" si="34"/>
        <v>1.274E-2</v>
      </c>
      <c r="L97" s="32">
        <f t="shared" si="34"/>
        <v>1.274E-2</v>
      </c>
      <c r="M97" s="32">
        <f t="shared" si="34"/>
        <v>1.274E-2</v>
      </c>
      <c r="N97" s="20"/>
    </row>
    <row r="98" spans="1:16" ht="12.75" customHeight="1">
      <c r="A98" s="26" t="s">
        <v>17</v>
      </c>
      <c r="B98" s="199">
        <f t="shared" ref="B98:M98" si="35">B96*B97</f>
        <v>5499.0936000000002</v>
      </c>
      <c r="C98" s="199">
        <f t="shared" si="35"/>
        <v>5122.8049599999995</v>
      </c>
      <c r="D98" s="199">
        <f t="shared" si="35"/>
        <v>4480.5051199999998</v>
      </c>
      <c r="E98" s="199">
        <f t="shared" si="35"/>
        <v>4813.9873600000001</v>
      </c>
      <c r="F98" s="199">
        <f t="shared" si="35"/>
        <v>5431.6225599999998</v>
      </c>
      <c r="G98" s="199">
        <f t="shared" si="35"/>
        <v>5907.8310199999996</v>
      </c>
      <c r="H98" s="199">
        <f t="shared" si="35"/>
        <v>6112.8431</v>
      </c>
      <c r="I98" s="199">
        <f t="shared" si="35"/>
        <v>6216.6486199999999</v>
      </c>
      <c r="J98" s="199">
        <f t="shared" si="35"/>
        <v>5671.6696400000001</v>
      </c>
      <c r="K98" s="199">
        <f t="shared" si="35"/>
        <v>5240.8792800000001</v>
      </c>
      <c r="L98" s="199">
        <f t="shared" si="35"/>
        <v>4692.0145999999995</v>
      </c>
      <c r="M98" s="199">
        <f t="shared" si="35"/>
        <v>4503.85754</v>
      </c>
      <c r="N98" s="199">
        <f>SUM(B98:M98)</f>
        <v>63693.757399999995</v>
      </c>
    </row>
    <row r="99" spans="1:16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6">
      <c r="A100" s="26" t="s">
        <v>38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6">
      <c r="A101" s="27" t="s">
        <v>40</v>
      </c>
      <c r="B101" s="28">
        <f>B87</f>
        <v>423800</v>
      </c>
      <c r="C101" s="28">
        <f t="shared" ref="C101:M101" si="36">C87</f>
        <v>394800</v>
      </c>
      <c r="D101" s="28">
        <f t="shared" si="36"/>
        <v>345300</v>
      </c>
      <c r="E101" s="28">
        <f t="shared" si="36"/>
        <v>371000</v>
      </c>
      <c r="F101" s="28">
        <f t="shared" si="36"/>
        <v>418600</v>
      </c>
      <c r="G101" s="28">
        <f t="shared" si="36"/>
        <v>455300</v>
      </c>
      <c r="H101" s="28">
        <f t="shared" si="36"/>
        <v>471100</v>
      </c>
      <c r="I101" s="28">
        <f t="shared" si="36"/>
        <v>479100</v>
      </c>
      <c r="J101" s="28">
        <f t="shared" si="36"/>
        <v>437100</v>
      </c>
      <c r="K101" s="28">
        <f t="shared" si="36"/>
        <v>403900</v>
      </c>
      <c r="L101" s="28">
        <f t="shared" si="36"/>
        <v>361600</v>
      </c>
      <c r="M101" s="28">
        <f t="shared" si="36"/>
        <v>347100</v>
      </c>
      <c r="N101" s="21">
        <f>SUM(B101:M101)</f>
        <v>4908700</v>
      </c>
    </row>
    <row r="102" spans="1:16">
      <c r="A102" s="27" t="s">
        <v>45</v>
      </c>
      <c r="B102" s="28">
        <f>ROUND(B101*'Transmission Formula Rate (7)'!$B$27,0)</f>
        <v>7840</v>
      </c>
      <c r="C102" s="28">
        <f>ROUND(C101*'Transmission Formula Rate (7)'!$B$27,0)</f>
        <v>7304</v>
      </c>
      <c r="D102" s="28">
        <f>ROUND(D101*'Transmission Formula Rate (7)'!$B$27,0)</f>
        <v>6388</v>
      </c>
      <c r="E102" s="28">
        <f>ROUND(E101*'Transmission Formula Rate (7)'!$B$27,0)</f>
        <v>6864</v>
      </c>
      <c r="F102" s="28">
        <f>ROUND(F101*'Transmission Formula Rate (7)'!$B$27,0)</f>
        <v>7744</v>
      </c>
      <c r="G102" s="28">
        <f>ROUND(G101*'Transmission Formula Rate (7)'!$B$27,0)</f>
        <v>8423</v>
      </c>
      <c r="H102" s="28">
        <f>ROUND(H101*'Transmission Formula Rate (7)'!$B$27,0)</f>
        <v>8715</v>
      </c>
      <c r="I102" s="28">
        <f>ROUND(I101*'Transmission Formula Rate (7)'!$B$27,0)</f>
        <v>8863</v>
      </c>
      <c r="J102" s="28">
        <f>ROUND(J101*'Transmission Formula Rate (7)'!$B$27,0)</f>
        <v>8086</v>
      </c>
      <c r="K102" s="28">
        <f>ROUND(K101*'Transmission Formula Rate (7)'!$B$27,0)</f>
        <v>7472</v>
      </c>
      <c r="L102" s="28">
        <f>ROUND(L101*'Transmission Formula Rate (7)'!$B$27,0)</f>
        <v>6690</v>
      </c>
      <c r="M102" s="28">
        <f>ROUND(M101*'Transmission Formula Rate (7)'!$B$27,0)</f>
        <v>6421</v>
      </c>
      <c r="N102" s="21">
        <f>SUM(B102:M102)</f>
        <v>90810</v>
      </c>
    </row>
    <row r="103" spans="1:16">
      <c r="A103" s="27" t="s">
        <v>46</v>
      </c>
      <c r="B103" s="28">
        <f>B101+B102</f>
        <v>431640</v>
      </c>
      <c r="C103" s="28">
        <f t="shared" ref="C103:M103" si="37">C101+C102</f>
        <v>402104</v>
      </c>
      <c r="D103" s="28">
        <f t="shared" si="37"/>
        <v>351688</v>
      </c>
      <c r="E103" s="28">
        <f t="shared" si="37"/>
        <v>377864</v>
      </c>
      <c r="F103" s="28">
        <f t="shared" si="37"/>
        <v>426344</v>
      </c>
      <c r="G103" s="28">
        <f t="shared" si="37"/>
        <v>463723</v>
      </c>
      <c r="H103" s="28">
        <f t="shared" si="37"/>
        <v>479815</v>
      </c>
      <c r="I103" s="28">
        <f t="shared" si="37"/>
        <v>487963</v>
      </c>
      <c r="J103" s="28">
        <f t="shared" si="37"/>
        <v>445186</v>
      </c>
      <c r="K103" s="28">
        <f t="shared" si="37"/>
        <v>411372</v>
      </c>
      <c r="L103" s="28">
        <f t="shared" si="37"/>
        <v>368290</v>
      </c>
      <c r="M103" s="28">
        <f t="shared" si="37"/>
        <v>353521</v>
      </c>
      <c r="N103" s="21">
        <f>SUM(B103:M103)</f>
        <v>4999510</v>
      </c>
    </row>
    <row r="104" spans="1:16">
      <c r="A104" s="26" t="s">
        <v>20</v>
      </c>
      <c r="B104" s="32">
        <f>'charges (1 &amp; 2)'!$G$26</f>
        <v>7.0000000000000007E-2</v>
      </c>
      <c r="C104" s="32">
        <f>'charges (1 &amp; 2)'!$G$26</f>
        <v>7.0000000000000007E-2</v>
      </c>
      <c r="D104" s="32">
        <f>'charges (1 &amp; 2)'!$G$26</f>
        <v>7.0000000000000007E-2</v>
      </c>
      <c r="E104" s="32">
        <f>'charges (1 &amp; 2)'!$G$26</f>
        <v>7.0000000000000007E-2</v>
      </c>
      <c r="F104" s="32">
        <f>'charges (1 &amp; 2)'!$G$26</f>
        <v>7.0000000000000007E-2</v>
      </c>
      <c r="G104" s="32">
        <f>'charges (1 &amp; 2)'!$G$26</f>
        <v>7.0000000000000007E-2</v>
      </c>
      <c r="H104" s="32">
        <f>'charges (1 &amp; 2)'!$G$26</f>
        <v>7.0000000000000007E-2</v>
      </c>
      <c r="I104" s="32">
        <f>'charges (1 &amp; 2)'!$G$26</f>
        <v>7.0000000000000007E-2</v>
      </c>
      <c r="J104" s="32">
        <f>'charges (1 &amp; 2)'!$G$26</f>
        <v>7.0000000000000007E-2</v>
      </c>
      <c r="K104" s="32">
        <f>'charges (1 &amp; 2)'!$G$26</f>
        <v>7.0000000000000007E-2</v>
      </c>
      <c r="L104" s="32">
        <f>'charges (1 &amp; 2)'!$G$26</f>
        <v>7.0000000000000007E-2</v>
      </c>
      <c r="M104" s="32">
        <f>'charges (1 &amp; 2)'!$G$26</f>
        <v>7.0000000000000007E-2</v>
      </c>
      <c r="N104" s="20"/>
    </row>
    <row r="105" spans="1:16">
      <c r="A105" s="26" t="s">
        <v>17</v>
      </c>
      <c r="B105" s="199">
        <f>B103*B104</f>
        <v>30214.800000000003</v>
      </c>
      <c r="C105" s="199">
        <f t="shared" ref="C105:M105" si="38">C103*C104</f>
        <v>28147.280000000002</v>
      </c>
      <c r="D105" s="199">
        <f t="shared" si="38"/>
        <v>24618.160000000003</v>
      </c>
      <c r="E105" s="199">
        <f t="shared" si="38"/>
        <v>26450.480000000003</v>
      </c>
      <c r="F105" s="199">
        <f t="shared" si="38"/>
        <v>29844.080000000002</v>
      </c>
      <c r="G105" s="199">
        <f t="shared" si="38"/>
        <v>32460.610000000004</v>
      </c>
      <c r="H105" s="199">
        <f t="shared" si="38"/>
        <v>33587.050000000003</v>
      </c>
      <c r="I105" s="199">
        <f t="shared" si="38"/>
        <v>34157.410000000003</v>
      </c>
      <c r="J105" s="199">
        <f t="shared" si="38"/>
        <v>31163.020000000004</v>
      </c>
      <c r="K105" s="199">
        <f t="shared" si="38"/>
        <v>28796.040000000005</v>
      </c>
      <c r="L105" s="199">
        <f t="shared" si="38"/>
        <v>25780.300000000003</v>
      </c>
      <c r="M105" s="199">
        <f t="shared" si="38"/>
        <v>24746.47</v>
      </c>
      <c r="N105" s="199">
        <f>SUM(B105:M105)</f>
        <v>349965.69999999995</v>
      </c>
    </row>
    <row r="106" spans="1:16" ht="6.75" customHeight="1">
      <c r="A106" s="26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</row>
    <row r="107" spans="1:16">
      <c r="A107" s="26" t="s">
        <v>25</v>
      </c>
      <c r="B107" s="198">
        <f>B91+B105+B98</f>
        <v>722021.49360000005</v>
      </c>
      <c r="C107" s="198">
        <f t="shared" ref="C107:M107" si="39">C91+C105+C98</f>
        <v>672615.44495999999</v>
      </c>
      <c r="D107" s="198">
        <f t="shared" si="39"/>
        <v>588282.58512000006</v>
      </c>
      <c r="E107" s="198">
        <f t="shared" si="39"/>
        <v>632068.22736000002</v>
      </c>
      <c r="F107" s="198">
        <f t="shared" si="39"/>
        <v>713162.66256000008</v>
      </c>
      <c r="G107" s="198">
        <f t="shared" si="39"/>
        <v>775688.01102000009</v>
      </c>
      <c r="H107" s="198">
        <f t="shared" si="39"/>
        <v>802605.7431000002</v>
      </c>
      <c r="I107" s="198">
        <f t="shared" si="39"/>
        <v>816235.22862000007</v>
      </c>
      <c r="J107" s="198">
        <f t="shared" si="39"/>
        <v>744680.42963999999</v>
      </c>
      <c r="K107" s="198">
        <f t="shared" si="39"/>
        <v>688118.39928000001</v>
      </c>
      <c r="L107" s="198">
        <f t="shared" si="39"/>
        <v>616053.41460000002</v>
      </c>
      <c r="M107" s="198">
        <f t="shared" si="39"/>
        <v>591348.71753999998</v>
      </c>
      <c r="N107" s="198">
        <f>SUM(B107:M107)</f>
        <v>8362880.3574000001</v>
      </c>
    </row>
    <row r="108" spans="1:16" ht="10.5" customHeight="1"/>
    <row r="109" spans="1:16" ht="10.5" customHeight="1">
      <c r="A109" s="25">
        <f>+A84+1</f>
        <v>2018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6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</row>
    <row r="111" spans="1:16">
      <c r="A111" s="26" t="s">
        <v>37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6">
      <c r="A112" s="27" t="s">
        <v>40</v>
      </c>
      <c r="B112" s="239">
        <f>'FMPA Network Forecast'!D23*1000</f>
        <v>427200.00000000006</v>
      </c>
      <c r="C112" s="239">
        <f>'FMPA Network Forecast'!E23*1000</f>
        <v>398200</v>
      </c>
      <c r="D112" s="239">
        <f>'FMPA Network Forecast'!F23*1000</f>
        <v>348300</v>
      </c>
      <c r="E112" s="239">
        <f>'FMPA Network Forecast'!G23*1000</f>
        <v>374200</v>
      </c>
      <c r="F112" s="239">
        <f>'FMPA Network Forecast'!H23*1000</f>
        <v>422200</v>
      </c>
      <c r="G112" s="239">
        <f>'FMPA Network Forecast'!I23*1000</f>
        <v>459200</v>
      </c>
      <c r="H112" s="239">
        <f>'FMPA Network Forecast'!J23*1000</f>
        <v>475100</v>
      </c>
      <c r="I112" s="239">
        <f>'FMPA Network Forecast'!K23*1000</f>
        <v>483200</v>
      </c>
      <c r="J112" s="239">
        <f>'FMPA Network Forecast'!L23*1000</f>
        <v>440800</v>
      </c>
      <c r="K112" s="239">
        <f>'FMPA Network Forecast'!M23*1000</f>
        <v>407300</v>
      </c>
      <c r="L112" s="239">
        <f>'FMPA Network Forecast'!N23*1000</f>
        <v>364700</v>
      </c>
      <c r="M112" s="239">
        <f>'FMPA Network Forecast'!O23*1000</f>
        <v>350000</v>
      </c>
      <c r="N112" s="21">
        <f>SUM(B112:M112)</f>
        <v>4950400</v>
      </c>
      <c r="O112" s="284">
        <f>SUM('FMPA Network Forecast'!D23:O23)*1000</f>
        <v>4950400</v>
      </c>
      <c r="P112" s="277">
        <f>N112-O112</f>
        <v>0</v>
      </c>
    </row>
    <row r="113" spans="1:14">
      <c r="A113" s="27" t="s">
        <v>45</v>
      </c>
      <c r="B113" s="28">
        <f>ROUND(B112*'Transmission Formula Rate (7)'!$B$27,0)</f>
        <v>7903</v>
      </c>
      <c r="C113" s="28">
        <f>ROUND(C112*'Transmission Formula Rate (7)'!$B$27,0)</f>
        <v>7367</v>
      </c>
      <c r="D113" s="28">
        <f>ROUND(D112*'Transmission Formula Rate (7)'!$B$27,0)</f>
        <v>6444</v>
      </c>
      <c r="E113" s="28">
        <f>ROUND(E112*'Transmission Formula Rate (7)'!$B$27,0)</f>
        <v>6923</v>
      </c>
      <c r="F113" s="28">
        <f>ROUND(F112*'Transmission Formula Rate (7)'!$B$27,0)</f>
        <v>7811</v>
      </c>
      <c r="G113" s="28">
        <f>ROUND(G112*'Transmission Formula Rate (7)'!$B$27,0)</f>
        <v>8495</v>
      </c>
      <c r="H113" s="28">
        <f>ROUND(H112*'Transmission Formula Rate (7)'!$B$27,0)</f>
        <v>8789</v>
      </c>
      <c r="I113" s="28">
        <f>ROUND(I112*'Transmission Formula Rate (7)'!$B$27,0)</f>
        <v>8939</v>
      </c>
      <c r="J113" s="28">
        <f>ROUND(J112*'Transmission Formula Rate (7)'!$B$27,0)</f>
        <v>8155</v>
      </c>
      <c r="K113" s="28">
        <f>ROUND(K112*'Transmission Formula Rate (7)'!$B$27,0)</f>
        <v>7535</v>
      </c>
      <c r="L113" s="28">
        <f>ROUND(L112*'Transmission Formula Rate (7)'!$B$27,0)</f>
        <v>6747</v>
      </c>
      <c r="M113" s="28">
        <f>ROUND(M112*'Transmission Formula Rate (7)'!$B$27,0)</f>
        <v>6475</v>
      </c>
      <c r="N113" s="21">
        <f>SUM(B113:M113)</f>
        <v>91583</v>
      </c>
    </row>
    <row r="114" spans="1:14">
      <c r="A114" s="27" t="s">
        <v>46</v>
      </c>
      <c r="B114" s="28">
        <f t="shared" ref="B114:M114" si="40">B112+B113</f>
        <v>435103.00000000006</v>
      </c>
      <c r="C114" s="28">
        <f t="shared" si="40"/>
        <v>405567</v>
      </c>
      <c r="D114" s="28">
        <f t="shared" si="40"/>
        <v>354744</v>
      </c>
      <c r="E114" s="28">
        <f t="shared" si="40"/>
        <v>381123</v>
      </c>
      <c r="F114" s="28">
        <f t="shared" si="40"/>
        <v>430011</v>
      </c>
      <c r="G114" s="28">
        <f t="shared" si="40"/>
        <v>467695</v>
      </c>
      <c r="H114" s="28">
        <f t="shared" si="40"/>
        <v>483889</v>
      </c>
      <c r="I114" s="28">
        <f t="shared" si="40"/>
        <v>492139</v>
      </c>
      <c r="J114" s="28">
        <f t="shared" si="40"/>
        <v>448955</v>
      </c>
      <c r="K114" s="28">
        <f t="shared" si="40"/>
        <v>414835</v>
      </c>
      <c r="L114" s="28">
        <f t="shared" si="40"/>
        <v>371447</v>
      </c>
      <c r="M114" s="28">
        <f t="shared" si="40"/>
        <v>356475</v>
      </c>
      <c r="N114" s="21">
        <f>SUM(B114:M114)</f>
        <v>5041983</v>
      </c>
    </row>
    <row r="115" spans="1:14">
      <c r="A115" s="26" t="s">
        <v>20</v>
      </c>
      <c r="B115" s="30">
        <f>'Transmission Formula Rate (7)'!B16</f>
        <v>1.59</v>
      </c>
      <c r="C115" s="30">
        <f>'Transmission Formula Rate (7)'!C16</f>
        <v>1.59</v>
      </c>
      <c r="D115" s="30">
        <f>'Transmission Formula Rate (7)'!D16</f>
        <v>1.59</v>
      </c>
      <c r="E115" s="30">
        <f>'Transmission Formula Rate (7)'!E16</f>
        <v>1.59</v>
      </c>
      <c r="F115" s="30">
        <f>'Transmission Formula Rate (7)'!F16</f>
        <v>1.59</v>
      </c>
      <c r="G115" s="30">
        <f>'Transmission Formula Rate (7)'!G16</f>
        <v>1.59</v>
      </c>
      <c r="H115" s="30">
        <f>'Transmission Formula Rate (7)'!H16</f>
        <v>1.59</v>
      </c>
      <c r="I115" s="30">
        <f>'Transmission Formula Rate (7)'!I16</f>
        <v>1.59</v>
      </c>
      <c r="J115" s="30">
        <f>'Transmission Formula Rate (7)'!J16</f>
        <v>1.59</v>
      </c>
      <c r="K115" s="30">
        <f>'Transmission Formula Rate (7)'!K16</f>
        <v>1.59</v>
      </c>
      <c r="L115" s="30">
        <f>'Transmission Formula Rate (7)'!L16</f>
        <v>1.59</v>
      </c>
      <c r="M115" s="30">
        <f>'Transmission Formula Rate (7)'!M16</f>
        <v>1.59</v>
      </c>
      <c r="N115" s="20"/>
    </row>
    <row r="116" spans="1:14">
      <c r="A116" s="26" t="s">
        <v>17</v>
      </c>
      <c r="B116" s="199">
        <f t="shared" ref="B116:M116" si="41">B114*B115</f>
        <v>691813.77000000014</v>
      </c>
      <c r="C116" s="199">
        <f t="shared" si="41"/>
        <v>644851.53</v>
      </c>
      <c r="D116" s="199">
        <f t="shared" si="41"/>
        <v>564042.96000000008</v>
      </c>
      <c r="E116" s="199">
        <f t="shared" si="41"/>
        <v>605985.57000000007</v>
      </c>
      <c r="F116" s="199">
        <f t="shared" si="41"/>
        <v>683717.49</v>
      </c>
      <c r="G116" s="199">
        <f t="shared" si="41"/>
        <v>743635.05</v>
      </c>
      <c r="H116" s="199">
        <f t="shared" si="41"/>
        <v>769383.51</v>
      </c>
      <c r="I116" s="199">
        <f t="shared" si="41"/>
        <v>782501.01</v>
      </c>
      <c r="J116" s="199">
        <f t="shared" si="41"/>
        <v>713838.45000000007</v>
      </c>
      <c r="K116" s="199">
        <f t="shared" si="41"/>
        <v>659587.65</v>
      </c>
      <c r="L116" s="199">
        <f t="shared" si="41"/>
        <v>590600.73</v>
      </c>
      <c r="M116" s="199">
        <f t="shared" si="41"/>
        <v>566795.25</v>
      </c>
      <c r="N116" s="199">
        <f>SUM(B116:M116)</f>
        <v>8016752.9700000007</v>
      </c>
    </row>
    <row r="117" spans="1:14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>
      <c r="A118" s="26" t="s">
        <v>141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>
      <c r="A119" s="27" t="s">
        <v>40</v>
      </c>
      <c r="B119" s="28">
        <f>B112</f>
        <v>427200.00000000006</v>
      </c>
      <c r="C119" s="28">
        <f t="shared" ref="C119:M119" si="42">C112</f>
        <v>398200</v>
      </c>
      <c r="D119" s="28">
        <f t="shared" si="42"/>
        <v>348300</v>
      </c>
      <c r="E119" s="28">
        <f t="shared" si="42"/>
        <v>374200</v>
      </c>
      <c r="F119" s="28">
        <f t="shared" si="42"/>
        <v>422200</v>
      </c>
      <c r="G119" s="28">
        <f t="shared" si="42"/>
        <v>459200</v>
      </c>
      <c r="H119" s="28">
        <f t="shared" si="42"/>
        <v>475100</v>
      </c>
      <c r="I119" s="28">
        <f t="shared" si="42"/>
        <v>483200</v>
      </c>
      <c r="J119" s="28">
        <f t="shared" si="42"/>
        <v>440800</v>
      </c>
      <c r="K119" s="28">
        <f t="shared" si="42"/>
        <v>407300</v>
      </c>
      <c r="L119" s="28">
        <f t="shared" si="42"/>
        <v>364700</v>
      </c>
      <c r="M119" s="28">
        <f t="shared" si="42"/>
        <v>350000</v>
      </c>
      <c r="N119" s="21">
        <f>SUM(B119:M119)</f>
        <v>4950400</v>
      </c>
    </row>
    <row r="120" spans="1:14">
      <c r="A120" s="27" t="s">
        <v>45</v>
      </c>
      <c r="B120" s="28">
        <f>ROUND(B119*'Transmission Formula Rate (7)'!$B$27,0)</f>
        <v>7903</v>
      </c>
      <c r="C120" s="28">
        <f>ROUND(C119*'Transmission Formula Rate (7)'!$B$27,0)</f>
        <v>7367</v>
      </c>
      <c r="D120" s="28">
        <f>ROUND(D119*'Transmission Formula Rate (7)'!$B$27,0)</f>
        <v>6444</v>
      </c>
      <c r="E120" s="28">
        <f>ROUND(E119*'Transmission Formula Rate (7)'!$B$27,0)</f>
        <v>6923</v>
      </c>
      <c r="F120" s="28">
        <f>ROUND(F119*'Transmission Formula Rate (7)'!$B$27,0)</f>
        <v>7811</v>
      </c>
      <c r="G120" s="28">
        <f>ROUND(G119*'Transmission Formula Rate (7)'!$B$27,0)</f>
        <v>8495</v>
      </c>
      <c r="H120" s="28">
        <f>ROUND(H119*'Transmission Formula Rate (7)'!$B$27,0)</f>
        <v>8789</v>
      </c>
      <c r="I120" s="28">
        <f>ROUND(I119*'Transmission Formula Rate (7)'!$B$27,0)</f>
        <v>8939</v>
      </c>
      <c r="J120" s="28">
        <f>ROUND(J119*'Transmission Formula Rate (7)'!$B$27,0)</f>
        <v>8155</v>
      </c>
      <c r="K120" s="28">
        <f>ROUND(K119*'Transmission Formula Rate (7)'!$B$27,0)</f>
        <v>7535</v>
      </c>
      <c r="L120" s="28">
        <f>ROUND(L119*'Transmission Formula Rate (7)'!$B$27,0)</f>
        <v>6747</v>
      </c>
      <c r="M120" s="28">
        <f>ROUND(M119*'Transmission Formula Rate (7)'!$B$27,0)</f>
        <v>6475</v>
      </c>
      <c r="N120" s="21">
        <f>SUM(B120:M120)</f>
        <v>91583</v>
      </c>
    </row>
    <row r="121" spans="1:14">
      <c r="A121" s="27" t="s">
        <v>46</v>
      </c>
      <c r="B121" s="28">
        <f t="shared" ref="B121:M121" si="43">B119+B120</f>
        <v>435103.00000000006</v>
      </c>
      <c r="C121" s="28">
        <f t="shared" si="43"/>
        <v>405567</v>
      </c>
      <c r="D121" s="28">
        <f t="shared" si="43"/>
        <v>354744</v>
      </c>
      <c r="E121" s="28">
        <f t="shared" si="43"/>
        <v>381123</v>
      </c>
      <c r="F121" s="28">
        <f t="shared" si="43"/>
        <v>430011</v>
      </c>
      <c r="G121" s="28">
        <f t="shared" si="43"/>
        <v>467695</v>
      </c>
      <c r="H121" s="28">
        <f t="shared" si="43"/>
        <v>483889</v>
      </c>
      <c r="I121" s="28">
        <f t="shared" si="43"/>
        <v>492139</v>
      </c>
      <c r="J121" s="28">
        <f t="shared" si="43"/>
        <v>448955</v>
      </c>
      <c r="K121" s="28">
        <f t="shared" si="43"/>
        <v>414835</v>
      </c>
      <c r="L121" s="28">
        <f t="shared" si="43"/>
        <v>371447</v>
      </c>
      <c r="M121" s="28">
        <f t="shared" si="43"/>
        <v>356475</v>
      </c>
      <c r="N121" s="21">
        <f>SUM(B121:M121)</f>
        <v>5041983</v>
      </c>
    </row>
    <row r="122" spans="1:14">
      <c r="A122" s="26" t="s">
        <v>20</v>
      </c>
      <c r="B122" s="32">
        <f>'charges (1 &amp; 2)'!H27</f>
        <v>1.274E-2</v>
      </c>
      <c r="C122" s="32">
        <f>B122</f>
        <v>1.274E-2</v>
      </c>
      <c r="D122" s="32">
        <f t="shared" ref="D122:M122" si="44">C122</f>
        <v>1.274E-2</v>
      </c>
      <c r="E122" s="32">
        <f t="shared" si="44"/>
        <v>1.274E-2</v>
      </c>
      <c r="F122" s="32">
        <f t="shared" si="44"/>
        <v>1.274E-2</v>
      </c>
      <c r="G122" s="32">
        <f t="shared" si="44"/>
        <v>1.274E-2</v>
      </c>
      <c r="H122" s="32">
        <f t="shared" si="44"/>
        <v>1.274E-2</v>
      </c>
      <c r="I122" s="32">
        <f t="shared" si="44"/>
        <v>1.274E-2</v>
      </c>
      <c r="J122" s="32">
        <f t="shared" si="44"/>
        <v>1.274E-2</v>
      </c>
      <c r="K122" s="32">
        <f t="shared" si="44"/>
        <v>1.274E-2</v>
      </c>
      <c r="L122" s="32">
        <f t="shared" si="44"/>
        <v>1.274E-2</v>
      </c>
      <c r="M122" s="32">
        <f t="shared" si="44"/>
        <v>1.274E-2</v>
      </c>
      <c r="N122" s="20"/>
    </row>
    <row r="123" spans="1:14">
      <c r="A123" s="26" t="s">
        <v>17</v>
      </c>
      <c r="B123" s="199">
        <f t="shared" ref="B123:M123" si="45">B121*B122</f>
        <v>5543.2122200000003</v>
      </c>
      <c r="C123" s="199">
        <f t="shared" si="45"/>
        <v>5166.9235799999997</v>
      </c>
      <c r="D123" s="199">
        <f t="shared" si="45"/>
        <v>4519.4385599999996</v>
      </c>
      <c r="E123" s="199">
        <f t="shared" si="45"/>
        <v>4855.50702</v>
      </c>
      <c r="F123" s="199">
        <f t="shared" si="45"/>
        <v>5478.3401400000002</v>
      </c>
      <c r="G123" s="199">
        <f t="shared" si="45"/>
        <v>5958.4342999999999</v>
      </c>
      <c r="H123" s="199">
        <f t="shared" si="45"/>
        <v>6164.74586</v>
      </c>
      <c r="I123" s="199">
        <f t="shared" si="45"/>
        <v>6269.8508599999996</v>
      </c>
      <c r="J123" s="199">
        <f t="shared" si="45"/>
        <v>5719.6867000000002</v>
      </c>
      <c r="K123" s="199">
        <f t="shared" si="45"/>
        <v>5284.9978999999994</v>
      </c>
      <c r="L123" s="199">
        <f t="shared" si="45"/>
        <v>4732.2347799999998</v>
      </c>
      <c r="M123" s="199">
        <f t="shared" si="45"/>
        <v>4541.4915000000001</v>
      </c>
      <c r="N123" s="199">
        <f>SUM(B123:M123)</f>
        <v>64234.863419999994</v>
      </c>
    </row>
    <row r="124" spans="1:1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>
      <c r="A125" s="26" t="s">
        <v>38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>
      <c r="A126" s="27" t="s">
        <v>40</v>
      </c>
      <c r="B126" s="28">
        <f>B112</f>
        <v>427200.00000000006</v>
      </c>
      <c r="C126" s="28">
        <f t="shared" ref="C126:M126" si="46">C112</f>
        <v>398200</v>
      </c>
      <c r="D126" s="28">
        <f t="shared" si="46"/>
        <v>348300</v>
      </c>
      <c r="E126" s="28">
        <f t="shared" si="46"/>
        <v>374200</v>
      </c>
      <c r="F126" s="28">
        <f t="shared" si="46"/>
        <v>422200</v>
      </c>
      <c r="G126" s="28">
        <f t="shared" si="46"/>
        <v>459200</v>
      </c>
      <c r="H126" s="28">
        <f t="shared" si="46"/>
        <v>475100</v>
      </c>
      <c r="I126" s="28">
        <f t="shared" si="46"/>
        <v>483200</v>
      </c>
      <c r="J126" s="28">
        <f t="shared" si="46"/>
        <v>440800</v>
      </c>
      <c r="K126" s="28">
        <f t="shared" si="46"/>
        <v>407300</v>
      </c>
      <c r="L126" s="28">
        <f t="shared" si="46"/>
        <v>364700</v>
      </c>
      <c r="M126" s="28">
        <f t="shared" si="46"/>
        <v>350000</v>
      </c>
      <c r="N126" s="21">
        <f>SUM(B126:M126)</f>
        <v>4950400</v>
      </c>
    </row>
    <row r="127" spans="1:14">
      <c r="A127" s="27" t="s">
        <v>45</v>
      </c>
      <c r="B127" s="28">
        <f>ROUND(B126*'Transmission Formula Rate (7)'!$B$27,0)</f>
        <v>7903</v>
      </c>
      <c r="C127" s="28">
        <f>ROUND(C126*'Transmission Formula Rate (7)'!$B$27,0)</f>
        <v>7367</v>
      </c>
      <c r="D127" s="28">
        <f>ROUND(D126*'Transmission Formula Rate (7)'!$B$27,0)</f>
        <v>6444</v>
      </c>
      <c r="E127" s="28">
        <f>ROUND(E126*'Transmission Formula Rate (7)'!$B$27,0)</f>
        <v>6923</v>
      </c>
      <c r="F127" s="28">
        <f>ROUND(F126*'Transmission Formula Rate (7)'!$B$27,0)</f>
        <v>7811</v>
      </c>
      <c r="G127" s="28">
        <f>ROUND(G126*'Transmission Formula Rate (7)'!$B$27,0)</f>
        <v>8495</v>
      </c>
      <c r="H127" s="28">
        <f>ROUND(H126*'Transmission Formula Rate (7)'!$B$27,0)</f>
        <v>8789</v>
      </c>
      <c r="I127" s="28">
        <f>ROUND(I126*'Transmission Formula Rate (7)'!$B$27,0)</f>
        <v>8939</v>
      </c>
      <c r="J127" s="28">
        <f>ROUND(J126*'Transmission Formula Rate (7)'!$B$27,0)</f>
        <v>8155</v>
      </c>
      <c r="K127" s="28">
        <f>ROUND(K126*'Transmission Formula Rate (7)'!$B$27,0)</f>
        <v>7535</v>
      </c>
      <c r="L127" s="28">
        <f>ROUND(L126*'Transmission Formula Rate (7)'!$B$27,0)</f>
        <v>6747</v>
      </c>
      <c r="M127" s="28">
        <f>ROUND(M126*'Transmission Formula Rate (7)'!$B$27,0)</f>
        <v>6475</v>
      </c>
      <c r="N127" s="21">
        <f>SUM(B127:M127)</f>
        <v>91583</v>
      </c>
    </row>
    <row r="128" spans="1:14">
      <c r="A128" s="27" t="s">
        <v>46</v>
      </c>
      <c r="B128" s="28">
        <f t="shared" ref="B128:M128" si="47">B126+B127</f>
        <v>435103.00000000006</v>
      </c>
      <c r="C128" s="28">
        <f t="shared" si="47"/>
        <v>405567</v>
      </c>
      <c r="D128" s="28">
        <f t="shared" si="47"/>
        <v>354744</v>
      </c>
      <c r="E128" s="28">
        <f t="shared" si="47"/>
        <v>381123</v>
      </c>
      <c r="F128" s="28">
        <f t="shared" si="47"/>
        <v>430011</v>
      </c>
      <c r="G128" s="28">
        <f t="shared" si="47"/>
        <v>467695</v>
      </c>
      <c r="H128" s="28">
        <f t="shared" si="47"/>
        <v>483889</v>
      </c>
      <c r="I128" s="28">
        <f t="shared" si="47"/>
        <v>492139</v>
      </c>
      <c r="J128" s="28">
        <f t="shared" si="47"/>
        <v>448955</v>
      </c>
      <c r="K128" s="28">
        <f t="shared" si="47"/>
        <v>414835</v>
      </c>
      <c r="L128" s="28">
        <f t="shared" si="47"/>
        <v>371447</v>
      </c>
      <c r="M128" s="28">
        <f t="shared" si="47"/>
        <v>356475</v>
      </c>
      <c r="N128" s="21">
        <f>SUM(B128:M128)</f>
        <v>5041983</v>
      </c>
    </row>
    <row r="129" spans="1:16">
      <c r="A129" s="26" t="s">
        <v>20</v>
      </c>
      <c r="B129" s="32">
        <f>'charges (1 &amp; 2)'!$G$26</f>
        <v>7.0000000000000007E-2</v>
      </c>
      <c r="C129" s="32">
        <f>'charges (1 &amp; 2)'!$G$26</f>
        <v>7.0000000000000007E-2</v>
      </c>
      <c r="D129" s="32">
        <f>'charges (1 &amp; 2)'!$G$26</f>
        <v>7.0000000000000007E-2</v>
      </c>
      <c r="E129" s="32">
        <f>'charges (1 &amp; 2)'!$G$26</f>
        <v>7.0000000000000007E-2</v>
      </c>
      <c r="F129" s="32">
        <f>'charges (1 &amp; 2)'!$G$26</f>
        <v>7.0000000000000007E-2</v>
      </c>
      <c r="G129" s="32">
        <f>'charges (1 &amp; 2)'!$G$26</f>
        <v>7.0000000000000007E-2</v>
      </c>
      <c r="H129" s="32">
        <f>'charges (1 &amp; 2)'!$G$26</f>
        <v>7.0000000000000007E-2</v>
      </c>
      <c r="I129" s="32">
        <f>'charges (1 &amp; 2)'!$G$26</f>
        <v>7.0000000000000007E-2</v>
      </c>
      <c r="J129" s="32">
        <f>'charges (1 &amp; 2)'!$G$26</f>
        <v>7.0000000000000007E-2</v>
      </c>
      <c r="K129" s="32">
        <f>'charges (1 &amp; 2)'!$G$26</f>
        <v>7.0000000000000007E-2</v>
      </c>
      <c r="L129" s="32">
        <f>'charges (1 &amp; 2)'!$G$26</f>
        <v>7.0000000000000007E-2</v>
      </c>
      <c r="M129" s="32">
        <f>'charges (1 &amp; 2)'!$G$26</f>
        <v>7.0000000000000007E-2</v>
      </c>
      <c r="N129" s="20"/>
    </row>
    <row r="130" spans="1:16">
      <c r="A130" s="26" t="s">
        <v>17</v>
      </c>
      <c r="B130" s="199">
        <f t="shared" ref="B130:M130" si="48">B128*B129</f>
        <v>30457.210000000006</v>
      </c>
      <c r="C130" s="199">
        <f t="shared" si="48"/>
        <v>28389.690000000002</v>
      </c>
      <c r="D130" s="199">
        <f t="shared" si="48"/>
        <v>24832.080000000002</v>
      </c>
      <c r="E130" s="199">
        <f t="shared" si="48"/>
        <v>26678.610000000004</v>
      </c>
      <c r="F130" s="199">
        <f t="shared" si="48"/>
        <v>30100.770000000004</v>
      </c>
      <c r="G130" s="199">
        <f t="shared" si="48"/>
        <v>32738.65</v>
      </c>
      <c r="H130" s="199">
        <f t="shared" si="48"/>
        <v>33872.230000000003</v>
      </c>
      <c r="I130" s="199">
        <f t="shared" si="48"/>
        <v>34449.730000000003</v>
      </c>
      <c r="J130" s="199">
        <f t="shared" si="48"/>
        <v>31426.850000000002</v>
      </c>
      <c r="K130" s="199">
        <f t="shared" si="48"/>
        <v>29038.450000000004</v>
      </c>
      <c r="L130" s="199">
        <f t="shared" si="48"/>
        <v>26001.29</v>
      </c>
      <c r="M130" s="199">
        <f t="shared" si="48"/>
        <v>24953.250000000004</v>
      </c>
      <c r="N130" s="199">
        <f>SUM(B130:M130)</f>
        <v>352938.81</v>
      </c>
    </row>
    <row r="131" spans="1:16">
      <c r="A131" s="26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</row>
    <row r="132" spans="1:16">
      <c r="A132" s="26" t="s">
        <v>25</v>
      </c>
      <c r="B132" s="198">
        <f>B116+B130+B123</f>
        <v>727814.19222000008</v>
      </c>
      <c r="C132" s="198">
        <f t="shared" ref="C132:M132" si="49">C116+C130+C123</f>
        <v>678408.14357999992</v>
      </c>
      <c r="D132" s="198">
        <f t="shared" si="49"/>
        <v>593394.47856000008</v>
      </c>
      <c r="E132" s="198">
        <f t="shared" si="49"/>
        <v>637519.68702000007</v>
      </c>
      <c r="F132" s="198">
        <f t="shared" si="49"/>
        <v>719296.60014</v>
      </c>
      <c r="G132" s="198">
        <f t="shared" si="49"/>
        <v>782332.13430000003</v>
      </c>
      <c r="H132" s="198">
        <f t="shared" si="49"/>
        <v>809420.48586000002</v>
      </c>
      <c r="I132" s="198">
        <f t="shared" si="49"/>
        <v>823220.59086</v>
      </c>
      <c r="J132" s="198">
        <f t="shared" si="49"/>
        <v>750984.98670000001</v>
      </c>
      <c r="K132" s="198">
        <f t="shared" si="49"/>
        <v>693911.09789999994</v>
      </c>
      <c r="L132" s="198">
        <f t="shared" si="49"/>
        <v>621334.25478000008</v>
      </c>
      <c r="M132" s="198">
        <f t="shared" si="49"/>
        <v>596289.9915</v>
      </c>
      <c r="N132" s="198">
        <f>SUM(B132:M132)</f>
        <v>8433926.6434199996</v>
      </c>
    </row>
    <row r="134" spans="1:16" ht="10.5" customHeight="1">
      <c r="A134" s="25">
        <f>+A109+1</f>
        <v>2019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1:16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6">
      <c r="A136" s="26" t="s">
        <v>37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6">
      <c r="A137" s="27" t="s">
        <v>40</v>
      </c>
      <c r="B137" s="239">
        <f>'FMPA Network Forecast'!D24*1000</f>
        <v>430700</v>
      </c>
      <c r="C137" s="239">
        <f>'FMPA Network Forecast'!E24*1000</f>
        <v>401500</v>
      </c>
      <c r="D137" s="239">
        <f>'FMPA Network Forecast'!F24*1000</f>
        <v>351100</v>
      </c>
      <c r="E137" s="239">
        <f>'FMPA Network Forecast'!G24*1000</f>
        <v>377300</v>
      </c>
      <c r="F137" s="239">
        <f>'FMPA Network Forecast'!H24*1000</f>
        <v>425700</v>
      </c>
      <c r="G137" s="239">
        <f>'FMPA Network Forecast'!I24*1000</f>
        <v>463000</v>
      </c>
      <c r="H137" s="239">
        <f>'FMPA Network Forecast'!J24*1000</f>
        <v>479000</v>
      </c>
      <c r="I137" s="239">
        <f>'FMPA Network Forecast'!K24*1000</f>
        <v>487200</v>
      </c>
      <c r="J137" s="239">
        <f>'FMPA Network Forecast'!L24*1000</f>
        <v>444500</v>
      </c>
      <c r="K137" s="239">
        <f>'FMPA Network Forecast'!M24*1000</f>
        <v>410700</v>
      </c>
      <c r="L137" s="239">
        <f>'FMPA Network Forecast'!N24*1000</f>
        <v>367700</v>
      </c>
      <c r="M137" s="239">
        <f>'FMPA Network Forecast'!O24*1000</f>
        <v>352900</v>
      </c>
      <c r="N137" s="21">
        <f>SUM(B137:M137)</f>
        <v>4991300</v>
      </c>
      <c r="O137" s="284">
        <f>SUM('FMPA Network Forecast'!D52:O52)*1000</f>
        <v>0</v>
      </c>
      <c r="P137" s="277">
        <f>N137-O137</f>
        <v>4991300</v>
      </c>
    </row>
    <row r="138" spans="1:16">
      <c r="A138" s="27" t="s">
        <v>45</v>
      </c>
      <c r="B138" s="28">
        <f>ROUND(B137*'Transmission Formula Rate (7)'!$B$27,0)</f>
        <v>7968</v>
      </c>
      <c r="C138" s="28">
        <f>ROUND(C137*'Transmission Formula Rate (7)'!$B$27,0)</f>
        <v>7428</v>
      </c>
      <c r="D138" s="28">
        <f>ROUND(D137*'Transmission Formula Rate (7)'!$B$27,0)</f>
        <v>6495</v>
      </c>
      <c r="E138" s="28">
        <f>ROUND(E137*'Transmission Formula Rate (7)'!$B$27,0)</f>
        <v>6980</v>
      </c>
      <c r="F138" s="28">
        <f>ROUND(F137*'Transmission Formula Rate (7)'!$B$27,0)</f>
        <v>7875</v>
      </c>
      <c r="G138" s="28">
        <f>ROUND(G137*'Transmission Formula Rate (7)'!$B$27,0)</f>
        <v>8566</v>
      </c>
      <c r="H138" s="28">
        <f>ROUND(H137*'Transmission Formula Rate (7)'!$B$27,0)</f>
        <v>8862</v>
      </c>
      <c r="I138" s="28">
        <f>ROUND(I137*'Transmission Formula Rate (7)'!$B$27,0)</f>
        <v>9013</v>
      </c>
      <c r="J138" s="28">
        <f>ROUND(J137*'Transmission Formula Rate (7)'!$B$27,0)</f>
        <v>8223</v>
      </c>
      <c r="K138" s="28">
        <f>ROUND(K137*'Transmission Formula Rate (7)'!$B$27,0)</f>
        <v>7598</v>
      </c>
      <c r="L138" s="28">
        <f>ROUND(L137*'Transmission Formula Rate (7)'!$B$27,0)</f>
        <v>6802</v>
      </c>
      <c r="M138" s="28">
        <f>ROUND(M137*'Transmission Formula Rate (7)'!$B$27,0)</f>
        <v>6529</v>
      </c>
      <c r="N138" s="21">
        <f>SUM(B138:M138)</f>
        <v>92339</v>
      </c>
    </row>
    <row r="139" spans="1:16">
      <c r="A139" s="27" t="s">
        <v>46</v>
      </c>
      <c r="B139" s="28">
        <f t="shared" ref="B139:M139" si="50">B137+B138</f>
        <v>438668</v>
      </c>
      <c r="C139" s="28">
        <f t="shared" si="50"/>
        <v>408928</v>
      </c>
      <c r="D139" s="28">
        <f t="shared" si="50"/>
        <v>357595</v>
      </c>
      <c r="E139" s="28">
        <f t="shared" si="50"/>
        <v>384280</v>
      </c>
      <c r="F139" s="28">
        <f t="shared" si="50"/>
        <v>433575</v>
      </c>
      <c r="G139" s="28">
        <f t="shared" si="50"/>
        <v>471566</v>
      </c>
      <c r="H139" s="28">
        <f t="shared" si="50"/>
        <v>487862</v>
      </c>
      <c r="I139" s="28">
        <f t="shared" si="50"/>
        <v>496213</v>
      </c>
      <c r="J139" s="28">
        <f t="shared" si="50"/>
        <v>452723</v>
      </c>
      <c r="K139" s="28">
        <f t="shared" si="50"/>
        <v>418298</v>
      </c>
      <c r="L139" s="28">
        <f t="shared" si="50"/>
        <v>374502</v>
      </c>
      <c r="M139" s="28">
        <f t="shared" si="50"/>
        <v>359429</v>
      </c>
      <c r="N139" s="21">
        <f>SUM(B139:M139)</f>
        <v>5083639</v>
      </c>
    </row>
    <row r="140" spans="1:16">
      <c r="A140" s="26" t="s">
        <v>20</v>
      </c>
      <c r="B140" s="30">
        <f>'Transmission Formula Rate (7)'!B20</f>
        <v>1.59</v>
      </c>
      <c r="C140" s="30">
        <f>'Transmission Formula Rate (7)'!C20</f>
        <v>1.59</v>
      </c>
      <c r="D140" s="30">
        <f>'Transmission Formula Rate (7)'!D20</f>
        <v>1.59</v>
      </c>
      <c r="E140" s="30">
        <f>'Transmission Formula Rate (7)'!E20</f>
        <v>1.59</v>
      </c>
      <c r="F140" s="30">
        <f>'Transmission Formula Rate (7)'!F20</f>
        <v>1.59</v>
      </c>
      <c r="G140" s="30">
        <f>'Transmission Formula Rate (7)'!G20</f>
        <v>1.59</v>
      </c>
      <c r="H140" s="30">
        <f>'Transmission Formula Rate (7)'!H20</f>
        <v>1.59</v>
      </c>
      <c r="I140" s="30">
        <f>'Transmission Formula Rate (7)'!I20</f>
        <v>1.59</v>
      </c>
      <c r="J140" s="30">
        <f>'Transmission Formula Rate (7)'!J20</f>
        <v>1.59</v>
      </c>
      <c r="K140" s="30">
        <f>'Transmission Formula Rate (7)'!K20</f>
        <v>1.59</v>
      </c>
      <c r="L140" s="30">
        <f>'Transmission Formula Rate (7)'!L20</f>
        <v>1.59</v>
      </c>
      <c r="M140" s="30">
        <f>'Transmission Formula Rate (7)'!M20</f>
        <v>1.59</v>
      </c>
      <c r="N140" s="20"/>
    </row>
    <row r="141" spans="1:16">
      <c r="A141" s="26" t="s">
        <v>17</v>
      </c>
      <c r="B141" s="199">
        <f t="shared" ref="B141:M141" si="51">B139*B140</f>
        <v>697482.12</v>
      </c>
      <c r="C141" s="199">
        <f t="shared" si="51"/>
        <v>650195.52</v>
      </c>
      <c r="D141" s="199">
        <f t="shared" si="51"/>
        <v>568576.05000000005</v>
      </c>
      <c r="E141" s="199">
        <f t="shared" si="51"/>
        <v>611005.20000000007</v>
      </c>
      <c r="F141" s="199">
        <f t="shared" si="51"/>
        <v>689384.25</v>
      </c>
      <c r="G141" s="199">
        <f t="shared" si="51"/>
        <v>749789.94000000006</v>
      </c>
      <c r="H141" s="199">
        <f t="shared" si="51"/>
        <v>775700.58000000007</v>
      </c>
      <c r="I141" s="199">
        <f t="shared" si="51"/>
        <v>788978.67</v>
      </c>
      <c r="J141" s="199">
        <f t="shared" si="51"/>
        <v>719829.57000000007</v>
      </c>
      <c r="K141" s="199">
        <f t="shared" si="51"/>
        <v>665093.82000000007</v>
      </c>
      <c r="L141" s="199">
        <f t="shared" si="51"/>
        <v>595458.18000000005</v>
      </c>
      <c r="M141" s="199">
        <f t="shared" si="51"/>
        <v>571492.11</v>
      </c>
      <c r="N141" s="199">
        <f>SUM(B141:M141)</f>
        <v>8082986.0100000007</v>
      </c>
    </row>
    <row r="142" spans="1:16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6">
      <c r="A143" s="26" t="s">
        <v>141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6">
      <c r="A144" s="27" t="s">
        <v>40</v>
      </c>
      <c r="B144" s="28">
        <f>B137</f>
        <v>430700</v>
      </c>
      <c r="C144" s="28">
        <f t="shared" ref="C144:M144" si="52">C137</f>
        <v>401500</v>
      </c>
      <c r="D144" s="28">
        <f t="shared" si="52"/>
        <v>351100</v>
      </c>
      <c r="E144" s="28">
        <f t="shared" si="52"/>
        <v>377300</v>
      </c>
      <c r="F144" s="28">
        <f t="shared" si="52"/>
        <v>425700</v>
      </c>
      <c r="G144" s="28">
        <f t="shared" si="52"/>
        <v>463000</v>
      </c>
      <c r="H144" s="28">
        <f t="shared" si="52"/>
        <v>479000</v>
      </c>
      <c r="I144" s="28">
        <f t="shared" si="52"/>
        <v>487200</v>
      </c>
      <c r="J144" s="28">
        <f t="shared" si="52"/>
        <v>444500</v>
      </c>
      <c r="K144" s="28">
        <f t="shared" si="52"/>
        <v>410700</v>
      </c>
      <c r="L144" s="28">
        <f t="shared" si="52"/>
        <v>367700</v>
      </c>
      <c r="M144" s="28">
        <f t="shared" si="52"/>
        <v>352900</v>
      </c>
      <c r="N144" s="21">
        <f>SUM(B144:M144)</f>
        <v>4991300</v>
      </c>
    </row>
    <row r="145" spans="1:16">
      <c r="A145" s="27" t="s">
        <v>45</v>
      </c>
      <c r="B145" s="28">
        <f>ROUND(B144*'Transmission Formula Rate (7)'!$B$27,0)</f>
        <v>7968</v>
      </c>
      <c r="C145" s="28">
        <f>ROUND(C144*'Transmission Formula Rate (7)'!$B$27,0)</f>
        <v>7428</v>
      </c>
      <c r="D145" s="28">
        <f>ROUND(D144*'Transmission Formula Rate (7)'!$B$27,0)</f>
        <v>6495</v>
      </c>
      <c r="E145" s="28">
        <f>ROUND(E144*'Transmission Formula Rate (7)'!$B$27,0)</f>
        <v>6980</v>
      </c>
      <c r="F145" s="28">
        <f>ROUND(F144*'Transmission Formula Rate (7)'!$B$27,0)</f>
        <v>7875</v>
      </c>
      <c r="G145" s="28">
        <f>ROUND(G144*'Transmission Formula Rate (7)'!$B$27,0)</f>
        <v>8566</v>
      </c>
      <c r="H145" s="28">
        <f>ROUND(H144*'Transmission Formula Rate (7)'!$B$27,0)</f>
        <v>8862</v>
      </c>
      <c r="I145" s="28">
        <f>ROUND(I144*'Transmission Formula Rate (7)'!$B$27,0)</f>
        <v>9013</v>
      </c>
      <c r="J145" s="28">
        <f>ROUND(J144*'Transmission Formula Rate (7)'!$B$27,0)</f>
        <v>8223</v>
      </c>
      <c r="K145" s="28">
        <f>ROUND(K144*'Transmission Formula Rate (7)'!$B$27,0)</f>
        <v>7598</v>
      </c>
      <c r="L145" s="28">
        <f>ROUND(L144*'Transmission Formula Rate (7)'!$B$27,0)</f>
        <v>6802</v>
      </c>
      <c r="M145" s="28">
        <f>ROUND(M144*'Transmission Formula Rate (7)'!$B$27,0)</f>
        <v>6529</v>
      </c>
      <c r="N145" s="21">
        <f>SUM(B145:M145)</f>
        <v>92339</v>
      </c>
    </row>
    <row r="146" spans="1:16">
      <c r="A146" s="27" t="s">
        <v>46</v>
      </c>
      <c r="B146" s="28">
        <f t="shared" ref="B146:M146" si="53">B144+B145</f>
        <v>438668</v>
      </c>
      <c r="C146" s="28">
        <f t="shared" si="53"/>
        <v>408928</v>
      </c>
      <c r="D146" s="28">
        <f t="shared" si="53"/>
        <v>357595</v>
      </c>
      <c r="E146" s="28">
        <f t="shared" si="53"/>
        <v>384280</v>
      </c>
      <c r="F146" s="28">
        <f t="shared" si="53"/>
        <v>433575</v>
      </c>
      <c r="G146" s="28">
        <f t="shared" si="53"/>
        <v>471566</v>
      </c>
      <c r="H146" s="28">
        <f t="shared" si="53"/>
        <v>487862</v>
      </c>
      <c r="I146" s="28">
        <f t="shared" si="53"/>
        <v>496213</v>
      </c>
      <c r="J146" s="28">
        <f t="shared" si="53"/>
        <v>452723</v>
      </c>
      <c r="K146" s="28">
        <f t="shared" si="53"/>
        <v>418298</v>
      </c>
      <c r="L146" s="28">
        <f t="shared" si="53"/>
        <v>374502</v>
      </c>
      <c r="M146" s="28">
        <f t="shared" si="53"/>
        <v>359429</v>
      </c>
      <c r="N146" s="21">
        <f>SUM(B146:M146)</f>
        <v>5083639</v>
      </c>
    </row>
    <row r="147" spans="1:16">
      <c r="A147" s="26" t="s">
        <v>20</v>
      </c>
      <c r="B147" s="32">
        <f>'charges (1 &amp; 2)'!$H$27</f>
        <v>1.274E-2</v>
      </c>
      <c r="C147" s="32">
        <f>B147</f>
        <v>1.274E-2</v>
      </c>
      <c r="D147" s="32">
        <f t="shared" ref="D147" si="54">C147</f>
        <v>1.274E-2</v>
      </c>
      <c r="E147" s="32">
        <f t="shared" ref="E147" si="55">D147</f>
        <v>1.274E-2</v>
      </c>
      <c r="F147" s="32">
        <f t="shared" ref="F147" si="56">E147</f>
        <v>1.274E-2</v>
      </c>
      <c r="G147" s="32">
        <f t="shared" ref="G147" si="57">F147</f>
        <v>1.274E-2</v>
      </c>
      <c r="H147" s="32">
        <f t="shared" ref="H147" si="58">G147</f>
        <v>1.274E-2</v>
      </c>
      <c r="I147" s="32">
        <f t="shared" ref="I147" si="59">H147</f>
        <v>1.274E-2</v>
      </c>
      <c r="J147" s="32">
        <f t="shared" ref="J147" si="60">I147</f>
        <v>1.274E-2</v>
      </c>
      <c r="K147" s="32">
        <f t="shared" ref="K147" si="61">J147</f>
        <v>1.274E-2</v>
      </c>
      <c r="L147" s="32">
        <f t="shared" ref="L147" si="62">K147</f>
        <v>1.274E-2</v>
      </c>
      <c r="M147" s="32">
        <f t="shared" ref="M147" si="63">L147</f>
        <v>1.274E-2</v>
      </c>
      <c r="N147" s="20"/>
    </row>
    <row r="148" spans="1:16">
      <c r="A148" s="26" t="s">
        <v>17</v>
      </c>
      <c r="B148" s="199">
        <f t="shared" ref="B148:M148" si="64">B146*B147</f>
        <v>5588.6303200000002</v>
      </c>
      <c r="C148" s="199">
        <f t="shared" si="64"/>
        <v>5209.7427200000002</v>
      </c>
      <c r="D148" s="199">
        <f t="shared" si="64"/>
        <v>4555.7602999999999</v>
      </c>
      <c r="E148" s="199">
        <f t="shared" si="64"/>
        <v>4895.7272000000003</v>
      </c>
      <c r="F148" s="199">
        <f t="shared" si="64"/>
        <v>5523.7455</v>
      </c>
      <c r="G148" s="199">
        <f t="shared" si="64"/>
        <v>6007.7508399999997</v>
      </c>
      <c r="H148" s="199">
        <f t="shared" si="64"/>
        <v>6215.3618799999995</v>
      </c>
      <c r="I148" s="199">
        <f t="shared" si="64"/>
        <v>6321.7536199999995</v>
      </c>
      <c r="J148" s="199">
        <f t="shared" si="64"/>
        <v>5767.6910200000002</v>
      </c>
      <c r="K148" s="199">
        <f t="shared" si="64"/>
        <v>5329.1165199999996</v>
      </c>
      <c r="L148" s="199">
        <f t="shared" si="64"/>
        <v>4771.1554799999994</v>
      </c>
      <c r="M148" s="199">
        <f t="shared" si="64"/>
        <v>4579.1254600000002</v>
      </c>
      <c r="N148" s="199">
        <f>SUM(B148:M148)</f>
        <v>64765.560860000005</v>
      </c>
    </row>
    <row r="149" spans="1:16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6">
      <c r="A150" s="26" t="s">
        <v>38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6">
      <c r="A151" s="27" t="s">
        <v>40</v>
      </c>
      <c r="B151" s="28">
        <f>B137</f>
        <v>430700</v>
      </c>
      <c r="C151" s="28">
        <f t="shared" ref="C151:M151" si="65">C137</f>
        <v>401500</v>
      </c>
      <c r="D151" s="28">
        <f t="shared" si="65"/>
        <v>351100</v>
      </c>
      <c r="E151" s="28">
        <f t="shared" si="65"/>
        <v>377300</v>
      </c>
      <c r="F151" s="28">
        <f t="shared" si="65"/>
        <v>425700</v>
      </c>
      <c r="G151" s="28">
        <f t="shared" si="65"/>
        <v>463000</v>
      </c>
      <c r="H151" s="28">
        <f t="shared" si="65"/>
        <v>479000</v>
      </c>
      <c r="I151" s="28">
        <f t="shared" si="65"/>
        <v>487200</v>
      </c>
      <c r="J151" s="28">
        <f t="shared" si="65"/>
        <v>444500</v>
      </c>
      <c r="K151" s="28">
        <f t="shared" si="65"/>
        <v>410700</v>
      </c>
      <c r="L151" s="28">
        <f t="shared" si="65"/>
        <v>367700</v>
      </c>
      <c r="M151" s="28">
        <f t="shared" si="65"/>
        <v>352900</v>
      </c>
      <c r="N151" s="21">
        <f>SUM(B151:M151)</f>
        <v>4991300</v>
      </c>
    </row>
    <row r="152" spans="1:16">
      <c r="A152" s="27" t="s">
        <v>45</v>
      </c>
      <c r="B152" s="28">
        <f>ROUND(B151*'Transmission Formula Rate (7)'!$B$27,0)</f>
        <v>7968</v>
      </c>
      <c r="C152" s="28">
        <f>ROUND(C151*'Transmission Formula Rate (7)'!$B$27,0)</f>
        <v>7428</v>
      </c>
      <c r="D152" s="28">
        <f>ROUND(D151*'Transmission Formula Rate (7)'!$B$27,0)</f>
        <v>6495</v>
      </c>
      <c r="E152" s="28">
        <f>ROUND(E151*'Transmission Formula Rate (7)'!$B$27,0)</f>
        <v>6980</v>
      </c>
      <c r="F152" s="28">
        <f>ROUND(F151*'Transmission Formula Rate (7)'!$B$27,0)</f>
        <v>7875</v>
      </c>
      <c r="G152" s="28">
        <f>ROUND(G151*'Transmission Formula Rate (7)'!$B$27,0)</f>
        <v>8566</v>
      </c>
      <c r="H152" s="28">
        <f>ROUND(H151*'Transmission Formula Rate (7)'!$B$27,0)</f>
        <v>8862</v>
      </c>
      <c r="I152" s="28">
        <f>ROUND(I151*'Transmission Formula Rate (7)'!$B$27,0)</f>
        <v>9013</v>
      </c>
      <c r="J152" s="28">
        <f>ROUND(J151*'Transmission Formula Rate (7)'!$B$27,0)</f>
        <v>8223</v>
      </c>
      <c r="K152" s="28">
        <f>ROUND(K151*'Transmission Formula Rate (7)'!$B$27,0)</f>
        <v>7598</v>
      </c>
      <c r="L152" s="28">
        <f>ROUND(L151*'Transmission Formula Rate (7)'!$B$27,0)</f>
        <v>6802</v>
      </c>
      <c r="M152" s="28">
        <f>ROUND(M151*'Transmission Formula Rate (7)'!$B$27,0)</f>
        <v>6529</v>
      </c>
      <c r="N152" s="21">
        <f>SUM(B152:M152)</f>
        <v>92339</v>
      </c>
    </row>
    <row r="153" spans="1:16">
      <c r="A153" s="27" t="s">
        <v>46</v>
      </c>
      <c r="B153" s="28">
        <f t="shared" ref="B153:M153" si="66">B151+B152</f>
        <v>438668</v>
      </c>
      <c r="C153" s="28">
        <f t="shared" si="66"/>
        <v>408928</v>
      </c>
      <c r="D153" s="28">
        <f t="shared" si="66"/>
        <v>357595</v>
      </c>
      <c r="E153" s="28">
        <f t="shared" si="66"/>
        <v>384280</v>
      </c>
      <c r="F153" s="28">
        <f t="shared" si="66"/>
        <v>433575</v>
      </c>
      <c r="G153" s="28">
        <f t="shared" si="66"/>
        <v>471566</v>
      </c>
      <c r="H153" s="28">
        <f t="shared" si="66"/>
        <v>487862</v>
      </c>
      <c r="I153" s="28">
        <f t="shared" si="66"/>
        <v>496213</v>
      </c>
      <c r="J153" s="28">
        <f t="shared" si="66"/>
        <v>452723</v>
      </c>
      <c r="K153" s="28">
        <f t="shared" si="66"/>
        <v>418298</v>
      </c>
      <c r="L153" s="28">
        <f t="shared" si="66"/>
        <v>374502</v>
      </c>
      <c r="M153" s="28">
        <f t="shared" si="66"/>
        <v>359429</v>
      </c>
      <c r="N153" s="21">
        <f>SUM(B153:M153)</f>
        <v>5083639</v>
      </c>
    </row>
    <row r="154" spans="1:16">
      <c r="A154" s="26" t="s">
        <v>20</v>
      </c>
      <c r="B154" s="32">
        <f>'charges (1 &amp; 2)'!$G$26</f>
        <v>7.0000000000000007E-2</v>
      </c>
      <c r="C154" s="32">
        <f>'charges (1 &amp; 2)'!$G$26</f>
        <v>7.0000000000000007E-2</v>
      </c>
      <c r="D154" s="32">
        <f>'charges (1 &amp; 2)'!$G$26</f>
        <v>7.0000000000000007E-2</v>
      </c>
      <c r="E154" s="32">
        <f>'charges (1 &amp; 2)'!$G$26</f>
        <v>7.0000000000000007E-2</v>
      </c>
      <c r="F154" s="32">
        <f>'charges (1 &amp; 2)'!$G$26</f>
        <v>7.0000000000000007E-2</v>
      </c>
      <c r="G154" s="32">
        <f>'charges (1 &amp; 2)'!$G$26</f>
        <v>7.0000000000000007E-2</v>
      </c>
      <c r="H154" s="32">
        <f>'charges (1 &amp; 2)'!$G$26</f>
        <v>7.0000000000000007E-2</v>
      </c>
      <c r="I154" s="32">
        <f>'charges (1 &amp; 2)'!$G$26</f>
        <v>7.0000000000000007E-2</v>
      </c>
      <c r="J154" s="32">
        <f>'charges (1 &amp; 2)'!$G$26</f>
        <v>7.0000000000000007E-2</v>
      </c>
      <c r="K154" s="32">
        <f>'charges (1 &amp; 2)'!$G$26</f>
        <v>7.0000000000000007E-2</v>
      </c>
      <c r="L154" s="32">
        <f>'charges (1 &amp; 2)'!$G$26</f>
        <v>7.0000000000000007E-2</v>
      </c>
      <c r="M154" s="32">
        <f>'charges (1 &amp; 2)'!$G$26</f>
        <v>7.0000000000000007E-2</v>
      </c>
      <c r="N154" s="20"/>
    </row>
    <row r="155" spans="1:16">
      <c r="A155" s="26" t="s">
        <v>17</v>
      </c>
      <c r="B155" s="199">
        <f t="shared" ref="B155:M155" si="67">B153*B154</f>
        <v>30706.760000000002</v>
      </c>
      <c r="C155" s="199">
        <f t="shared" si="67"/>
        <v>28624.960000000003</v>
      </c>
      <c r="D155" s="199">
        <f t="shared" si="67"/>
        <v>25031.65</v>
      </c>
      <c r="E155" s="199">
        <f t="shared" si="67"/>
        <v>26899.600000000002</v>
      </c>
      <c r="F155" s="199">
        <f t="shared" si="67"/>
        <v>30350.250000000004</v>
      </c>
      <c r="G155" s="199">
        <f t="shared" si="67"/>
        <v>33009.620000000003</v>
      </c>
      <c r="H155" s="199">
        <f t="shared" si="67"/>
        <v>34150.340000000004</v>
      </c>
      <c r="I155" s="199">
        <f t="shared" si="67"/>
        <v>34734.910000000003</v>
      </c>
      <c r="J155" s="199">
        <f t="shared" si="67"/>
        <v>31690.610000000004</v>
      </c>
      <c r="K155" s="199">
        <f t="shared" si="67"/>
        <v>29280.860000000004</v>
      </c>
      <c r="L155" s="199">
        <f t="shared" si="67"/>
        <v>26215.140000000003</v>
      </c>
      <c r="M155" s="199">
        <f t="shared" si="67"/>
        <v>25160.030000000002</v>
      </c>
      <c r="N155" s="199">
        <f>SUM(B155:M155)</f>
        <v>355854.73000000004</v>
      </c>
    </row>
    <row r="156" spans="1:16">
      <c r="A156" s="26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</row>
    <row r="157" spans="1:16">
      <c r="A157" s="26" t="s">
        <v>25</v>
      </c>
      <c r="B157" s="198">
        <f>B141+B155+B148</f>
        <v>733777.51032</v>
      </c>
      <c r="C157" s="198">
        <f t="shared" ref="C157:M157" si="68">C141+C155+C148</f>
        <v>684030.22271999996</v>
      </c>
      <c r="D157" s="198">
        <f t="shared" si="68"/>
        <v>598163.46030000004</v>
      </c>
      <c r="E157" s="198">
        <f t="shared" si="68"/>
        <v>642800.52720000001</v>
      </c>
      <c r="F157" s="198">
        <f t="shared" si="68"/>
        <v>725258.24549999996</v>
      </c>
      <c r="G157" s="198">
        <f t="shared" si="68"/>
        <v>788807.31084000005</v>
      </c>
      <c r="H157" s="198">
        <f t="shared" si="68"/>
        <v>816066.28188000002</v>
      </c>
      <c r="I157" s="198">
        <f t="shared" si="68"/>
        <v>830035.33362000005</v>
      </c>
      <c r="J157" s="198">
        <f t="shared" si="68"/>
        <v>757287.87102000008</v>
      </c>
      <c r="K157" s="198">
        <f t="shared" si="68"/>
        <v>699703.79652000009</v>
      </c>
      <c r="L157" s="198">
        <f t="shared" si="68"/>
        <v>626444.47548000002</v>
      </c>
      <c r="M157" s="198">
        <f t="shared" si="68"/>
        <v>601231.26546000002</v>
      </c>
      <c r="N157" s="198">
        <f>SUM(B157:M157)</f>
        <v>8503606.3008599989</v>
      </c>
    </row>
    <row r="158" spans="1:16" s="20" customFormat="1" ht="10.199999999999999">
      <c r="A158" s="26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276"/>
      <c r="P158" s="276"/>
    </row>
    <row r="159" spans="1:16" ht="10.5" customHeight="1">
      <c r="A159" s="25">
        <f>+A134+1</f>
        <v>2020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6">
      <c r="A160" s="23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</row>
    <row r="161" spans="1:16">
      <c r="A161" s="26" t="s">
        <v>37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6">
      <c r="A162" s="27" t="s">
        <v>40</v>
      </c>
      <c r="B162" s="239">
        <f>'FMPA Network Forecast'!D25*1000</f>
        <v>432700</v>
      </c>
      <c r="C162" s="239">
        <f>'FMPA Network Forecast'!E25*1000</f>
        <v>402700</v>
      </c>
      <c r="D162" s="239">
        <f>'FMPA Network Forecast'!F25*1000</f>
        <v>352200</v>
      </c>
      <c r="E162" s="239">
        <f>'FMPA Network Forecast'!G25*1000</f>
        <v>378500</v>
      </c>
      <c r="F162" s="239">
        <f>'FMPA Network Forecast'!H25*1000</f>
        <v>427000</v>
      </c>
      <c r="G162" s="239">
        <f>'FMPA Network Forecast'!I25*1000</f>
        <v>464400</v>
      </c>
      <c r="H162" s="239">
        <f>'FMPA Network Forecast'!J25*1000</f>
        <v>480500</v>
      </c>
      <c r="I162" s="239">
        <f>'FMPA Network Forecast'!K25*1000</f>
        <v>488700</v>
      </c>
      <c r="J162" s="239">
        <f>'FMPA Network Forecast'!L25*1000</f>
        <v>445900</v>
      </c>
      <c r="K162" s="239">
        <f>'FMPA Network Forecast'!M25*1000</f>
        <v>412000</v>
      </c>
      <c r="L162" s="239">
        <f>'FMPA Network Forecast'!N25*1000</f>
        <v>368800</v>
      </c>
      <c r="M162" s="239">
        <f>'FMPA Network Forecast'!O25*1000</f>
        <v>354000</v>
      </c>
      <c r="N162" s="21">
        <f>SUM(B162:M162)</f>
        <v>5007400</v>
      </c>
      <c r="O162" s="284">
        <f>SUM('FMPA Network Forecast'!D77:O77)*1000</f>
        <v>0</v>
      </c>
      <c r="P162" s="277">
        <f>N162-O162</f>
        <v>5007400</v>
      </c>
    </row>
    <row r="163" spans="1:16">
      <c r="A163" s="27" t="s">
        <v>45</v>
      </c>
      <c r="B163" s="28">
        <f>ROUND(B162*'Transmission Formula Rate (7)'!$B$27,0)</f>
        <v>8005</v>
      </c>
      <c r="C163" s="28">
        <f>ROUND(C162*'Transmission Formula Rate (7)'!$B$27,0)</f>
        <v>7450</v>
      </c>
      <c r="D163" s="28">
        <f>ROUND(D162*'Transmission Formula Rate (7)'!$B$27,0)</f>
        <v>6516</v>
      </c>
      <c r="E163" s="28">
        <f>ROUND(E162*'Transmission Formula Rate (7)'!$B$27,0)</f>
        <v>7002</v>
      </c>
      <c r="F163" s="28">
        <f>ROUND(F162*'Transmission Formula Rate (7)'!$B$27,0)</f>
        <v>7900</v>
      </c>
      <c r="G163" s="28">
        <f>ROUND(G162*'Transmission Formula Rate (7)'!$B$27,0)</f>
        <v>8591</v>
      </c>
      <c r="H163" s="28">
        <f>ROUND(H162*'Transmission Formula Rate (7)'!$B$27,0)</f>
        <v>8889</v>
      </c>
      <c r="I163" s="28">
        <f>ROUND(I162*'Transmission Formula Rate (7)'!$B$27,0)</f>
        <v>9041</v>
      </c>
      <c r="J163" s="28">
        <f>ROUND(J162*'Transmission Formula Rate (7)'!$B$27,0)</f>
        <v>8249</v>
      </c>
      <c r="K163" s="28">
        <f>ROUND(K162*'Transmission Formula Rate (7)'!$B$27,0)</f>
        <v>7622</v>
      </c>
      <c r="L163" s="28">
        <f>ROUND(L162*'Transmission Formula Rate (7)'!$B$27,0)</f>
        <v>6823</v>
      </c>
      <c r="M163" s="28">
        <f>ROUND(M162*'Transmission Formula Rate (7)'!$B$27,0)</f>
        <v>6549</v>
      </c>
      <c r="N163" s="21">
        <f>SUM(B163:M163)</f>
        <v>92637</v>
      </c>
    </row>
    <row r="164" spans="1:16">
      <c r="A164" s="27" t="s">
        <v>46</v>
      </c>
      <c r="B164" s="28">
        <f t="shared" ref="B164:M164" si="69">B162+B163</f>
        <v>440705</v>
      </c>
      <c r="C164" s="28">
        <f t="shared" si="69"/>
        <v>410150</v>
      </c>
      <c r="D164" s="28">
        <f t="shared" si="69"/>
        <v>358716</v>
      </c>
      <c r="E164" s="28">
        <f t="shared" si="69"/>
        <v>385502</v>
      </c>
      <c r="F164" s="28">
        <f t="shared" si="69"/>
        <v>434900</v>
      </c>
      <c r="G164" s="28">
        <f t="shared" si="69"/>
        <v>472991</v>
      </c>
      <c r="H164" s="28">
        <f t="shared" si="69"/>
        <v>489389</v>
      </c>
      <c r="I164" s="28">
        <f t="shared" si="69"/>
        <v>497741</v>
      </c>
      <c r="J164" s="28">
        <f t="shared" si="69"/>
        <v>454149</v>
      </c>
      <c r="K164" s="28">
        <f t="shared" si="69"/>
        <v>419622</v>
      </c>
      <c r="L164" s="28">
        <f t="shared" si="69"/>
        <v>375623</v>
      </c>
      <c r="M164" s="28">
        <f t="shared" si="69"/>
        <v>360549</v>
      </c>
      <c r="N164" s="21">
        <f>SUM(B164:M164)</f>
        <v>5100037</v>
      </c>
    </row>
    <row r="165" spans="1:16">
      <c r="A165" s="26" t="s">
        <v>20</v>
      </c>
      <c r="B165" s="30">
        <f>B140</f>
        <v>1.59</v>
      </c>
      <c r="C165" s="30">
        <f t="shared" ref="C165:M165" si="70">C140</f>
        <v>1.59</v>
      </c>
      <c r="D165" s="30">
        <f t="shared" si="70"/>
        <v>1.59</v>
      </c>
      <c r="E165" s="30">
        <f t="shared" si="70"/>
        <v>1.59</v>
      </c>
      <c r="F165" s="30">
        <f t="shared" si="70"/>
        <v>1.59</v>
      </c>
      <c r="G165" s="30">
        <f t="shared" si="70"/>
        <v>1.59</v>
      </c>
      <c r="H165" s="30">
        <f t="shared" si="70"/>
        <v>1.59</v>
      </c>
      <c r="I165" s="30">
        <f t="shared" si="70"/>
        <v>1.59</v>
      </c>
      <c r="J165" s="30">
        <f t="shared" si="70"/>
        <v>1.59</v>
      </c>
      <c r="K165" s="30">
        <f t="shared" si="70"/>
        <v>1.59</v>
      </c>
      <c r="L165" s="30">
        <f t="shared" si="70"/>
        <v>1.59</v>
      </c>
      <c r="M165" s="30">
        <f t="shared" si="70"/>
        <v>1.59</v>
      </c>
      <c r="N165" s="20"/>
    </row>
    <row r="166" spans="1:16">
      <c r="A166" s="26" t="s">
        <v>17</v>
      </c>
      <c r="B166" s="199">
        <f t="shared" ref="B166:M166" si="71">B164*B165</f>
        <v>700720.95000000007</v>
      </c>
      <c r="C166" s="199">
        <f t="shared" si="71"/>
        <v>652138.5</v>
      </c>
      <c r="D166" s="199">
        <f t="shared" si="71"/>
        <v>570358.44000000006</v>
      </c>
      <c r="E166" s="199">
        <f t="shared" si="71"/>
        <v>612948.18000000005</v>
      </c>
      <c r="F166" s="199">
        <f t="shared" si="71"/>
        <v>691491</v>
      </c>
      <c r="G166" s="199">
        <f t="shared" si="71"/>
        <v>752055.69000000006</v>
      </c>
      <c r="H166" s="199">
        <f t="shared" si="71"/>
        <v>778128.51</v>
      </c>
      <c r="I166" s="199">
        <f t="shared" si="71"/>
        <v>791408.19000000006</v>
      </c>
      <c r="J166" s="199">
        <f t="shared" si="71"/>
        <v>722096.91</v>
      </c>
      <c r="K166" s="199">
        <f t="shared" si="71"/>
        <v>667198.98</v>
      </c>
      <c r="L166" s="199">
        <f t="shared" si="71"/>
        <v>597240.57000000007</v>
      </c>
      <c r="M166" s="199">
        <f t="shared" si="71"/>
        <v>573272.91</v>
      </c>
      <c r="N166" s="199">
        <f>SUM(B166:M166)</f>
        <v>8109058.8300000019</v>
      </c>
    </row>
    <row r="167" spans="1:16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6">
      <c r="A168" s="26" t="s">
        <v>141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6">
      <c r="A169" s="27" t="s">
        <v>40</v>
      </c>
      <c r="B169" s="28">
        <f>B162</f>
        <v>432700</v>
      </c>
      <c r="C169" s="28">
        <f t="shared" ref="C169:M169" si="72">C162</f>
        <v>402700</v>
      </c>
      <c r="D169" s="28">
        <f t="shared" si="72"/>
        <v>352200</v>
      </c>
      <c r="E169" s="28">
        <f t="shared" si="72"/>
        <v>378500</v>
      </c>
      <c r="F169" s="28">
        <f t="shared" si="72"/>
        <v>427000</v>
      </c>
      <c r="G169" s="28">
        <f t="shared" si="72"/>
        <v>464400</v>
      </c>
      <c r="H169" s="28">
        <f t="shared" si="72"/>
        <v>480500</v>
      </c>
      <c r="I169" s="28">
        <f t="shared" si="72"/>
        <v>488700</v>
      </c>
      <c r="J169" s="28">
        <f t="shared" si="72"/>
        <v>445900</v>
      </c>
      <c r="K169" s="28">
        <f t="shared" si="72"/>
        <v>412000</v>
      </c>
      <c r="L169" s="28">
        <f t="shared" si="72"/>
        <v>368800</v>
      </c>
      <c r="M169" s="28">
        <f t="shared" si="72"/>
        <v>354000</v>
      </c>
      <c r="N169" s="21">
        <f>SUM(B169:M169)</f>
        <v>5007400</v>
      </c>
    </row>
    <row r="170" spans="1:16">
      <c r="A170" s="27" t="s">
        <v>45</v>
      </c>
      <c r="B170" s="28">
        <f>ROUND(B169*'Transmission Formula Rate (7)'!$B$27,0)</f>
        <v>8005</v>
      </c>
      <c r="C170" s="28">
        <f>ROUND(C169*'Transmission Formula Rate (7)'!$B$27,0)</f>
        <v>7450</v>
      </c>
      <c r="D170" s="28">
        <f>ROUND(D169*'Transmission Formula Rate (7)'!$B$27,0)</f>
        <v>6516</v>
      </c>
      <c r="E170" s="28">
        <f>ROUND(E169*'Transmission Formula Rate (7)'!$B$27,0)</f>
        <v>7002</v>
      </c>
      <c r="F170" s="28">
        <f>ROUND(F169*'Transmission Formula Rate (7)'!$B$27,0)</f>
        <v>7900</v>
      </c>
      <c r="G170" s="28">
        <f>ROUND(G169*'Transmission Formula Rate (7)'!$B$27,0)</f>
        <v>8591</v>
      </c>
      <c r="H170" s="28">
        <f>ROUND(H169*'Transmission Formula Rate (7)'!$B$27,0)</f>
        <v>8889</v>
      </c>
      <c r="I170" s="28">
        <f>ROUND(I169*'Transmission Formula Rate (7)'!$B$27,0)</f>
        <v>9041</v>
      </c>
      <c r="J170" s="28">
        <f>ROUND(J169*'Transmission Formula Rate (7)'!$B$27,0)</f>
        <v>8249</v>
      </c>
      <c r="K170" s="28">
        <f>ROUND(K169*'Transmission Formula Rate (7)'!$B$27,0)</f>
        <v>7622</v>
      </c>
      <c r="L170" s="28">
        <f>ROUND(L169*'Transmission Formula Rate (7)'!$B$27,0)</f>
        <v>6823</v>
      </c>
      <c r="M170" s="28">
        <f>ROUND(M169*'Transmission Formula Rate (7)'!$B$27,0)</f>
        <v>6549</v>
      </c>
      <c r="N170" s="21">
        <f>SUM(B170:M170)</f>
        <v>92637</v>
      </c>
    </row>
    <row r="171" spans="1:16">
      <c r="A171" s="27" t="s">
        <v>46</v>
      </c>
      <c r="B171" s="28">
        <f t="shared" ref="B171:M171" si="73">B169+B170</f>
        <v>440705</v>
      </c>
      <c r="C171" s="28">
        <f t="shared" si="73"/>
        <v>410150</v>
      </c>
      <c r="D171" s="28">
        <f t="shared" si="73"/>
        <v>358716</v>
      </c>
      <c r="E171" s="28">
        <f t="shared" si="73"/>
        <v>385502</v>
      </c>
      <c r="F171" s="28">
        <f t="shared" si="73"/>
        <v>434900</v>
      </c>
      <c r="G171" s="28">
        <f t="shared" si="73"/>
        <v>472991</v>
      </c>
      <c r="H171" s="28">
        <f t="shared" si="73"/>
        <v>489389</v>
      </c>
      <c r="I171" s="28">
        <f t="shared" si="73"/>
        <v>497741</v>
      </c>
      <c r="J171" s="28">
        <f t="shared" si="73"/>
        <v>454149</v>
      </c>
      <c r="K171" s="28">
        <f t="shared" si="73"/>
        <v>419622</v>
      </c>
      <c r="L171" s="28">
        <f t="shared" si="73"/>
        <v>375623</v>
      </c>
      <c r="M171" s="28">
        <f t="shared" si="73"/>
        <v>360549</v>
      </c>
      <c r="N171" s="21">
        <f>SUM(B171:M171)</f>
        <v>5100037</v>
      </c>
    </row>
    <row r="172" spans="1:16">
      <c r="A172" s="26" t="s">
        <v>20</v>
      </c>
      <c r="B172" s="32">
        <f>'charges (1 &amp; 2)'!$H$27</f>
        <v>1.274E-2</v>
      </c>
      <c r="C172" s="32">
        <f>B172</f>
        <v>1.274E-2</v>
      </c>
      <c r="D172" s="32">
        <f t="shared" ref="D172" si="74">C172</f>
        <v>1.274E-2</v>
      </c>
      <c r="E172" s="32">
        <f t="shared" ref="E172" si="75">D172</f>
        <v>1.274E-2</v>
      </c>
      <c r="F172" s="32">
        <f t="shared" ref="F172" si="76">E172</f>
        <v>1.274E-2</v>
      </c>
      <c r="G172" s="32">
        <f t="shared" ref="G172" si="77">F172</f>
        <v>1.274E-2</v>
      </c>
      <c r="H172" s="32">
        <f t="shared" ref="H172" si="78">G172</f>
        <v>1.274E-2</v>
      </c>
      <c r="I172" s="32">
        <f t="shared" ref="I172" si="79">H172</f>
        <v>1.274E-2</v>
      </c>
      <c r="J172" s="32">
        <f t="shared" ref="J172" si="80">I172</f>
        <v>1.274E-2</v>
      </c>
      <c r="K172" s="32">
        <f t="shared" ref="K172" si="81">J172</f>
        <v>1.274E-2</v>
      </c>
      <c r="L172" s="32">
        <f t="shared" ref="L172" si="82">K172</f>
        <v>1.274E-2</v>
      </c>
      <c r="M172" s="32">
        <f t="shared" ref="M172" si="83">L172</f>
        <v>1.274E-2</v>
      </c>
      <c r="N172" s="20"/>
    </row>
    <row r="173" spans="1:16">
      <c r="A173" s="26" t="s">
        <v>17</v>
      </c>
      <c r="B173" s="199">
        <f t="shared" ref="B173:M173" si="84">B171*B172</f>
        <v>5614.5816999999997</v>
      </c>
      <c r="C173" s="199">
        <f t="shared" si="84"/>
        <v>5225.3109999999997</v>
      </c>
      <c r="D173" s="199">
        <f t="shared" si="84"/>
        <v>4570.0418399999999</v>
      </c>
      <c r="E173" s="199">
        <f t="shared" si="84"/>
        <v>4911.2954799999998</v>
      </c>
      <c r="F173" s="199">
        <f t="shared" si="84"/>
        <v>5540.6260000000002</v>
      </c>
      <c r="G173" s="199">
        <f t="shared" si="84"/>
        <v>6025.9053400000003</v>
      </c>
      <c r="H173" s="199">
        <f t="shared" si="84"/>
        <v>6234.8158599999997</v>
      </c>
      <c r="I173" s="199">
        <f t="shared" si="84"/>
        <v>6341.2203399999999</v>
      </c>
      <c r="J173" s="199">
        <f t="shared" si="84"/>
        <v>5785.85826</v>
      </c>
      <c r="K173" s="199">
        <f t="shared" si="84"/>
        <v>5345.9842799999997</v>
      </c>
      <c r="L173" s="199">
        <f t="shared" si="84"/>
        <v>4785.4370199999994</v>
      </c>
      <c r="M173" s="199">
        <f t="shared" si="84"/>
        <v>4593.39426</v>
      </c>
      <c r="N173" s="199">
        <f>SUM(B173:M173)</f>
        <v>64974.471379999995</v>
      </c>
    </row>
    <row r="174" spans="1:16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6">
      <c r="A175" s="26" t="s">
        <v>38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6">
      <c r="A176" s="27" t="s">
        <v>40</v>
      </c>
      <c r="B176" s="28">
        <f>B162</f>
        <v>432700</v>
      </c>
      <c r="C176" s="28">
        <f t="shared" ref="C176:M176" si="85">C162</f>
        <v>402700</v>
      </c>
      <c r="D176" s="28">
        <f t="shared" si="85"/>
        <v>352200</v>
      </c>
      <c r="E176" s="28">
        <f t="shared" si="85"/>
        <v>378500</v>
      </c>
      <c r="F176" s="28">
        <f t="shared" si="85"/>
        <v>427000</v>
      </c>
      <c r="G176" s="28">
        <f t="shared" si="85"/>
        <v>464400</v>
      </c>
      <c r="H176" s="28">
        <f t="shared" si="85"/>
        <v>480500</v>
      </c>
      <c r="I176" s="28">
        <f t="shared" si="85"/>
        <v>488700</v>
      </c>
      <c r="J176" s="28">
        <f t="shared" si="85"/>
        <v>445900</v>
      </c>
      <c r="K176" s="28">
        <f t="shared" si="85"/>
        <v>412000</v>
      </c>
      <c r="L176" s="28">
        <f t="shared" si="85"/>
        <v>368800</v>
      </c>
      <c r="M176" s="28">
        <f t="shared" si="85"/>
        <v>354000</v>
      </c>
      <c r="N176" s="21">
        <f>SUM(B176:M176)</f>
        <v>5007400</v>
      </c>
    </row>
    <row r="177" spans="1:14">
      <c r="A177" s="27" t="s">
        <v>45</v>
      </c>
      <c r="B177" s="28">
        <f>ROUND(B176*'Transmission Formula Rate (7)'!$B$27,0)</f>
        <v>8005</v>
      </c>
      <c r="C177" s="28">
        <f>ROUND(C176*'Transmission Formula Rate (7)'!$B$27,0)</f>
        <v>7450</v>
      </c>
      <c r="D177" s="28">
        <f>ROUND(D176*'Transmission Formula Rate (7)'!$B$27,0)</f>
        <v>6516</v>
      </c>
      <c r="E177" s="28">
        <f>ROUND(E176*'Transmission Formula Rate (7)'!$B$27,0)</f>
        <v>7002</v>
      </c>
      <c r="F177" s="28">
        <f>ROUND(F176*'Transmission Formula Rate (7)'!$B$27,0)</f>
        <v>7900</v>
      </c>
      <c r="G177" s="28">
        <f>ROUND(G176*'Transmission Formula Rate (7)'!$B$27,0)</f>
        <v>8591</v>
      </c>
      <c r="H177" s="28">
        <f>ROUND(H176*'Transmission Formula Rate (7)'!$B$27,0)</f>
        <v>8889</v>
      </c>
      <c r="I177" s="28">
        <f>ROUND(I176*'Transmission Formula Rate (7)'!$B$27,0)</f>
        <v>9041</v>
      </c>
      <c r="J177" s="28">
        <f>ROUND(J176*'Transmission Formula Rate (7)'!$B$27,0)</f>
        <v>8249</v>
      </c>
      <c r="K177" s="28">
        <f>ROUND(K176*'Transmission Formula Rate (7)'!$B$27,0)</f>
        <v>7622</v>
      </c>
      <c r="L177" s="28">
        <f>ROUND(L176*'Transmission Formula Rate (7)'!$B$27,0)</f>
        <v>6823</v>
      </c>
      <c r="M177" s="28">
        <f>ROUND(M176*'Transmission Formula Rate (7)'!$B$27,0)</f>
        <v>6549</v>
      </c>
      <c r="N177" s="21">
        <f>SUM(B177:M177)</f>
        <v>92637</v>
      </c>
    </row>
    <row r="178" spans="1:14">
      <c r="A178" s="27" t="s">
        <v>46</v>
      </c>
      <c r="B178" s="28">
        <f t="shared" ref="B178:M178" si="86">B176+B177</f>
        <v>440705</v>
      </c>
      <c r="C178" s="28">
        <f t="shared" si="86"/>
        <v>410150</v>
      </c>
      <c r="D178" s="28">
        <f t="shared" si="86"/>
        <v>358716</v>
      </c>
      <c r="E178" s="28">
        <f t="shared" si="86"/>
        <v>385502</v>
      </c>
      <c r="F178" s="28">
        <f t="shared" si="86"/>
        <v>434900</v>
      </c>
      <c r="G178" s="28">
        <f t="shared" si="86"/>
        <v>472991</v>
      </c>
      <c r="H178" s="28">
        <f t="shared" si="86"/>
        <v>489389</v>
      </c>
      <c r="I178" s="28">
        <f t="shared" si="86"/>
        <v>497741</v>
      </c>
      <c r="J178" s="28">
        <f t="shared" si="86"/>
        <v>454149</v>
      </c>
      <c r="K178" s="28">
        <f t="shared" si="86"/>
        <v>419622</v>
      </c>
      <c r="L178" s="28">
        <f t="shared" si="86"/>
        <v>375623</v>
      </c>
      <c r="M178" s="28">
        <f t="shared" si="86"/>
        <v>360549</v>
      </c>
      <c r="N178" s="21">
        <f>SUM(B178:M178)</f>
        <v>5100037</v>
      </c>
    </row>
    <row r="179" spans="1:14">
      <c r="A179" s="26" t="s">
        <v>20</v>
      </c>
      <c r="B179" s="32">
        <f>'charges (1 &amp; 2)'!$G$26</f>
        <v>7.0000000000000007E-2</v>
      </c>
      <c r="C179" s="32">
        <f>'charges (1 &amp; 2)'!$G$26</f>
        <v>7.0000000000000007E-2</v>
      </c>
      <c r="D179" s="32">
        <f>'charges (1 &amp; 2)'!$G$26</f>
        <v>7.0000000000000007E-2</v>
      </c>
      <c r="E179" s="32">
        <f>'charges (1 &amp; 2)'!$G$26</f>
        <v>7.0000000000000007E-2</v>
      </c>
      <c r="F179" s="32">
        <f>'charges (1 &amp; 2)'!$G$26</f>
        <v>7.0000000000000007E-2</v>
      </c>
      <c r="G179" s="32">
        <f>'charges (1 &amp; 2)'!$G$26</f>
        <v>7.0000000000000007E-2</v>
      </c>
      <c r="H179" s="32">
        <f>'charges (1 &amp; 2)'!$G$26</f>
        <v>7.0000000000000007E-2</v>
      </c>
      <c r="I179" s="32">
        <f>'charges (1 &amp; 2)'!$G$26</f>
        <v>7.0000000000000007E-2</v>
      </c>
      <c r="J179" s="32">
        <f>'charges (1 &amp; 2)'!$G$26</f>
        <v>7.0000000000000007E-2</v>
      </c>
      <c r="K179" s="32">
        <f>'charges (1 &amp; 2)'!$G$26</f>
        <v>7.0000000000000007E-2</v>
      </c>
      <c r="L179" s="32">
        <f>'charges (1 &amp; 2)'!$G$26</f>
        <v>7.0000000000000007E-2</v>
      </c>
      <c r="M179" s="32">
        <f>'charges (1 &amp; 2)'!$G$26</f>
        <v>7.0000000000000007E-2</v>
      </c>
      <c r="N179" s="20"/>
    </row>
    <row r="180" spans="1:14">
      <c r="A180" s="26" t="s">
        <v>17</v>
      </c>
      <c r="B180" s="199">
        <f t="shared" ref="B180:M180" si="87">B178*B179</f>
        <v>30849.350000000002</v>
      </c>
      <c r="C180" s="199">
        <f t="shared" si="87"/>
        <v>28710.500000000004</v>
      </c>
      <c r="D180" s="199">
        <f t="shared" si="87"/>
        <v>25110.120000000003</v>
      </c>
      <c r="E180" s="199">
        <f t="shared" si="87"/>
        <v>26985.140000000003</v>
      </c>
      <c r="F180" s="199">
        <f t="shared" si="87"/>
        <v>30443.000000000004</v>
      </c>
      <c r="G180" s="199">
        <f t="shared" si="87"/>
        <v>33109.370000000003</v>
      </c>
      <c r="H180" s="199">
        <f t="shared" si="87"/>
        <v>34257.230000000003</v>
      </c>
      <c r="I180" s="199">
        <f t="shared" si="87"/>
        <v>34841.870000000003</v>
      </c>
      <c r="J180" s="199">
        <f t="shared" si="87"/>
        <v>31790.430000000004</v>
      </c>
      <c r="K180" s="199">
        <f t="shared" si="87"/>
        <v>29373.540000000005</v>
      </c>
      <c r="L180" s="199">
        <f t="shared" si="87"/>
        <v>26293.610000000004</v>
      </c>
      <c r="M180" s="199">
        <f t="shared" si="87"/>
        <v>25238.430000000004</v>
      </c>
      <c r="N180" s="199">
        <f>SUM(B180:M180)</f>
        <v>357002.58999999997</v>
      </c>
    </row>
    <row r="181" spans="1:14">
      <c r="A181" s="26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</row>
    <row r="182" spans="1:14">
      <c r="A182" s="26" t="s">
        <v>25</v>
      </c>
      <c r="B182" s="198">
        <f>B166+B180+B173</f>
        <v>737184.88170000003</v>
      </c>
      <c r="C182" s="198">
        <f t="shared" ref="C182:M182" si="88">C166+C180+C173</f>
        <v>686074.31099999999</v>
      </c>
      <c r="D182" s="198">
        <f t="shared" si="88"/>
        <v>600038.60184000002</v>
      </c>
      <c r="E182" s="198">
        <f t="shared" si="88"/>
        <v>644844.61548000004</v>
      </c>
      <c r="F182" s="198">
        <f t="shared" si="88"/>
        <v>727474.62600000005</v>
      </c>
      <c r="G182" s="198">
        <f t="shared" si="88"/>
        <v>791190.96534000011</v>
      </c>
      <c r="H182" s="198">
        <f t="shared" si="88"/>
        <v>818620.55585999996</v>
      </c>
      <c r="I182" s="198">
        <f t="shared" si="88"/>
        <v>832591.28034000006</v>
      </c>
      <c r="J182" s="198">
        <f t="shared" si="88"/>
        <v>759673.19826000009</v>
      </c>
      <c r="K182" s="198">
        <f t="shared" si="88"/>
        <v>701918.50427999999</v>
      </c>
      <c r="L182" s="198">
        <f t="shared" si="88"/>
        <v>628319.61702000001</v>
      </c>
      <c r="M182" s="198">
        <f t="shared" si="88"/>
        <v>603104.73426000006</v>
      </c>
      <c r="N182" s="198">
        <f>SUM(B182:M182)</f>
        <v>8531035.8913800009</v>
      </c>
    </row>
  </sheetData>
  <phoneticPr fontId="23" type="noConversion"/>
  <pageMargins left="0.19" right="0.2" top="0.8" bottom="0.46" header="0.56000000000000005" footer="0.18"/>
  <pageSetup pageOrder="overThenDown" orientation="landscape" r:id="rId1"/>
  <headerFooter alignWithMargins="0">
    <oddHeader>&amp;A</oddHeader>
    <oddFooter>&amp;Z&amp;F</oddFooter>
  </headerFooter>
  <rowBreaks count="5" manualBreakCount="5">
    <brk id="32" max="16383" man="1"/>
    <brk id="57" max="16383" man="1"/>
    <brk id="82" max="16383" man="1"/>
    <brk id="107" max="16383" man="1"/>
    <brk id="133" max="13" man="1"/>
  </rowBreaks>
  <colBreaks count="1" manualBreakCount="1">
    <brk id="14" min="3" max="131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R59"/>
  <sheetViews>
    <sheetView zoomScaleNormal="100" zoomScaleSheetLayoutView="100" workbookViewId="0">
      <selection activeCell="A2" sqref="A1:A2"/>
    </sheetView>
  </sheetViews>
  <sheetFormatPr defaultColWidth="8" defaultRowHeight="13.2"/>
  <cols>
    <col min="1" max="1" width="11.88671875" style="97" customWidth="1"/>
    <col min="2" max="2" width="8" style="97" customWidth="1"/>
    <col min="3" max="3" width="8.88671875" style="97" customWidth="1"/>
    <col min="4" max="4" width="9" style="97" customWidth="1"/>
    <col min="5" max="5" width="10.44140625" style="97" customWidth="1"/>
    <col min="6" max="6" width="9.77734375" style="97" customWidth="1"/>
    <col min="7" max="7" width="10.109375" style="97" customWidth="1"/>
    <col min="8" max="8" width="10.33203125" style="97" customWidth="1"/>
    <col min="9" max="9" width="11.109375" style="97" customWidth="1"/>
    <col min="10" max="10" width="9.109375" style="97" customWidth="1"/>
    <col min="11" max="11" width="10.21875" style="97" customWidth="1"/>
    <col min="12" max="12" width="10.88671875" style="97" customWidth="1"/>
    <col min="13" max="13" width="9.109375" style="97" customWidth="1"/>
    <col min="14" max="15" width="9.88671875" style="97" customWidth="1"/>
    <col min="16" max="16" width="10.21875" style="97" customWidth="1"/>
    <col min="17" max="16384" width="8" style="97"/>
  </cols>
  <sheetData>
    <row r="1" spans="1:18">
      <c r="A1" s="480" t="s">
        <v>507</v>
      </c>
    </row>
    <row r="2" spans="1:18">
      <c r="A2" s="480" t="s">
        <v>473</v>
      </c>
    </row>
    <row r="4" spans="1:18" ht="17.399999999999999">
      <c r="A4" s="113" t="s">
        <v>130</v>
      </c>
      <c r="L4" s="375" t="s">
        <v>289</v>
      </c>
      <c r="M4" s="376" t="s">
        <v>348</v>
      </c>
    </row>
    <row r="5" spans="1:18" ht="22.8">
      <c r="A5" s="113"/>
      <c r="E5" s="176"/>
      <c r="F5" s="176"/>
      <c r="G5" s="179" t="s">
        <v>385</v>
      </c>
      <c r="H5" s="177"/>
      <c r="I5" s="177"/>
      <c r="J5" s="177"/>
      <c r="K5" s="177"/>
      <c r="L5" s="177"/>
      <c r="M5" s="391" t="s">
        <v>320</v>
      </c>
      <c r="N5" s="204"/>
      <c r="O5" s="204"/>
      <c r="P5" s="204"/>
    </row>
    <row r="6" spans="1:18">
      <c r="E6" s="98"/>
      <c r="F6" s="98"/>
      <c r="G6" s="98"/>
      <c r="H6" s="98"/>
      <c r="I6" s="98"/>
      <c r="J6" s="98"/>
      <c r="K6" s="98"/>
      <c r="L6" s="98"/>
      <c r="M6" s="100"/>
      <c r="N6" s="160"/>
      <c r="O6" s="100"/>
      <c r="P6" s="100"/>
    </row>
    <row r="7" spans="1:18">
      <c r="A7" s="159"/>
      <c r="B7" s="159"/>
      <c r="C7" s="159"/>
      <c r="D7" s="100"/>
      <c r="E7" s="99"/>
      <c r="F7" s="99"/>
      <c r="G7" s="99"/>
      <c r="H7" s="99"/>
      <c r="I7" s="99"/>
      <c r="J7" s="99"/>
      <c r="K7" s="99"/>
      <c r="L7" s="99"/>
      <c r="M7" s="100"/>
      <c r="N7" s="159"/>
      <c r="O7" s="159"/>
      <c r="P7" s="100"/>
    </row>
    <row r="8" spans="1:18">
      <c r="A8" s="232" t="s">
        <v>292</v>
      </c>
      <c r="B8" s="233"/>
      <c r="C8" s="234"/>
    </row>
    <row r="9" spans="1:18">
      <c r="A9" s="377" t="s">
        <v>293</v>
      </c>
      <c r="B9" s="235"/>
      <c r="C9" s="236"/>
      <c r="D9" s="122" t="s">
        <v>62</v>
      </c>
      <c r="E9" s="122" t="s">
        <v>63</v>
      </c>
      <c r="F9" s="122" t="s">
        <v>64</v>
      </c>
      <c r="G9" s="122" t="s">
        <v>65</v>
      </c>
      <c r="H9" s="122" t="s">
        <v>4</v>
      </c>
      <c r="I9" s="122" t="s">
        <v>66</v>
      </c>
      <c r="J9" s="122" t="s">
        <v>67</v>
      </c>
      <c r="K9" s="122" t="s">
        <v>68</v>
      </c>
      <c r="L9" s="122" t="s">
        <v>69</v>
      </c>
      <c r="M9" s="122" t="s">
        <v>70</v>
      </c>
      <c r="N9" s="122" t="s">
        <v>71</v>
      </c>
      <c r="O9" s="122" t="s">
        <v>72</v>
      </c>
    </row>
    <row r="10" spans="1:18">
      <c r="C10" s="121" t="s">
        <v>83</v>
      </c>
      <c r="D10" s="205">
        <v>185.6</v>
      </c>
      <c r="E10" s="205">
        <v>159.4</v>
      </c>
      <c r="F10" s="205">
        <v>102.7</v>
      </c>
      <c r="G10" s="205">
        <v>114</v>
      </c>
      <c r="H10" s="205">
        <v>141.80000000000001</v>
      </c>
      <c r="I10" s="205">
        <v>155.4</v>
      </c>
      <c r="J10" s="205">
        <v>164.6</v>
      </c>
      <c r="K10" s="205">
        <v>162.6</v>
      </c>
      <c r="L10" s="205">
        <v>145.6</v>
      </c>
      <c r="M10" s="205">
        <v>124.3</v>
      </c>
      <c r="N10" s="205">
        <v>102</v>
      </c>
      <c r="O10" s="205">
        <v>124</v>
      </c>
      <c r="P10" s="103"/>
    </row>
    <row r="11" spans="1:18">
      <c r="C11" s="120" t="s">
        <v>84</v>
      </c>
      <c r="D11" s="205">
        <v>27.4</v>
      </c>
      <c r="E11" s="205">
        <v>24</v>
      </c>
      <c r="F11" s="205">
        <v>16.8</v>
      </c>
      <c r="G11" s="205">
        <v>18.3</v>
      </c>
      <c r="H11" s="205">
        <v>22.8</v>
      </c>
      <c r="I11" s="205">
        <v>24.3</v>
      </c>
      <c r="J11" s="205">
        <v>24.6</v>
      </c>
      <c r="K11" s="205">
        <v>25.7</v>
      </c>
      <c r="L11" s="205">
        <v>23.2</v>
      </c>
      <c r="M11" s="205">
        <v>19.8</v>
      </c>
      <c r="N11" s="205">
        <v>17.100000000000001</v>
      </c>
      <c r="O11" s="205">
        <v>20.8</v>
      </c>
      <c r="P11" s="103"/>
    </row>
    <row r="12" spans="1:18">
      <c r="C12" s="120" t="s">
        <v>85</v>
      </c>
      <c r="D12" s="205">
        <v>18.899999999999999</v>
      </c>
      <c r="E12" s="205">
        <v>16.600000000000001</v>
      </c>
      <c r="F12" s="205">
        <v>19.2</v>
      </c>
      <c r="G12" s="205">
        <v>17</v>
      </c>
      <c r="H12" s="205">
        <v>19.100000000000001</v>
      </c>
      <c r="I12" s="205">
        <v>19.600000000000001</v>
      </c>
      <c r="J12" s="205">
        <v>19.7</v>
      </c>
      <c r="K12" s="205">
        <v>22.8</v>
      </c>
      <c r="L12" s="205">
        <v>19.3</v>
      </c>
      <c r="M12" s="205">
        <v>19.899999999999999</v>
      </c>
      <c r="N12" s="205">
        <v>20.2</v>
      </c>
      <c r="O12" s="205">
        <v>17.8</v>
      </c>
      <c r="P12" s="103"/>
    </row>
    <row r="13" spans="1:18">
      <c r="C13" s="120" t="s">
        <v>86</v>
      </c>
      <c r="D13" s="205">
        <v>15.5</v>
      </c>
      <c r="E13" s="205">
        <v>14.2</v>
      </c>
      <c r="F13" s="205">
        <v>10.4</v>
      </c>
      <c r="G13" s="205">
        <v>10.5</v>
      </c>
      <c r="H13" s="205">
        <v>13.5</v>
      </c>
      <c r="I13" s="205">
        <v>14.7</v>
      </c>
      <c r="J13" s="205">
        <v>15.2</v>
      </c>
      <c r="K13" s="205">
        <v>16</v>
      </c>
      <c r="L13" s="205">
        <v>14.1</v>
      </c>
      <c r="M13" s="205">
        <v>11.9</v>
      </c>
      <c r="N13" s="205">
        <v>10.8</v>
      </c>
      <c r="O13" s="205">
        <v>11.7</v>
      </c>
      <c r="P13" s="103"/>
    </row>
    <row r="14" spans="1:18">
      <c r="C14" s="120" t="s">
        <v>87</v>
      </c>
      <c r="D14" s="205">
        <v>79.2</v>
      </c>
      <c r="E14" s="205">
        <v>83</v>
      </c>
      <c r="F14" s="205">
        <v>103.3</v>
      </c>
      <c r="G14" s="205">
        <v>114.3</v>
      </c>
      <c r="H14" s="205">
        <v>117.7</v>
      </c>
      <c r="I14" s="205">
        <v>128.69999999999999</v>
      </c>
      <c r="J14" s="205">
        <v>130.5</v>
      </c>
      <c r="K14" s="205">
        <v>131.9</v>
      </c>
      <c r="L14" s="205">
        <v>123.8</v>
      </c>
      <c r="M14" s="205">
        <v>119.3</v>
      </c>
      <c r="N14" s="205">
        <v>108</v>
      </c>
      <c r="O14" s="205">
        <v>83.8</v>
      </c>
      <c r="P14" s="103"/>
    </row>
    <row r="15" spans="1:18">
      <c r="C15" s="120" t="s">
        <v>88</v>
      </c>
      <c r="D15" s="205">
        <v>106.8</v>
      </c>
      <c r="E15" s="205">
        <v>86.4</v>
      </c>
      <c r="F15" s="205">
        <v>83.1</v>
      </c>
      <c r="G15" s="205">
        <v>86.4</v>
      </c>
      <c r="H15" s="205">
        <v>91.8</v>
      </c>
      <c r="I15" s="205">
        <v>99.7</v>
      </c>
      <c r="J15" s="205">
        <v>103.1</v>
      </c>
      <c r="K15" s="205">
        <v>106.5</v>
      </c>
      <c r="L15" s="205">
        <v>98.7</v>
      </c>
      <c r="M15" s="205">
        <v>97.2</v>
      </c>
      <c r="N15" s="205">
        <v>93.2</v>
      </c>
      <c r="O15" s="205">
        <v>79.099999999999994</v>
      </c>
      <c r="P15" s="103"/>
    </row>
    <row r="16" spans="1:18">
      <c r="B16" s="104"/>
      <c r="C16" s="105" t="s">
        <v>33</v>
      </c>
      <c r="D16" s="106">
        <f t="shared" ref="D16:O16" si="0">SUM(D10:D15)</f>
        <v>433.40000000000003</v>
      </c>
      <c r="E16" s="107">
        <f t="shared" si="0"/>
        <v>383.6</v>
      </c>
      <c r="F16" s="107">
        <f t="shared" si="0"/>
        <v>335.5</v>
      </c>
      <c r="G16" s="107">
        <f t="shared" si="0"/>
        <v>360.5</v>
      </c>
      <c r="H16" s="107">
        <f t="shared" si="0"/>
        <v>406.70000000000005</v>
      </c>
      <c r="I16" s="107">
        <f t="shared" si="0"/>
        <v>442.4</v>
      </c>
      <c r="J16" s="108">
        <f t="shared" si="0"/>
        <v>457.69999999999993</v>
      </c>
      <c r="K16" s="106">
        <f t="shared" si="0"/>
        <v>465.5</v>
      </c>
      <c r="L16" s="107">
        <f t="shared" si="0"/>
        <v>424.7</v>
      </c>
      <c r="M16" s="107">
        <f t="shared" si="0"/>
        <v>392.4</v>
      </c>
      <c r="N16" s="107">
        <f t="shared" si="0"/>
        <v>351.3</v>
      </c>
      <c r="O16" s="107">
        <f t="shared" si="0"/>
        <v>337.20000000000005</v>
      </c>
      <c r="P16" s="103">
        <f>SUM(D16:O16)</f>
        <v>4790.8999999999996</v>
      </c>
      <c r="R16" s="103"/>
    </row>
    <row r="17" spans="1:18">
      <c r="B17" s="109" t="s">
        <v>89</v>
      </c>
      <c r="C17" s="104"/>
      <c r="D17" s="110">
        <f>+D16/$K$16</f>
        <v>0.93104189044038677</v>
      </c>
      <c r="E17" s="110">
        <f>+E16/$K$16</f>
        <v>0.82406015037593994</v>
      </c>
      <c r="F17" s="110">
        <f t="shared" ref="F17:O17" si="1">+F16/$K$16</f>
        <v>0.72073039742212675</v>
      </c>
      <c r="G17" s="110">
        <f t="shared" si="1"/>
        <v>0.77443609022556392</v>
      </c>
      <c r="H17" s="110">
        <f t="shared" si="1"/>
        <v>0.87368421052631584</v>
      </c>
      <c r="I17" s="110">
        <f t="shared" si="1"/>
        <v>0.95037593984962399</v>
      </c>
      <c r="J17" s="110">
        <f t="shared" si="1"/>
        <v>0.98324382384532749</v>
      </c>
      <c r="K17" s="110">
        <f t="shared" si="1"/>
        <v>1</v>
      </c>
      <c r="L17" s="110">
        <f t="shared" si="1"/>
        <v>0.9123523093447905</v>
      </c>
      <c r="M17" s="110">
        <f t="shared" si="1"/>
        <v>0.84296455424274963</v>
      </c>
      <c r="N17" s="110">
        <f t="shared" si="1"/>
        <v>0.75467239527389907</v>
      </c>
      <c r="O17" s="110">
        <f t="shared" si="1"/>
        <v>0.7243823845327606</v>
      </c>
      <c r="P17" s="102"/>
    </row>
    <row r="18" spans="1:18">
      <c r="B18" s="123" t="s">
        <v>61</v>
      </c>
      <c r="C18" s="120"/>
      <c r="D18" s="206"/>
      <c r="E18" s="178"/>
      <c r="F18" s="178"/>
      <c r="G18" s="178"/>
      <c r="H18" s="178"/>
      <c r="I18" s="178"/>
      <c r="J18" s="178"/>
      <c r="K18" s="237"/>
      <c r="L18" s="178"/>
      <c r="M18" s="178"/>
      <c r="N18" s="178"/>
      <c r="O18" s="178"/>
      <c r="P18" s="119">
        <f t="shared" ref="P18:P23" si="2">SUM(D18:O18)</f>
        <v>0</v>
      </c>
      <c r="Q18" s="112">
        <f>(+P18-P16)/P16</f>
        <v>-1</v>
      </c>
      <c r="R18" s="102"/>
    </row>
    <row r="19" spans="1:18">
      <c r="B19" s="123"/>
      <c r="C19" s="120">
        <v>2014</v>
      </c>
      <c r="D19" s="206">
        <f>$I$31</f>
        <v>413.2</v>
      </c>
      <c r="E19" s="178">
        <f>ROUND(+$K19*E$17,1)</f>
        <v>385.5</v>
      </c>
      <c r="F19" s="178">
        <f>ROUND(+$K19*F$17,1)</f>
        <v>337.2</v>
      </c>
      <c r="G19" s="178">
        <f t="shared" ref="E19:J25" si="3">ROUND(+$K19*G$17,1)</f>
        <v>362.3</v>
      </c>
      <c r="H19" s="178">
        <f t="shared" si="3"/>
        <v>408.7</v>
      </c>
      <c r="I19" s="178">
        <f t="shared" si="3"/>
        <v>444.6</v>
      </c>
      <c r="J19" s="178">
        <f t="shared" si="3"/>
        <v>460</v>
      </c>
      <c r="K19" s="237">
        <f>$I$32</f>
        <v>467.8</v>
      </c>
      <c r="L19" s="178">
        <f t="shared" ref="L19:O25" si="4">ROUND(+$K19*L$17,1)</f>
        <v>426.8</v>
      </c>
      <c r="M19" s="178">
        <f t="shared" si="4"/>
        <v>394.3</v>
      </c>
      <c r="N19" s="178">
        <f t="shared" si="4"/>
        <v>353</v>
      </c>
      <c r="O19" s="178">
        <f t="shared" si="4"/>
        <v>338.9</v>
      </c>
      <c r="P19" s="119">
        <f>SUM(D19:O19)</f>
        <v>4792.3</v>
      </c>
      <c r="Q19" s="112" t="e">
        <f t="shared" ref="Q19:Q24" si="5">(+P19-P18)/P18</f>
        <v>#DIV/0!</v>
      </c>
      <c r="R19" s="102"/>
    </row>
    <row r="20" spans="1:18">
      <c r="B20" s="123"/>
      <c r="C20" s="120">
        <f>C19+1</f>
        <v>2015</v>
      </c>
      <c r="D20" s="206">
        <f>$I$33</f>
        <v>416.70000000000005</v>
      </c>
      <c r="E20" s="178">
        <f t="shared" si="3"/>
        <v>388.5</v>
      </c>
      <c r="F20" s="178">
        <f t="shared" si="3"/>
        <v>339.8</v>
      </c>
      <c r="G20" s="178">
        <f t="shared" si="3"/>
        <v>365.1</v>
      </c>
      <c r="H20" s="178">
        <f t="shared" si="3"/>
        <v>411.9</v>
      </c>
      <c r="I20" s="178">
        <f t="shared" si="3"/>
        <v>448</v>
      </c>
      <c r="J20" s="178">
        <f t="shared" si="3"/>
        <v>463.5</v>
      </c>
      <c r="K20" s="237">
        <f>$I$34</f>
        <v>471.4</v>
      </c>
      <c r="L20" s="178">
        <f t="shared" si="4"/>
        <v>430.1</v>
      </c>
      <c r="M20" s="178">
        <f t="shared" si="4"/>
        <v>397.4</v>
      </c>
      <c r="N20" s="178">
        <f t="shared" si="4"/>
        <v>355.8</v>
      </c>
      <c r="O20" s="178">
        <f t="shared" si="4"/>
        <v>341.5</v>
      </c>
      <c r="P20" s="119">
        <f t="shared" si="2"/>
        <v>4829.7</v>
      </c>
      <c r="Q20" s="112">
        <f t="shared" si="5"/>
        <v>7.8041858815181926E-3</v>
      </c>
      <c r="R20" s="102"/>
    </row>
    <row r="21" spans="1:18">
      <c r="B21" s="123"/>
      <c r="C21" s="120">
        <f t="shared" ref="C21:C23" si="6">C20+1</f>
        <v>2016</v>
      </c>
      <c r="D21" s="206">
        <f>$I$35</f>
        <v>420.2</v>
      </c>
      <c r="E21" s="178">
        <f>ROUND(+$K21*E$17,1)</f>
        <v>391.6</v>
      </c>
      <c r="F21" s="178">
        <f t="shared" si="3"/>
        <v>342.5</v>
      </c>
      <c r="G21" s="178">
        <f t="shared" si="3"/>
        <v>368</v>
      </c>
      <c r="H21" s="178">
        <f t="shared" si="3"/>
        <v>415.2</v>
      </c>
      <c r="I21" s="178">
        <f t="shared" si="3"/>
        <v>451.6</v>
      </c>
      <c r="J21" s="178">
        <f t="shared" si="3"/>
        <v>467.2</v>
      </c>
      <c r="K21" s="237">
        <f>$I$36</f>
        <v>475.20000000000005</v>
      </c>
      <c r="L21" s="178">
        <f t="shared" si="4"/>
        <v>433.5</v>
      </c>
      <c r="M21" s="178">
        <f t="shared" si="4"/>
        <v>400.6</v>
      </c>
      <c r="N21" s="178">
        <f t="shared" si="4"/>
        <v>358.6</v>
      </c>
      <c r="O21" s="178">
        <f t="shared" si="4"/>
        <v>344.2</v>
      </c>
      <c r="P21" s="119">
        <f t="shared" si="2"/>
        <v>4868.4000000000005</v>
      </c>
      <c r="Q21" s="112">
        <f t="shared" si="5"/>
        <v>8.0129200571465581E-3</v>
      </c>
      <c r="R21" s="102"/>
    </row>
    <row r="22" spans="1:18">
      <c r="B22" s="123"/>
      <c r="C22" s="120">
        <f t="shared" si="6"/>
        <v>2017</v>
      </c>
      <c r="D22" s="206">
        <f>$I$37</f>
        <v>423.8</v>
      </c>
      <c r="E22" s="178">
        <f>ROUND(+$K22*E$17,1)</f>
        <v>394.8</v>
      </c>
      <c r="F22" s="178">
        <f t="shared" si="3"/>
        <v>345.3</v>
      </c>
      <c r="G22" s="178">
        <f t="shared" si="3"/>
        <v>371</v>
      </c>
      <c r="H22" s="178">
        <f t="shared" si="3"/>
        <v>418.6</v>
      </c>
      <c r="I22" s="178">
        <f t="shared" si="3"/>
        <v>455.3</v>
      </c>
      <c r="J22" s="178">
        <f t="shared" si="3"/>
        <v>471.1</v>
      </c>
      <c r="K22" s="237">
        <f>$I$38</f>
        <v>479.1</v>
      </c>
      <c r="L22" s="178">
        <f t="shared" si="4"/>
        <v>437.1</v>
      </c>
      <c r="M22" s="178">
        <f t="shared" si="4"/>
        <v>403.9</v>
      </c>
      <c r="N22" s="178">
        <f t="shared" si="4"/>
        <v>361.6</v>
      </c>
      <c r="O22" s="178">
        <f t="shared" si="4"/>
        <v>347.1</v>
      </c>
      <c r="P22" s="119">
        <f t="shared" si="2"/>
        <v>4908.7000000000007</v>
      </c>
      <c r="Q22" s="112">
        <f t="shared" si="5"/>
        <v>8.2778736340481836E-3</v>
      </c>
      <c r="R22" s="102"/>
    </row>
    <row r="23" spans="1:18">
      <c r="B23" s="123"/>
      <c r="C23" s="120">
        <f t="shared" si="6"/>
        <v>2018</v>
      </c>
      <c r="D23" s="206">
        <f>$I$39</f>
        <v>427.20000000000005</v>
      </c>
      <c r="E23" s="178">
        <f>ROUND(+$K23*E$17,1)</f>
        <v>398.2</v>
      </c>
      <c r="F23" s="178">
        <f>ROUND(+$K23*F$17,1)</f>
        <v>348.3</v>
      </c>
      <c r="G23" s="178">
        <f t="shared" si="3"/>
        <v>374.2</v>
      </c>
      <c r="H23" s="178">
        <f t="shared" si="3"/>
        <v>422.2</v>
      </c>
      <c r="I23" s="178">
        <f t="shared" ref="I23:J25" si="7">ROUND(+$K23*I$17,1)</f>
        <v>459.2</v>
      </c>
      <c r="J23" s="178">
        <f t="shared" si="7"/>
        <v>475.1</v>
      </c>
      <c r="K23" s="237">
        <f>$I$40</f>
        <v>483.2</v>
      </c>
      <c r="L23" s="178">
        <f>ROUND(+$K23*L$17,1)</f>
        <v>440.8</v>
      </c>
      <c r="M23" s="178">
        <f t="shared" si="4"/>
        <v>407.3</v>
      </c>
      <c r="N23" s="178">
        <f t="shared" si="4"/>
        <v>364.7</v>
      </c>
      <c r="O23" s="178">
        <f t="shared" si="4"/>
        <v>350</v>
      </c>
      <c r="P23" s="119">
        <f t="shared" si="2"/>
        <v>4950.3999999999996</v>
      </c>
      <c r="Q23" s="112">
        <f t="shared" si="5"/>
        <v>8.4951209077757661E-3</v>
      </c>
      <c r="R23" s="102"/>
    </row>
    <row r="24" spans="1:18">
      <c r="B24" s="123"/>
      <c r="C24" s="120">
        <f t="shared" ref="C24:C25" si="8">C23+1</f>
        <v>2019</v>
      </c>
      <c r="D24" s="206">
        <f>$I$41</f>
        <v>430.7</v>
      </c>
      <c r="E24" s="178">
        <f>ROUND(+$K24*E$17,1)</f>
        <v>401.5</v>
      </c>
      <c r="F24" s="178">
        <f>ROUND(+$K24*F$17,1)</f>
        <v>351.1</v>
      </c>
      <c r="G24" s="178">
        <f t="shared" si="3"/>
        <v>377.3</v>
      </c>
      <c r="H24" s="178">
        <f t="shared" si="3"/>
        <v>425.7</v>
      </c>
      <c r="I24" s="178">
        <f t="shared" si="7"/>
        <v>463</v>
      </c>
      <c r="J24" s="178">
        <f t="shared" si="7"/>
        <v>479</v>
      </c>
      <c r="K24" s="237">
        <f>$I$42</f>
        <v>487.2</v>
      </c>
      <c r="L24" s="178">
        <f>ROUND(+$K24*L$17,1)</f>
        <v>444.5</v>
      </c>
      <c r="M24" s="178">
        <f t="shared" si="4"/>
        <v>410.7</v>
      </c>
      <c r="N24" s="178">
        <f t="shared" si="4"/>
        <v>367.7</v>
      </c>
      <c r="O24" s="178">
        <f t="shared" si="4"/>
        <v>352.9</v>
      </c>
      <c r="P24" s="119">
        <f t="shared" ref="P24" si="9">SUM(D24:O24)</f>
        <v>4991.2999999999993</v>
      </c>
      <c r="Q24" s="112">
        <f t="shared" si="5"/>
        <v>8.2619586296056157E-3</v>
      </c>
      <c r="R24" s="102"/>
    </row>
    <row r="25" spans="1:18">
      <c r="B25" s="123"/>
      <c r="C25" s="120">
        <f t="shared" si="8"/>
        <v>2020</v>
      </c>
      <c r="D25" s="206">
        <f>$I$43</f>
        <v>432.7</v>
      </c>
      <c r="E25" s="178">
        <f>ROUND(+$K25*E$17,1)</f>
        <v>402.7</v>
      </c>
      <c r="F25" s="178">
        <f>ROUND(+$K25*F$17,1)</f>
        <v>352.2</v>
      </c>
      <c r="G25" s="178">
        <f t="shared" si="3"/>
        <v>378.5</v>
      </c>
      <c r="H25" s="178">
        <f t="shared" si="3"/>
        <v>427</v>
      </c>
      <c r="I25" s="178">
        <f t="shared" si="7"/>
        <v>464.4</v>
      </c>
      <c r="J25" s="178">
        <f t="shared" si="7"/>
        <v>480.5</v>
      </c>
      <c r="K25" s="237">
        <f>$I$44</f>
        <v>488.7</v>
      </c>
      <c r="L25" s="178">
        <f>ROUND(+$K25*L$17,1)</f>
        <v>445.9</v>
      </c>
      <c r="M25" s="178">
        <f t="shared" si="4"/>
        <v>412</v>
      </c>
      <c r="N25" s="178">
        <f t="shared" si="4"/>
        <v>368.8</v>
      </c>
      <c r="O25" s="178">
        <f t="shared" si="4"/>
        <v>354</v>
      </c>
      <c r="P25" s="119">
        <f t="shared" ref="P25" si="10">SUM(D25:O25)</f>
        <v>5007.4000000000005</v>
      </c>
      <c r="Q25" s="112">
        <f t="shared" ref="Q25" si="11">(+P25-P24)/P24</f>
        <v>3.2256125658648598E-3</v>
      </c>
      <c r="R25" s="102"/>
    </row>
    <row r="26" spans="1:18">
      <c r="A26" s="118"/>
      <c r="B26" s="117"/>
      <c r="C26" s="101"/>
      <c r="D26" s="98"/>
      <c r="E26" s="111"/>
      <c r="F26" s="111"/>
      <c r="G26" s="111"/>
      <c r="H26" s="111"/>
      <c r="I26" s="111"/>
      <c r="J26" s="98"/>
      <c r="K26" s="111"/>
      <c r="L26" s="111"/>
      <c r="M26" s="111"/>
      <c r="N26" s="111"/>
      <c r="O26" s="111"/>
      <c r="P26" s="102"/>
      <c r="Q26" s="79"/>
    </row>
    <row r="28" spans="1:18">
      <c r="A28" s="114" t="s">
        <v>136</v>
      </c>
      <c r="D28" s="73"/>
      <c r="E28" s="73"/>
      <c r="F28" s="73"/>
      <c r="G28" s="73"/>
      <c r="H28" s="73"/>
      <c r="I28" s="73"/>
      <c r="J28" s="260"/>
      <c r="K28" s="73"/>
      <c r="L28" s="73"/>
      <c r="M28" s="73"/>
      <c r="N28" s="73"/>
      <c r="O28" s="73"/>
      <c r="P28" s="73"/>
      <c r="Q28" s="69"/>
    </row>
    <row r="29" spans="1:18">
      <c r="J29" s="101" t="s">
        <v>387</v>
      </c>
    </row>
    <row r="30" spans="1:18">
      <c r="C30" s="231" t="s">
        <v>83</v>
      </c>
      <c r="D30" s="231" t="s">
        <v>84</v>
      </c>
      <c r="E30" s="231" t="s">
        <v>85</v>
      </c>
      <c r="F30" s="231" t="s">
        <v>86</v>
      </c>
      <c r="G30" s="231" t="s">
        <v>87</v>
      </c>
      <c r="H30" s="231" t="s">
        <v>88</v>
      </c>
      <c r="I30" s="231" t="s">
        <v>12</v>
      </c>
      <c r="J30" s="101" t="s">
        <v>386</v>
      </c>
    </row>
    <row r="31" spans="1:18">
      <c r="A31" s="101">
        <v>2015</v>
      </c>
      <c r="B31" s="231" t="s">
        <v>0</v>
      </c>
      <c r="C31" s="238">
        <f>[14]_Ex1.1!$D$16</f>
        <v>179.2</v>
      </c>
      <c r="D31" s="238">
        <f>[14]_Ex1.1!$G$16</f>
        <v>22.3</v>
      </c>
      <c r="E31" s="238">
        <f>[14]_Ex1.1!$J$16</f>
        <v>19.3</v>
      </c>
      <c r="F31" s="238">
        <f>[14]_Ex1.1!$M$16</f>
        <v>13.6</v>
      </c>
      <c r="G31" s="238">
        <f>[14]_Ex1.1!$P$16</f>
        <v>87</v>
      </c>
      <c r="H31" s="238">
        <f>[14]_Ex1.1!$S$16</f>
        <v>91.8</v>
      </c>
      <c r="I31" s="238">
        <f t="shared" ref="I31:I44" si="12">SUM(C31:H31)</f>
        <v>413.2</v>
      </c>
      <c r="J31" s="97">
        <f>(I31*(7/12)+I32*(5/12))</f>
        <v>435.95000000000005</v>
      </c>
    </row>
    <row r="32" spans="1:18">
      <c r="A32" s="101">
        <f>A31</f>
        <v>2015</v>
      </c>
      <c r="B32" s="231" t="s">
        <v>7</v>
      </c>
      <c r="C32" s="238">
        <f>[14]_Ex1.1!$D$17</f>
        <v>166.8</v>
      </c>
      <c r="D32" s="238">
        <f>[14]_Ex1.1!$G$17</f>
        <v>23.5</v>
      </c>
      <c r="E32" s="238">
        <f>[14]_Ex1.1!$J$17</f>
        <v>20.5</v>
      </c>
      <c r="F32" s="238">
        <f>[14]_Ex1.1!$M$17</f>
        <v>14.8</v>
      </c>
      <c r="G32" s="238">
        <f>[14]_Ex1.1!$P$17</f>
        <v>135</v>
      </c>
      <c r="H32" s="238">
        <f>[14]_Ex1.1!$S$17</f>
        <v>107.2</v>
      </c>
      <c r="I32" s="238">
        <f t="shared" si="12"/>
        <v>467.8</v>
      </c>
    </row>
    <row r="33" spans="1:12" ht="16.5" customHeight="1">
      <c r="A33" s="101">
        <f t="shared" ref="A33:A44" si="13">1+A31</f>
        <v>2016</v>
      </c>
      <c r="B33" s="231" t="s">
        <v>0</v>
      </c>
      <c r="C33" s="238">
        <f>[14]_Ex1.1!$D$20</f>
        <v>180.9</v>
      </c>
      <c r="D33" s="238">
        <f>[14]_Ex1.1!$G$20</f>
        <v>23</v>
      </c>
      <c r="E33" s="238">
        <f>[14]_Ex1.1!$J$20</f>
        <v>19.5</v>
      </c>
      <c r="F33" s="238">
        <f>[14]_Ex1.1!$M$20</f>
        <v>13.7</v>
      </c>
      <c r="G33" s="238">
        <f>[14]_Ex1.1!$P$20</f>
        <v>87.5</v>
      </c>
      <c r="H33" s="238">
        <f>[14]_Ex1.1!$S$20</f>
        <v>92.1</v>
      </c>
      <c r="I33" s="238">
        <f t="shared" si="12"/>
        <v>416.70000000000005</v>
      </c>
      <c r="J33" s="464">
        <f>(I33*(7/12)+I34*(5/12))</f>
        <v>439.49166666666667</v>
      </c>
    </row>
    <row r="34" spans="1:12">
      <c r="A34" s="101">
        <f t="shared" si="13"/>
        <v>2016</v>
      </c>
      <c r="B34" s="231" t="s">
        <v>7</v>
      </c>
      <c r="C34" s="238">
        <f>[14]_Ex1.1!$D$21</f>
        <v>168.3</v>
      </c>
      <c r="D34" s="238">
        <f>[14]_Ex1.1!$G$21</f>
        <v>24.2</v>
      </c>
      <c r="E34" s="238">
        <f>[14]_Ex1.1!$J$21</f>
        <v>20.7</v>
      </c>
      <c r="F34" s="238">
        <f>[14]_Ex1.1!$M$21</f>
        <v>14.8</v>
      </c>
      <c r="G34" s="238">
        <f>[14]_Ex1.1!$P$21</f>
        <v>135.80000000000001</v>
      </c>
      <c r="H34" s="238">
        <f>[14]_Ex1.1!$S$21</f>
        <v>107.6</v>
      </c>
      <c r="I34" s="238">
        <f t="shared" si="12"/>
        <v>471.4</v>
      </c>
      <c r="J34" s="464"/>
    </row>
    <row r="35" spans="1:12">
      <c r="A35" s="101">
        <f t="shared" si="13"/>
        <v>2017</v>
      </c>
      <c r="B35" s="231" t="s">
        <v>0</v>
      </c>
      <c r="C35" s="238">
        <f>[14]_Ex1.1!$D$24</f>
        <v>182.5</v>
      </c>
      <c r="D35" s="238">
        <f>[14]_Ex1.1!$G$24</f>
        <v>23.6</v>
      </c>
      <c r="E35" s="238">
        <f>[14]_Ex1.1!$J$24</f>
        <v>19.7</v>
      </c>
      <c r="F35" s="238">
        <f>[14]_Ex1.1!$M$24</f>
        <v>13.7</v>
      </c>
      <c r="G35" s="238">
        <f>[14]_Ex1.1!$P$24</f>
        <v>88</v>
      </c>
      <c r="H35" s="238">
        <f>[14]_Ex1.1!$S$24</f>
        <v>92.7</v>
      </c>
      <c r="I35" s="238">
        <f t="shared" si="12"/>
        <v>420.2</v>
      </c>
      <c r="J35" s="464">
        <f>(I35*(7/12)+I36*(5/12))</f>
        <v>443.11666666666667</v>
      </c>
    </row>
    <row r="36" spans="1:12">
      <c r="A36" s="101">
        <f t="shared" si="13"/>
        <v>2017</v>
      </c>
      <c r="B36" s="231" t="s">
        <v>7</v>
      </c>
      <c r="C36" s="238">
        <f>[14]_Ex1.1!$D$25</f>
        <v>169.8</v>
      </c>
      <c r="D36" s="238">
        <f>[14]_Ex1.1!$G$25</f>
        <v>24.8</v>
      </c>
      <c r="E36" s="238">
        <f>[14]_Ex1.1!$J$25</f>
        <v>20.9</v>
      </c>
      <c r="F36" s="238">
        <f>[14]_Ex1.1!$M$25</f>
        <v>14.9</v>
      </c>
      <c r="G36" s="238">
        <f>[14]_Ex1.1!$P$25</f>
        <v>136.5</v>
      </c>
      <c r="H36" s="238">
        <f>[14]_Ex1.1!$S$25</f>
        <v>108.3</v>
      </c>
      <c r="I36" s="238">
        <f t="shared" si="12"/>
        <v>475.20000000000005</v>
      </c>
      <c r="J36" s="464"/>
    </row>
    <row r="37" spans="1:12">
      <c r="A37" s="101">
        <f t="shared" si="13"/>
        <v>2018</v>
      </c>
      <c r="B37" s="231" t="s">
        <v>0</v>
      </c>
      <c r="C37" s="238">
        <f>[14]_Ex1.1!$D$28</f>
        <v>184</v>
      </c>
      <c r="D37" s="238">
        <f>[14]_Ex1.1!$G$28</f>
        <v>24.2</v>
      </c>
      <c r="E37" s="238">
        <f>[14]_Ex1.1!$J$28</f>
        <v>19.899999999999999</v>
      </c>
      <c r="F37" s="238">
        <f>[14]_Ex1.1!$M$28</f>
        <v>13.8</v>
      </c>
      <c r="G37" s="238">
        <f>[14]_Ex1.1!$P$28</f>
        <v>88.6</v>
      </c>
      <c r="H37" s="238">
        <f>[14]_Ex1.1!$S$28</f>
        <v>93.3</v>
      </c>
      <c r="I37" s="238">
        <f t="shared" si="12"/>
        <v>423.8</v>
      </c>
      <c r="J37" s="464">
        <f>(I37*(7/12)+I38*(5/12))</f>
        <v>446.8416666666667</v>
      </c>
    </row>
    <row r="38" spans="1:12">
      <c r="A38" s="101">
        <f t="shared" si="13"/>
        <v>2018</v>
      </c>
      <c r="B38" s="231" t="s">
        <v>7</v>
      </c>
      <c r="C38" s="238">
        <f>[14]_Ex1.1!$D$29</f>
        <v>171.2</v>
      </c>
      <c r="D38" s="238">
        <f>[14]_Ex1.1!$G$29</f>
        <v>25.4</v>
      </c>
      <c r="E38" s="238">
        <f>[14]_Ex1.1!$J$29</f>
        <v>21.1</v>
      </c>
      <c r="F38" s="238">
        <f>[14]_Ex1.1!$M$29</f>
        <v>15</v>
      </c>
      <c r="G38" s="238">
        <f>[14]_Ex1.1!$P$29</f>
        <v>137.4</v>
      </c>
      <c r="H38" s="238">
        <f>[14]_Ex1.1!$S$29</f>
        <v>109</v>
      </c>
      <c r="I38" s="238">
        <f t="shared" si="12"/>
        <v>479.1</v>
      </c>
      <c r="J38" s="464"/>
    </row>
    <row r="39" spans="1:12">
      <c r="A39" s="101">
        <f t="shared" si="13"/>
        <v>2019</v>
      </c>
      <c r="B39" s="231" t="s">
        <v>0</v>
      </c>
      <c r="C39" s="238">
        <f>[14]_Ex1.1!$D$32</f>
        <v>185.4</v>
      </c>
      <c r="D39" s="238">
        <f>[14]_Ex1.1!$G$32</f>
        <v>24.7</v>
      </c>
      <c r="E39" s="238">
        <f>[14]_Ex1.1!$J$32</f>
        <v>20.100000000000001</v>
      </c>
      <c r="F39" s="238">
        <f>[14]_Ex1.1!$M$32</f>
        <v>13.9</v>
      </c>
      <c r="G39" s="238">
        <f>[14]_Ex1.1!$P$32</f>
        <v>89.2</v>
      </c>
      <c r="H39" s="238">
        <f>[14]_Ex1.1!$S$32</f>
        <v>93.9</v>
      </c>
      <c r="I39" s="238">
        <f t="shared" si="12"/>
        <v>427.20000000000005</v>
      </c>
      <c r="J39" s="464">
        <f>(I39*(7/12)+I40*(5/12))</f>
        <v>450.53333333333342</v>
      </c>
    </row>
    <row r="40" spans="1:12">
      <c r="A40" s="101">
        <f t="shared" si="13"/>
        <v>2019</v>
      </c>
      <c r="B40" s="231" t="s">
        <v>7</v>
      </c>
      <c r="C40" s="238">
        <f>[14]_Ex1.1!$D$33</f>
        <v>172.6</v>
      </c>
      <c r="D40" s="238">
        <f>[14]_Ex1.1!$G$33</f>
        <v>26</v>
      </c>
      <c r="E40" s="238">
        <f>[14]_Ex1.1!$J$33</f>
        <v>21.3</v>
      </c>
      <c r="F40" s="238">
        <f>[14]_Ex1.1!$M$33</f>
        <v>15.1</v>
      </c>
      <c r="G40" s="238">
        <f>[14]_Ex1.1!$P$33</f>
        <v>138.4</v>
      </c>
      <c r="H40" s="238">
        <f>[14]_Ex1.1!$S$33</f>
        <v>109.8</v>
      </c>
      <c r="I40" s="238">
        <f t="shared" si="12"/>
        <v>483.2</v>
      </c>
      <c r="J40" s="464"/>
    </row>
    <row r="41" spans="1:12">
      <c r="A41" s="101">
        <f t="shared" si="13"/>
        <v>2020</v>
      </c>
      <c r="B41" s="231" t="s">
        <v>0</v>
      </c>
      <c r="C41" s="238">
        <f>[14]_Ex1.1!$D$36</f>
        <v>186.9</v>
      </c>
      <c r="D41" s="238">
        <f>[14]_Ex1.1!$G$36</f>
        <v>25.2</v>
      </c>
      <c r="E41" s="238">
        <f>[14]_Ex1.1!$J$36</f>
        <v>20.2</v>
      </c>
      <c r="F41" s="238">
        <f>[14]_Ex1.1!$M$36</f>
        <v>14</v>
      </c>
      <c r="G41" s="238">
        <f>[14]_Ex1.1!$P$36</f>
        <v>89.9</v>
      </c>
      <c r="H41" s="238">
        <f>[14]_Ex1.1!$S$36</f>
        <v>94.5</v>
      </c>
      <c r="I41" s="238">
        <f t="shared" si="12"/>
        <v>430.7</v>
      </c>
      <c r="J41" s="464">
        <f>(I41*(7/12)+I42*(5/12))</f>
        <v>454.24166666666667</v>
      </c>
    </row>
    <row r="42" spans="1:12">
      <c r="A42" s="101">
        <f t="shared" si="13"/>
        <v>2020</v>
      </c>
      <c r="B42" s="231" t="s">
        <v>7</v>
      </c>
      <c r="C42" s="238">
        <f>[14]_Ex1.1!$D$37</f>
        <v>174</v>
      </c>
      <c r="D42" s="238">
        <f>[14]_Ex1.1!$G$37</f>
        <v>26.6</v>
      </c>
      <c r="E42" s="238">
        <f>[14]_Ex1.1!$J$37</f>
        <v>21.5</v>
      </c>
      <c r="F42" s="238">
        <f>[14]_Ex1.1!$M$37</f>
        <v>15.2</v>
      </c>
      <c r="G42" s="238">
        <f>[14]_Ex1.1!$P$37</f>
        <v>139.4</v>
      </c>
      <c r="H42" s="238">
        <f>[14]_Ex1.1!$S$37</f>
        <v>110.5</v>
      </c>
      <c r="I42" s="238">
        <f t="shared" si="12"/>
        <v>487.2</v>
      </c>
      <c r="J42" s="464"/>
    </row>
    <row r="43" spans="1:12">
      <c r="A43" s="101">
        <f t="shared" si="13"/>
        <v>2021</v>
      </c>
      <c r="B43" s="231" t="s">
        <v>0</v>
      </c>
      <c r="C43" s="238">
        <f>[14]_Ex1.1!$D$36</f>
        <v>186.9</v>
      </c>
      <c r="D43" s="238">
        <f>[14]_Ex1.1!$G$36</f>
        <v>25.2</v>
      </c>
      <c r="E43" s="238">
        <f>[14]_Ex1.1!$J$36</f>
        <v>20.2</v>
      </c>
      <c r="F43" s="238">
        <f>[14]_Ex1.1!$M$36</f>
        <v>14</v>
      </c>
      <c r="G43" s="238">
        <f>[14]_Ex1.1!$P$36</f>
        <v>89.9</v>
      </c>
      <c r="H43" s="238">
        <f>[14]_Ex1.1!$R$36</f>
        <v>96.5</v>
      </c>
      <c r="I43" s="238">
        <f t="shared" si="12"/>
        <v>432.7</v>
      </c>
      <c r="J43" s="464">
        <f>(I43*(7/12)+I44*(5/12))</f>
        <v>456.0333333333333</v>
      </c>
    </row>
    <row r="44" spans="1:12">
      <c r="A44" s="101">
        <f t="shared" si="13"/>
        <v>2021</v>
      </c>
      <c r="B44" s="231" t="s">
        <v>7</v>
      </c>
      <c r="C44" s="238">
        <f>[14]_Ex1.1!$D$37</f>
        <v>174</v>
      </c>
      <c r="D44" s="238">
        <f>[14]_Ex1.1!$G$37</f>
        <v>26.6</v>
      </c>
      <c r="E44" s="238">
        <f>[14]_Ex1.1!$J$37</f>
        <v>21.5</v>
      </c>
      <c r="F44" s="238">
        <f>[14]_Ex1.1!$M$37</f>
        <v>15.2</v>
      </c>
      <c r="G44" s="238">
        <f>[14]_Ex1.1!$P$37</f>
        <v>139.4</v>
      </c>
      <c r="H44" s="238">
        <f>[14]_Ex1.1!$R$37</f>
        <v>112</v>
      </c>
      <c r="I44" s="238">
        <f t="shared" si="12"/>
        <v>488.7</v>
      </c>
    </row>
    <row r="45" spans="1:12">
      <c r="K45" s="463"/>
      <c r="L45" s="463"/>
    </row>
    <row r="47" spans="1:12">
      <c r="A47" s="97" t="s">
        <v>291</v>
      </c>
    </row>
    <row r="49" spans="1:14">
      <c r="A49" s="396"/>
      <c r="B49" s="396"/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</row>
    <row r="50" spans="1:14" ht="17.399999999999999">
      <c r="A50" s="397" t="s">
        <v>311</v>
      </c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</row>
    <row r="51" spans="1:14" ht="17.399999999999999">
      <c r="A51" s="398" t="s">
        <v>312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</row>
    <row r="52" spans="1:14" ht="17.399999999999999">
      <c r="A52" s="397" t="s">
        <v>313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</row>
    <row r="53" spans="1:14" ht="17.399999999999999">
      <c r="A53" s="398" t="s">
        <v>314</v>
      </c>
      <c r="B53" s="396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</row>
    <row r="54" spans="1:14" ht="17.399999999999999">
      <c r="A54" s="397" t="s">
        <v>315</v>
      </c>
      <c r="B54" s="396"/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</row>
    <row r="55" spans="1:14" ht="17.399999999999999">
      <c r="A55" s="397" t="s">
        <v>316</v>
      </c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</row>
    <row r="56" spans="1:14" ht="17.399999999999999">
      <c r="A56" s="397" t="s">
        <v>317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</row>
    <row r="57" spans="1:14" ht="17.399999999999999">
      <c r="A57" s="399" t="s">
        <v>318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</row>
    <row r="58" spans="1:14" ht="17.399999999999999">
      <c r="A58" s="399" t="s">
        <v>319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</row>
    <row r="59" spans="1:14">
      <c r="A59" s="396"/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</row>
  </sheetData>
  <phoneticPr fontId="28" type="noConversion"/>
  <hyperlinks>
    <hyperlink ref="M4" r:id="rId1"/>
  </hyperlinks>
  <pageMargins left="0.31" right="0.18" top="0.7" bottom="0.52" header="0.49" footer="0.3"/>
  <pageSetup scale="94" orientation="landscape" r:id="rId2"/>
  <headerFooter alignWithMargins="0">
    <oddHeader>&amp;A</oddHeader>
    <oddFooter>&amp;Z&amp;F</oddFooter>
  </headerFooter>
  <ignoredErrors>
    <ignoredError sqref="K20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Q26"/>
  <sheetViews>
    <sheetView zoomScaleNormal="100" zoomScaleSheetLayoutView="90" workbookViewId="0">
      <selection sqref="A1:A2"/>
    </sheetView>
  </sheetViews>
  <sheetFormatPr defaultColWidth="8" defaultRowHeight="13.2"/>
  <cols>
    <col min="1" max="1" width="11.21875" style="69" customWidth="1"/>
    <col min="2" max="2" width="8.77734375" style="69" customWidth="1"/>
    <col min="3" max="3" width="9.77734375" style="69" customWidth="1"/>
    <col min="4" max="4" width="10.77734375" style="69" customWidth="1"/>
    <col min="5" max="5" width="9.88671875" style="69" customWidth="1"/>
    <col min="6" max="6" width="9.21875" style="69" customWidth="1"/>
    <col min="7" max="8" width="10.109375" style="69" customWidth="1"/>
    <col min="9" max="9" width="9.88671875" style="69" customWidth="1"/>
    <col min="10" max="10" width="11.109375" style="69" customWidth="1"/>
    <col min="11" max="12" width="10.21875" style="69" customWidth="1"/>
    <col min="13" max="13" width="10.6640625" style="69" customWidth="1"/>
    <col min="14" max="14" width="11.21875" style="69" customWidth="1"/>
    <col min="15" max="15" width="7.33203125" style="69" customWidth="1"/>
    <col min="16" max="16" width="8.109375" style="69" customWidth="1"/>
    <col min="17" max="17" width="6.77734375" style="69" customWidth="1"/>
    <col min="18" max="16384" width="8" style="69"/>
  </cols>
  <sheetData>
    <row r="1" spans="1:17">
      <c r="A1" s="480" t="s">
        <v>508</v>
      </c>
    </row>
    <row r="2" spans="1:17">
      <c r="A2" s="480" t="s">
        <v>473</v>
      </c>
    </row>
    <row r="4" spans="1:17" ht="15.6">
      <c r="A4" s="116" t="s">
        <v>389</v>
      </c>
    </row>
    <row r="5" spans="1:17" ht="13.8">
      <c r="A5" s="70" t="s">
        <v>59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7" spans="1:17">
      <c r="A7" s="115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7">
      <c r="A8" s="72" t="s">
        <v>61</v>
      </c>
      <c r="B8" s="74" t="s">
        <v>62</v>
      </c>
      <c r="C8" s="74" t="s">
        <v>63</v>
      </c>
      <c r="D8" s="74" t="s">
        <v>64</v>
      </c>
      <c r="E8" s="74" t="s">
        <v>65</v>
      </c>
      <c r="F8" s="74" t="s">
        <v>4</v>
      </c>
      <c r="G8" s="74" t="s">
        <v>66</v>
      </c>
      <c r="H8" s="74" t="s">
        <v>67</v>
      </c>
      <c r="I8" s="74" t="s">
        <v>68</v>
      </c>
      <c r="J8" s="74" t="s">
        <v>69</v>
      </c>
      <c r="K8" s="74" t="s">
        <v>70</v>
      </c>
      <c r="L8" s="74" t="s">
        <v>71</v>
      </c>
      <c r="M8" s="74" t="s">
        <v>72</v>
      </c>
      <c r="N8" s="74" t="s">
        <v>12</v>
      </c>
      <c r="P8" s="181"/>
    </row>
    <row r="9" spans="1:17">
      <c r="A9" s="75"/>
      <c r="B9" s="76"/>
      <c r="C9" s="76"/>
      <c r="D9" s="76"/>
      <c r="E9" s="76"/>
      <c r="F9" s="77"/>
      <c r="G9" s="77"/>
      <c r="H9" s="77"/>
      <c r="I9" s="77"/>
      <c r="J9" s="77"/>
      <c r="K9" s="161"/>
      <c r="L9" s="161"/>
      <c r="M9" s="161"/>
      <c r="N9" s="78"/>
      <c r="O9" s="79"/>
    </row>
    <row r="10" spans="1:17">
      <c r="A10" s="75">
        <v>2009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80">
        <f t="shared" ref="N10:N12" si="0">SUM(B10:M10)</f>
        <v>0</v>
      </c>
      <c r="O10" s="81"/>
    </row>
    <row r="11" spans="1:17">
      <c r="A11" s="75">
        <v>2010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80">
        <f t="shared" si="0"/>
        <v>0</v>
      </c>
      <c r="O11" s="81"/>
      <c r="P11" s="180"/>
    </row>
    <row r="12" spans="1:17">
      <c r="A12" s="75">
        <v>2011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80">
        <f t="shared" si="0"/>
        <v>0</v>
      </c>
      <c r="O12" s="81"/>
      <c r="P12" s="191"/>
      <c r="Q12" s="192"/>
    </row>
    <row r="13" spans="1:17">
      <c r="A13" s="75">
        <v>2014</v>
      </c>
      <c r="B13" s="378">
        <f>[15]Coin!B45/1000</f>
        <v>552.99799999999982</v>
      </c>
      <c r="C13" s="378">
        <f>[15]Coin!C45/1000</f>
        <v>462.31599999999975</v>
      </c>
      <c r="D13" s="378">
        <f>[15]Coin!D45/1000</f>
        <v>397.6810000000001</v>
      </c>
      <c r="E13" s="378">
        <f>[15]Coin!E45/1000</f>
        <v>374.61800000000017</v>
      </c>
      <c r="F13" s="378">
        <f>[15]Coin!F45/1000</f>
        <v>421.06300000000022</v>
      </c>
      <c r="G13" s="378">
        <f>[15]Coin!G45/1000</f>
        <v>458.19299999999953</v>
      </c>
      <c r="H13" s="378">
        <f>[15]Coin!H45/1000</f>
        <v>454.65300000000002</v>
      </c>
      <c r="I13" s="378">
        <f>[15]Coin!I45/1000</f>
        <v>458.30700000000013</v>
      </c>
      <c r="J13" s="378">
        <f>[15]Coin!J45/1000</f>
        <v>427.15800000000007</v>
      </c>
      <c r="K13" s="378">
        <f>[15]Coin!K45/1000</f>
        <v>395.16100000000006</v>
      </c>
      <c r="L13" s="378">
        <f>[15]Coin!L45/1000</f>
        <v>339.74000000000041</v>
      </c>
      <c r="M13" s="378">
        <f>[15]Coin!M45/1000</f>
        <v>463.47400000000039</v>
      </c>
      <c r="N13" s="80">
        <f t="shared" ref="N13:N19" si="1">SUM(B13:M13)</f>
        <v>5205.362000000001</v>
      </c>
      <c r="O13" s="285"/>
      <c r="P13" s="262"/>
      <c r="Q13" s="192"/>
    </row>
    <row r="14" spans="1:17">
      <c r="A14" s="75">
        <f>A13+1</f>
        <v>2015</v>
      </c>
      <c r="B14" s="351">
        <f>[15]Coin!B92/1000</f>
        <v>566.81999999999982</v>
      </c>
      <c r="C14" s="351">
        <f>[16]Coin!C45/1000</f>
        <v>462.31599999999975</v>
      </c>
      <c r="D14" s="351">
        <f>[16]Coin!D45/1000</f>
        <v>397.6810000000001</v>
      </c>
      <c r="E14" s="351">
        <f>[16]Coin!E45/1000</f>
        <v>374.61800000000017</v>
      </c>
      <c r="F14" s="351">
        <f>[16]Coin!F45/1000</f>
        <v>421.06300000000022</v>
      </c>
      <c r="G14" s="351">
        <f>[16]Coin!G45/1000</f>
        <v>458.19299999999953</v>
      </c>
      <c r="H14" s="351">
        <f>[16]Coin!H45/1000</f>
        <v>454.65300000000002</v>
      </c>
      <c r="I14" s="351">
        <f>[16]Coin!I45/1000</f>
        <v>458.30700000000013</v>
      </c>
      <c r="J14" s="351">
        <f>[16]Coin!J45/1000</f>
        <v>427.15800000000007</v>
      </c>
      <c r="K14" s="351">
        <f>[16]Coin!K45/1000</f>
        <v>395.16100000000006</v>
      </c>
      <c r="L14" s="351">
        <f>[16]Coin!L45/1000</f>
        <v>339.74000000000041</v>
      </c>
      <c r="M14" s="351">
        <f>[16]Coin!M45/1000</f>
        <v>463.47400000000039</v>
      </c>
      <c r="N14" s="80">
        <f t="shared" si="1"/>
        <v>5219.1840000000011</v>
      </c>
      <c r="O14" s="285">
        <f>(+N14-N13)/N13</f>
        <v>2.6553388601984096E-3</v>
      </c>
      <c r="P14" s="262"/>
      <c r="Q14" s="192"/>
    </row>
    <row r="15" spans="1:17">
      <c r="A15" s="75">
        <f t="shared" ref="A15:A18" si="2">A14+1</f>
        <v>2016</v>
      </c>
      <c r="B15" s="351">
        <f>'[17]Total Seminole'!B10/1000</f>
        <v>521.46600000000001</v>
      </c>
      <c r="C15" s="351">
        <f>'[17]Total Seminole'!C10/1000</f>
        <v>427.42200000000003</v>
      </c>
      <c r="D15" s="351">
        <f>'[17]Total Seminole'!D10/1000</f>
        <v>381.26</v>
      </c>
      <c r="E15" s="351">
        <f>'[17]Total Seminole'!E10/1000</f>
        <v>360.52100000000002</v>
      </c>
      <c r="F15" s="351">
        <f>'[17]Total Seminole'!F10/1000</f>
        <v>409.18299999999999</v>
      </c>
      <c r="G15" s="351">
        <f>'[17]Total Seminole'!G10/1000</f>
        <v>442.77</v>
      </c>
      <c r="H15" s="351">
        <f>'[17]Total Seminole'!H10/1000</f>
        <v>439.07100000000003</v>
      </c>
      <c r="I15" s="351">
        <f>'[17]Total Seminole'!I10/1000</f>
        <v>438.15899999999999</v>
      </c>
      <c r="J15" s="351">
        <f>'[17]Total Seminole'!J10/1000</f>
        <v>443.17</v>
      </c>
      <c r="K15" s="351">
        <f>'[17]Total Seminole'!K10/1000</f>
        <v>384.14699999999999</v>
      </c>
      <c r="L15" s="351">
        <f>'[17]Total Seminole'!L10/1000</f>
        <v>371.04700000000003</v>
      </c>
      <c r="M15" s="351">
        <f>'[17]Total Seminole'!M10/1000</f>
        <v>401.928</v>
      </c>
      <c r="N15" s="80">
        <f t="shared" si="1"/>
        <v>5020.1440000000002</v>
      </c>
      <c r="O15" s="285">
        <f t="shared" ref="O15:O19" si="3">(+N15-N14)/N14</f>
        <v>-3.8136229724800054E-2</v>
      </c>
      <c r="P15" s="262"/>
      <c r="Q15" s="192"/>
    </row>
    <row r="16" spans="1:17">
      <c r="A16" s="75">
        <f t="shared" si="2"/>
        <v>2017</v>
      </c>
      <c r="B16" s="351">
        <f>'[17]Total Seminole'!B11/1000</f>
        <v>531.21600000000001</v>
      </c>
      <c r="C16" s="351">
        <f>'[17]Total Seminole'!C11/1000</f>
        <v>421.803</v>
      </c>
      <c r="D16" s="351">
        <f>'[17]Total Seminole'!D11/1000</f>
        <v>388.04199999999997</v>
      </c>
      <c r="E16" s="351">
        <f>'[17]Total Seminole'!E11/1000</f>
        <v>367.173</v>
      </c>
      <c r="F16" s="351">
        <f>'[17]Total Seminole'!F11/1000</f>
        <v>415.66300000000001</v>
      </c>
      <c r="G16" s="351">
        <f>'[17]Total Seminole'!G11/1000</f>
        <v>449.99</v>
      </c>
      <c r="H16" s="351">
        <f>'[17]Total Seminole'!H11/1000</f>
        <v>446.39800000000002</v>
      </c>
      <c r="I16" s="351">
        <f>'[17]Total Seminole'!I11/1000</f>
        <v>445.351</v>
      </c>
      <c r="J16" s="351">
        <f>'[17]Total Seminole'!J11/1000</f>
        <v>450.61099999999999</v>
      </c>
      <c r="K16" s="351">
        <f>'[17]Total Seminole'!K11/1000</f>
        <v>390.875</v>
      </c>
      <c r="L16" s="351">
        <f>'[17]Total Seminole'!L11/1000</f>
        <v>377.08199999999999</v>
      </c>
      <c r="M16" s="351">
        <f>'[17]Total Seminole'!M11/1000</f>
        <v>408.35</v>
      </c>
      <c r="N16" s="80">
        <f t="shared" si="1"/>
        <v>5092.5540000000001</v>
      </c>
      <c r="O16" s="285">
        <f t="shared" si="3"/>
        <v>1.4423889035852329E-2</v>
      </c>
      <c r="P16" s="262"/>
      <c r="Q16" s="192"/>
    </row>
    <row r="17" spans="1:17">
      <c r="A17" s="75">
        <f t="shared" si="2"/>
        <v>2018</v>
      </c>
      <c r="B17" s="351">
        <f>'[17]Total Seminole'!B12/1000</f>
        <v>545.05899999999997</v>
      </c>
      <c r="C17" s="351">
        <f>'[17]Total Seminole'!C12/1000</f>
        <v>434.33499999999998</v>
      </c>
      <c r="D17" s="351">
        <f>'[17]Total Seminole'!D12/1000</f>
        <v>399.322</v>
      </c>
      <c r="E17" s="351">
        <f>'[17]Total Seminole'!E12/1000</f>
        <v>378.072</v>
      </c>
      <c r="F17" s="351">
        <f>'[17]Total Seminole'!F12/1000</f>
        <v>426.78800000000001</v>
      </c>
      <c r="G17" s="351">
        <f>'[17]Total Seminole'!G12/1000</f>
        <v>458.51499999999999</v>
      </c>
      <c r="H17" s="351">
        <f>'[17]Total Seminole'!H12/1000</f>
        <v>454.93900000000002</v>
      </c>
      <c r="I17" s="351">
        <f>'[17]Total Seminole'!I12/1000</f>
        <v>453.51100000000002</v>
      </c>
      <c r="J17" s="351">
        <f>'[17]Total Seminole'!J12/1000</f>
        <v>459.48</v>
      </c>
      <c r="K17" s="351">
        <f>'[17]Total Seminole'!K12/1000</f>
        <v>399.42099999999999</v>
      </c>
      <c r="L17" s="351">
        <f>'[17]Total Seminole'!L12/1000</f>
        <v>385.00900000000001</v>
      </c>
      <c r="M17" s="351">
        <f>'[17]Total Seminole'!M12/1000</f>
        <v>416.52199999999999</v>
      </c>
      <c r="N17" s="80">
        <f t="shared" si="1"/>
        <v>5210.973</v>
      </c>
      <c r="O17" s="285">
        <f t="shared" si="3"/>
        <v>2.3253361672748069E-2</v>
      </c>
      <c r="P17" s="262"/>
      <c r="Q17" s="192"/>
    </row>
    <row r="18" spans="1:17">
      <c r="A18" s="75">
        <f t="shared" si="2"/>
        <v>2019</v>
      </c>
      <c r="B18" s="351">
        <f>'[17]Total Seminole'!B13/1000</f>
        <v>550.64400000000001</v>
      </c>
      <c r="C18" s="351">
        <f>'[17]Total Seminole'!C13/1000</f>
        <v>438.91699999999997</v>
      </c>
      <c r="D18" s="351">
        <f>'[17]Total Seminole'!D13/1000</f>
        <v>403.13799999999998</v>
      </c>
      <c r="E18" s="351">
        <f>'[17]Total Seminole'!E13/1000</f>
        <v>382.06</v>
      </c>
      <c r="F18" s="351">
        <f>'[17]Total Seminole'!F13/1000</f>
        <v>431.17</v>
      </c>
      <c r="G18" s="351">
        <f>'[17]Total Seminole'!G13/1000</f>
        <v>465.68700000000001</v>
      </c>
      <c r="H18" s="351">
        <f>'[17]Total Seminole'!H13/1000</f>
        <v>462.08100000000002</v>
      </c>
      <c r="I18" s="351">
        <f>'[17]Total Seminole'!I13/1000</f>
        <v>460.59100000000001</v>
      </c>
      <c r="J18" s="351">
        <f>'[17]Total Seminole'!J13/1000</f>
        <v>467.00099999999998</v>
      </c>
      <c r="K18" s="351">
        <f>'[17]Total Seminole'!K13/1000</f>
        <v>406.07100000000003</v>
      </c>
      <c r="L18" s="351">
        <f>'[17]Total Seminole'!L13/1000</f>
        <v>391.35700000000003</v>
      </c>
      <c r="M18" s="351">
        <f>'[17]Total Seminole'!M13/1000</f>
        <v>423.45800000000003</v>
      </c>
      <c r="N18" s="80">
        <f t="shared" si="1"/>
        <v>5282.1749999999993</v>
      </c>
      <c r="O18" s="285">
        <f t="shared" si="3"/>
        <v>1.3663858937668515E-2</v>
      </c>
      <c r="P18" s="262"/>
      <c r="Q18" s="192"/>
    </row>
    <row r="19" spans="1:17">
      <c r="A19" s="434">
        <v>2020</v>
      </c>
      <c r="B19" s="351">
        <f>'[17]Total Seminole'!B14/1000</f>
        <v>559.34</v>
      </c>
      <c r="C19" s="351">
        <f>'[17]Total Seminole'!C14/1000</f>
        <v>460.654</v>
      </c>
      <c r="D19" s="351">
        <f>'[17]Total Seminole'!D14/1000</f>
        <v>409.49400000000003</v>
      </c>
      <c r="E19" s="351">
        <f>'[17]Total Seminole'!E14/1000</f>
        <v>388.30099999999999</v>
      </c>
      <c r="F19" s="351">
        <f>'[17]Total Seminole'!F14/1000</f>
        <v>437.99599999999998</v>
      </c>
      <c r="G19" s="351">
        <f>'[17]Total Seminole'!G14/1000</f>
        <v>472.66199999999998</v>
      </c>
      <c r="H19" s="351">
        <f>'[17]Total Seminole'!H14/1000</f>
        <v>468.94099999999997</v>
      </c>
      <c r="I19" s="351">
        <f>'[17]Total Seminole'!I14/1000</f>
        <v>467.39499999999998</v>
      </c>
      <c r="J19" s="351">
        <f>'[17]Total Seminole'!J14/1000</f>
        <v>474.21800000000002</v>
      </c>
      <c r="K19" s="351">
        <f>'[17]Total Seminole'!K14/1000</f>
        <v>412.52699999999999</v>
      </c>
      <c r="L19" s="351">
        <f>'[17]Total Seminole'!L14/1000</f>
        <v>397.48899999999998</v>
      </c>
      <c r="M19" s="351">
        <f>'[17]Total Seminole'!M14/1000</f>
        <v>430.09800000000001</v>
      </c>
      <c r="N19" s="80">
        <f t="shared" si="1"/>
        <v>5379.1149999999989</v>
      </c>
      <c r="O19" s="285">
        <f t="shared" si="3"/>
        <v>1.8352288593240399E-2</v>
      </c>
      <c r="P19" s="262"/>
      <c r="Q19" s="192"/>
    </row>
    <row r="20" spans="1:17" ht="21">
      <c r="A20" s="240" t="s">
        <v>370</v>
      </c>
      <c r="B20" s="82">
        <f>(B13-B18)/B18/6</f>
        <v>7.1249906170466287E-4</v>
      </c>
      <c r="C20" s="82">
        <f t="shared" ref="C20:M20" si="4">(C13-C18)/C18/6</f>
        <v>8.8851271045170179E-3</v>
      </c>
      <c r="D20" s="82">
        <f t="shared" si="4"/>
        <v>-2.2560512777261882E-3</v>
      </c>
      <c r="E20" s="82">
        <f t="shared" si="4"/>
        <v>-3.24643598736666E-3</v>
      </c>
      <c r="F20" s="82">
        <f t="shared" si="4"/>
        <v>-3.9068116984019453E-3</v>
      </c>
      <c r="G20" s="82">
        <f t="shared" si="4"/>
        <v>-2.6820589795293419E-3</v>
      </c>
      <c r="H20" s="82">
        <f t="shared" si="4"/>
        <v>-2.6791839525970545E-3</v>
      </c>
      <c r="I20" s="82">
        <f t="shared" si="4"/>
        <v>-8.2647439195869304E-4</v>
      </c>
      <c r="J20" s="82">
        <f t="shared" si="4"/>
        <v>-1.4219455632857285E-2</v>
      </c>
      <c r="K20" s="82">
        <f t="shared" si="4"/>
        <v>-4.4778704545099949E-3</v>
      </c>
      <c r="L20" s="82">
        <f t="shared" si="4"/>
        <v>-2.1982060710127246E-2</v>
      </c>
      <c r="M20" s="82">
        <f t="shared" si="4"/>
        <v>1.5749692610207842E-2</v>
      </c>
      <c r="N20" s="82">
        <f>(N16-N17)/N17/8</f>
        <v>-2.8406163301939935E-3</v>
      </c>
      <c r="O20" s="83"/>
      <c r="P20" s="261"/>
    </row>
    <row r="21" spans="1:17">
      <c r="A21" s="84"/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83"/>
    </row>
    <row r="22" spans="1:17">
      <c r="A22" s="207"/>
      <c r="B22" s="208"/>
      <c r="C22" s="207"/>
      <c r="D22" s="207"/>
      <c r="G22" s="73"/>
      <c r="H22" s="73"/>
      <c r="I22" s="73"/>
      <c r="J22" s="73"/>
      <c r="K22" s="73"/>
      <c r="L22" s="73"/>
      <c r="M22" s="73"/>
      <c r="N22" s="73"/>
    </row>
    <row r="23" spans="1:17">
      <c r="A23" s="349"/>
      <c r="B23" s="263" t="s">
        <v>369</v>
      </c>
      <c r="C23" s="73"/>
      <c r="D23" s="73"/>
      <c r="E23" s="73"/>
      <c r="F23" s="73"/>
      <c r="P23" s="261"/>
    </row>
    <row r="24" spans="1:17">
      <c r="A24" s="350"/>
      <c r="B24" s="263" t="s">
        <v>219</v>
      </c>
    </row>
    <row r="25" spans="1:17">
      <c r="N25" s="94"/>
      <c r="O25" s="93"/>
    </row>
    <row r="26" spans="1:17">
      <c r="N26" s="95"/>
      <c r="O26" s="93"/>
    </row>
  </sheetData>
  <phoneticPr fontId="28" type="noConversion"/>
  <pageMargins left="0" right="0" top="0.95" bottom="0.82" header="0.56999999999999995" footer="0.46"/>
  <pageSetup scale="84" orientation="landscape" r:id="rId1"/>
  <headerFooter alignWithMargins="0">
    <oddHeader>&amp;A</oddHeader>
    <oddFooter>&amp;Z&amp;F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00B050"/>
  </sheetPr>
  <dimension ref="A1:R108"/>
  <sheetViews>
    <sheetView zoomScale="85" zoomScaleNormal="85" zoomScaleSheetLayoutView="100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2"/>
  <cols>
    <col min="1" max="1" width="25.88671875" style="22" customWidth="1"/>
    <col min="2" max="2" width="8.77734375" style="22" customWidth="1"/>
    <col min="3" max="3" width="9.6640625" style="22" customWidth="1"/>
    <col min="4" max="4" width="8.77734375" style="22" customWidth="1"/>
    <col min="5" max="5" width="8.44140625" style="22" customWidth="1"/>
    <col min="6" max="6" width="8.109375" style="22" customWidth="1"/>
    <col min="7" max="7" width="8" style="22" customWidth="1"/>
    <col min="8" max="9" width="8.21875" style="22" customWidth="1"/>
    <col min="10" max="10" width="8" style="22" customWidth="1"/>
    <col min="11" max="11" width="8.109375" style="22" customWidth="1"/>
    <col min="12" max="12" width="8.21875" style="22" customWidth="1"/>
    <col min="13" max="13" width="8.6640625" style="22" customWidth="1"/>
    <col min="14" max="14" width="9.77734375" style="22" customWidth="1"/>
    <col min="15" max="16384" width="9" style="22"/>
  </cols>
  <sheetData>
    <row r="1" spans="1:18" ht="13.2">
      <c r="A1" s="480" t="s">
        <v>509</v>
      </c>
    </row>
    <row r="2" spans="1:18" ht="13.2">
      <c r="A2" s="480" t="s">
        <v>473</v>
      </c>
    </row>
    <row r="4" spans="1:18" s="16" customFormat="1" ht="13.8">
      <c r="A4" s="22"/>
      <c r="B4" s="14">
        <f ca="1">TRUNC(NOW())</f>
        <v>42475</v>
      </c>
      <c r="C4" s="15"/>
      <c r="D4" s="17" t="s">
        <v>15</v>
      </c>
      <c r="E4" s="47"/>
      <c r="F4" s="15"/>
      <c r="G4" s="15"/>
      <c r="H4" s="15"/>
      <c r="I4" s="15"/>
      <c r="J4" s="15"/>
      <c r="K4" s="15"/>
      <c r="L4" s="15"/>
      <c r="M4" s="15"/>
      <c r="N4" s="15"/>
      <c r="O4" s="15" t="s">
        <v>290</v>
      </c>
      <c r="P4" s="15"/>
      <c r="Q4" s="15"/>
      <c r="R4" s="15"/>
    </row>
    <row r="5" spans="1:18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16" customFormat="1" ht="13.8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</row>
    <row r="7" spans="1:18" s="16" customFormat="1" ht="13.8">
      <c r="A7" s="23" t="s">
        <v>18</v>
      </c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8" s="20" customFormat="1">
      <c r="P8" s="22"/>
    </row>
    <row r="9" spans="1:18" s="20" customFormat="1" ht="10.199999999999999">
      <c r="A9" s="26"/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8</v>
      </c>
      <c r="K9" s="24" t="s">
        <v>9</v>
      </c>
      <c r="L9" s="24" t="s">
        <v>10</v>
      </c>
      <c r="M9" s="24" t="s">
        <v>11</v>
      </c>
      <c r="N9" s="24" t="s">
        <v>12</v>
      </c>
    </row>
    <row r="10" spans="1:18" s="20" customFormat="1" ht="10.199999999999999">
      <c r="A10" s="268">
        <v>2014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8" s="20" customFormat="1" ht="10.199999999999999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8" s="20" customFormat="1" ht="13.2">
      <c r="A12" s="23" t="s">
        <v>19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8" s="20" customFormat="1" ht="10.199999999999999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8" s="20" customFormat="1" ht="10.199999999999999">
      <c r="A14" s="26" t="s">
        <v>51</v>
      </c>
    </row>
    <row r="15" spans="1:18" s="20" customFormat="1" ht="10.199999999999999">
      <c r="A15" s="27" t="s">
        <v>48</v>
      </c>
      <c r="B15" s="28">
        <f>'SECI Network'!B13</f>
        <v>0</v>
      </c>
      <c r="C15" s="28">
        <f>'SECI Network'!C13</f>
        <v>0</v>
      </c>
      <c r="D15" s="28">
        <f>'SECI Network'!D13</f>
        <v>0</v>
      </c>
      <c r="E15" s="28">
        <f>'SECI Network'!E13</f>
        <v>0</v>
      </c>
      <c r="F15" s="28">
        <f>'SECI Network'!F13</f>
        <v>0</v>
      </c>
      <c r="G15" s="28">
        <f>'SECI Network'!G13</f>
        <v>0</v>
      </c>
      <c r="H15" s="28">
        <f>'SECI Network'!H13</f>
        <v>0</v>
      </c>
      <c r="I15" s="28">
        <f>'SECI Network'!I13</f>
        <v>0</v>
      </c>
      <c r="J15" s="28">
        <f>'SECI Network'!J13</f>
        <v>0</v>
      </c>
      <c r="K15" s="28">
        <f>'SECI Network'!K13</f>
        <v>0</v>
      </c>
      <c r="L15" s="28">
        <f>'SECI Network'!L13</f>
        <v>0</v>
      </c>
      <c r="M15" s="28">
        <f>'SECI Network'!M13</f>
        <v>0</v>
      </c>
      <c r="N15" s="21">
        <f>SUM(B15:M15)</f>
        <v>0</v>
      </c>
    </row>
    <row r="16" spans="1:18" s="20" customFormat="1" ht="10.199999999999999">
      <c r="A16" s="27" t="s">
        <v>49</v>
      </c>
      <c r="B16" s="35">
        <f>B17-B15</f>
        <v>552997.99999999977</v>
      </c>
      <c r="C16" s="35">
        <f t="shared" ref="C16:M16" si="0">C17-C15</f>
        <v>462315.99999999977</v>
      </c>
      <c r="D16" s="35">
        <f t="shared" si="0"/>
        <v>397681.00000000012</v>
      </c>
      <c r="E16" s="35">
        <f t="shared" si="0"/>
        <v>374618.00000000017</v>
      </c>
      <c r="F16" s="35">
        <f t="shared" si="0"/>
        <v>421063.00000000023</v>
      </c>
      <c r="G16" s="35">
        <f t="shared" si="0"/>
        <v>458192.99999999953</v>
      </c>
      <c r="H16" s="35">
        <f t="shared" si="0"/>
        <v>454653</v>
      </c>
      <c r="I16" s="35">
        <f t="shared" si="0"/>
        <v>458307.00000000012</v>
      </c>
      <c r="J16" s="35">
        <f t="shared" si="0"/>
        <v>427158.00000000006</v>
      </c>
      <c r="K16" s="35">
        <f t="shared" si="0"/>
        <v>395161.00000000006</v>
      </c>
      <c r="L16" s="35">
        <f t="shared" si="0"/>
        <v>339740.00000000041</v>
      </c>
      <c r="M16" s="35">
        <f t="shared" si="0"/>
        <v>463474.00000000041</v>
      </c>
      <c r="N16" s="21">
        <f>SUM(B16:M16)</f>
        <v>5205362</v>
      </c>
    </row>
    <row r="17" spans="1:15" s="29" customFormat="1">
      <c r="A17" s="27" t="s">
        <v>47</v>
      </c>
      <c r="B17" s="146">
        <f>'SECI Network'!B15</f>
        <v>552997.99999999977</v>
      </c>
      <c r="C17" s="146">
        <f>'SECI Network'!C15</f>
        <v>462315.99999999977</v>
      </c>
      <c r="D17" s="146">
        <f>'SECI Network'!D15</f>
        <v>397681.00000000012</v>
      </c>
      <c r="E17" s="146">
        <f>'SECI Network'!E15</f>
        <v>374618.00000000017</v>
      </c>
      <c r="F17" s="146">
        <f>'SECI Network'!F15</f>
        <v>421063.00000000023</v>
      </c>
      <c r="G17" s="146">
        <f>'SECI Network'!G15</f>
        <v>458192.99999999953</v>
      </c>
      <c r="H17" s="146">
        <f>'SECI Network'!H15</f>
        <v>454653</v>
      </c>
      <c r="I17" s="146">
        <f>'SECI Network'!I15</f>
        <v>458307.00000000012</v>
      </c>
      <c r="J17" s="146">
        <f>'SECI Network'!J15</f>
        <v>427158.00000000006</v>
      </c>
      <c r="K17" s="146">
        <f>'SECI Network'!K15</f>
        <v>395161.00000000006</v>
      </c>
      <c r="L17" s="146">
        <f>'SECI Network'!L15</f>
        <v>339740.00000000041</v>
      </c>
      <c r="M17" s="146">
        <f>'SECI Network'!M15</f>
        <v>463474.00000000041</v>
      </c>
      <c r="N17" s="21">
        <f>SUM(B17:M17)</f>
        <v>5205362</v>
      </c>
      <c r="O17" s="22"/>
    </row>
    <row r="18" spans="1:15" s="29" customFormat="1">
      <c r="A18" s="27" t="s">
        <v>45</v>
      </c>
      <c r="B18" s="28">
        <f t="shared" ref="B18:M18" si="1">B19-B15-B16</f>
        <v>10423.293937850161</v>
      </c>
      <c r="C18" s="28">
        <f t="shared" si="1"/>
        <v>8714.0560366785503</v>
      </c>
      <c r="D18" s="36">
        <f t="shared" si="1"/>
        <v>7495.7702496179263</v>
      </c>
      <c r="E18" s="36">
        <f t="shared" si="1"/>
        <v>7061.0626591951004</v>
      </c>
      <c r="F18" s="36">
        <f t="shared" si="1"/>
        <v>7936.4905756494845</v>
      </c>
      <c r="G18" s="36">
        <f t="shared" si="1"/>
        <v>8636.3428425878519</v>
      </c>
      <c r="H18" s="36">
        <f t="shared" si="1"/>
        <v>8569.6184411614668</v>
      </c>
      <c r="I18" s="36">
        <f t="shared" si="1"/>
        <v>8638.4915944982204</v>
      </c>
      <c r="J18" s="36">
        <f t="shared" si="1"/>
        <v>8051.3734080488794</v>
      </c>
      <c r="K18" s="36">
        <f t="shared" si="1"/>
        <v>7448.2715231787879</v>
      </c>
      <c r="L18" s="36">
        <f t="shared" si="1"/>
        <v>6403.6576668364578</v>
      </c>
      <c r="M18" s="36">
        <f t="shared" si="1"/>
        <v>8735.8828323993948</v>
      </c>
      <c r="N18" s="21">
        <f>SUM(B18:M18)</f>
        <v>98114.311767702282</v>
      </c>
      <c r="O18" s="22"/>
    </row>
    <row r="19" spans="1:15" s="29" customFormat="1">
      <c r="A19" s="27" t="s">
        <v>50</v>
      </c>
      <c r="B19" s="28">
        <f>(B15/(1-0.0213)/(1-'Transmission Formula Rate (7)'!$B$27))+(B16/(1-'Transmission Formula Rate (7)'!$B$27))</f>
        <v>563421.29393784993</v>
      </c>
      <c r="C19" s="28">
        <f>(C15/(1-0.0213)/(1-'Transmission Formula Rate (7)'!$B$27))+(C16/(1-'Transmission Formula Rate (7)'!$B$27))</f>
        <v>471030.05603667832</v>
      </c>
      <c r="D19" s="28">
        <f>(D15/(1-0.0213)/(1-'Transmission Formula Rate (7)'!$B$27))+(D16/(1-'Transmission Formula Rate (7)'!$B$27))</f>
        <v>405176.77024961804</v>
      </c>
      <c r="E19" s="28">
        <f>(E15/(1-0.0213)/(1-'Transmission Formula Rate (7)'!$B$27))+(E16/(1-'Transmission Formula Rate (7)'!$B$27))</f>
        <v>381679.06265919528</v>
      </c>
      <c r="F19" s="28">
        <f>(F15/(1-0.0213)/(1-'Transmission Formula Rate (7)'!$B$27))+(F16/(1-'Transmission Formula Rate (7)'!$B$27))</f>
        <v>428999.49057564972</v>
      </c>
      <c r="G19" s="28">
        <f>(G15/(1-0.0213)/(1-'Transmission Formula Rate (7)'!$B$27))+(G16/(1-'Transmission Formula Rate (7)'!$B$27))</f>
        <v>466829.34284258739</v>
      </c>
      <c r="H19" s="28">
        <f>(H15/(1-0.0213)/(1-'Transmission Formula Rate (7)'!$B$27))+(H16/(1-'Transmission Formula Rate (7)'!$B$27))</f>
        <v>463222.61844116147</v>
      </c>
      <c r="I19" s="28">
        <f>(I15/(1-0.0213)/(1-'Transmission Formula Rate (7)'!$B$27))+(I16/(1-'Transmission Formula Rate (7)'!$B$27))</f>
        <v>466945.49159449834</v>
      </c>
      <c r="J19" s="28">
        <f>(J15/(1-0.0213)/(1-'Transmission Formula Rate (7)'!$B$27))+(J16/(1-'Transmission Formula Rate (7)'!$B$27))</f>
        <v>435209.37340804894</v>
      </c>
      <c r="K19" s="28">
        <f>(K15/(1-0.0213)/(1-'Transmission Formula Rate (7)'!$B$27))+(K16/(1-'Transmission Formula Rate (7)'!$B$27))</f>
        <v>402609.27152317885</v>
      </c>
      <c r="L19" s="28">
        <f>(L15/(1-0.0213)/(1-'Transmission Formula Rate (7)'!$B$27))+(L16/(1-'Transmission Formula Rate (7)'!$B$27))</f>
        <v>346143.65766683687</v>
      </c>
      <c r="M19" s="28">
        <f>(M15/(1-0.0213)/(1-'Transmission Formula Rate (7)'!$B$27))+(M16/(1-'Transmission Formula Rate (7)'!$B$27))</f>
        <v>472209.8828323998</v>
      </c>
      <c r="N19" s="21">
        <f>SUM(B19:M19)</f>
        <v>5303476.311767702</v>
      </c>
      <c r="O19" s="22"/>
    </row>
    <row r="20" spans="1:15" s="29" customFormat="1">
      <c r="A20" s="27" t="s">
        <v>52</v>
      </c>
      <c r="B20" s="48">
        <f>'Transmission Formula Rate (7)'!$B$25</f>
        <v>1.35E-2</v>
      </c>
      <c r="C20" s="48">
        <f>'Transmission Formula Rate (7)'!$B$25</f>
        <v>1.35E-2</v>
      </c>
      <c r="D20" s="48">
        <f>'Transmission Formula Rate (7)'!$B$25</f>
        <v>1.35E-2</v>
      </c>
      <c r="E20" s="48">
        <f>'Transmission Formula Rate (7)'!$B$25</f>
        <v>1.35E-2</v>
      </c>
      <c r="F20" s="48">
        <f>'Transmission Formula Rate (7)'!$B$25</f>
        <v>1.35E-2</v>
      </c>
      <c r="G20" s="48">
        <f>'Transmission Formula Rate (7)'!$B$25</f>
        <v>1.35E-2</v>
      </c>
      <c r="H20" s="48">
        <f>'Transmission Formula Rate (7)'!$B$25</f>
        <v>1.35E-2</v>
      </c>
      <c r="I20" s="48">
        <f>'Transmission Formula Rate (7)'!$B$25</f>
        <v>1.35E-2</v>
      </c>
      <c r="J20" s="48">
        <f>'Transmission Formula Rate (7)'!$B$25</f>
        <v>1.35E-2</v>
      </c>
      <c r="K20" s="48">
        <f>'Transmission Formula Rate (7)'!$B$25</f>
        <v>1.35E-2</v>
      </c>
      <c r="L20" s="48">
        <f>'Transmission Formula Rate (7)'!$B$25</f>
        <v>1.35E-2</v>
      </c>
      <c r="M20" s="48">
        <f>'Transmission Formula Rate (7)'!$B$25</f>
        <v>1.35E-2</v>
      </c>
      <c r="N20" s="21"/>
      <c r="O20" s="22"/>
    </row>
    <row r="21" spans="1:15" s="20" customFormat="1">
      <c r="A21" s="26" t="s">
        <v>53</v>
      </c>
      <c r="B21" s="49">
        <f>'Transmission Formula Rate (7)'!$B$26</f>
        <v>4.8179999999999996</v>
      </c>
      <c r="C21" s="49">
        <f>'Transmission Formula Rate (7)'!$B$26</f>
        <v>4.8179999999999996</v>
      </c>
      <c r="D21" s="49">
        <f>'Transmission Formula Rate (7)'!$B$26</f>
        <v>4.8179999999999996</v>
      </c>
      <c r="E21" s="49">
        <f>'Transmission Formula Rate (7)'!$B$26</f>
        <v>4.8179999999999996</v>
      </c>
      <c r="F21" s="49">
        <f>'Transmission Formula Rate (7)'!$B$26</f>
        <v>4.8179999999999996</v>
      </c>
      <c r="G21" s="49">
        <f>'Transmission Formula Rate (7)'!$B$26</f>
        <v>4.8179999999999996</v>
      </c>
      <c r="H21" s="49">
        <f>'Transmission Formula Rate (7)'!$B$26</f>
        <v>4.8179999999999996</v>
      </c>
      <c r="I21" s="49">
        <f>'Transmission Formula Rate (7)'!$B$26</f>
        <v>4.8179999999999996</v>
      </c>
      <c r="J21" s="49">
        <f>'Transmission Formula Rate (7)'!$B$26</f>
        <v>4.8179999999999996</v>
      </c>
      <c r="K21" s="49">
        <f>'Transmission Formula Rate (7)'!$B$26</f>
        <v>4.8179999999999996</v>
      </c>
      <c r="L21" s="49">
        <f>'Transmission Formula Rate (7)'!$B$26</f>
        <v>4.8179999999999996</v>
      </c>
      <c r="M21" s="49">
        <f>'Transmission Formula Rate (7)'!$B$26</f>
        <v>4.8179999999999996</v>
      </c>
      <c r="O21" s="22"/>
    </row>
    <row r="22" spans="1:15" s="20" customFormat="1">
      <c r="A22" s="26" t="s">
        <v>17</v>
      </c>
      <c r="B22" s="21">
        <f>B19*B20*B21</f>
        <v>36646.611221599574</v>
      </c>
      <c r="C22" s="21">
        <f t="shared" ref="C22:M22" si="2">C19*C20*C21</f>
        <v>30637.207934793663</v>
      </c>
      <c r="D22" s="21">
        <f t="shared" si="2"/>
        <v>26353.912667345907</v>
      </c>
      <c r="E22" s="21">
        <f t="shared" si="2"/>
        <v>24825.551272542038</v>
      </c>
      <c r="F22" s="21">
        <f t="shared" si="2"/>
        <v>27903.413865511982</v>
      </c>
      <c r="G22" s="21">
        <f t="shared" si="2"/>
        <v>30363.980946510408</v>
      </c>
      <c r="H22" s="21">
        <f t="shared" si="2"/>
        <v>30129.388771268463</v>
      </c>
      <c r="I22" s="21">
        <f t="shared" si="2"/>
        <v>30371.535609780953</v>
      </c>
      <c r="J22" s="21">
        <f t="shared" si="2"/>
        <v>28307.323274579725</v>
      </c>
      <c r="K22" s="21">
        <f t="shared" si="2"/>
        <v>26186.914847682117</v>
      </c>
      <c r="L22" s="21">
        <f t="shared" si="2"/>
        <v>22514.221925624068</v>
      </c>
      <c r="M22" s="21">
        <f t="shared" si="2"/>
        <v>30713.94740906778</v>
      </c>
      <c r="N22" s="21">
        <f>SUM(B22:M22)</f>
        <v>344954.00974630669</v>
      </c>
      <c r="O22" s="22"/>
    </row>
    <row r="23" spans="1:15" s="20" customFormat="1">
      <c r="O23" s="22"/>
    </row>
    <row r="24" spans="1:15" s="20" customFormat="1" ht="10.199999999999999">
      <c r="A24" s="26"/>
      <c r="B24" s="24" t="s">
        <v>0</v>
      </c>
      <c r="C24" s="24" t="s">
        <v>1</v>
      </c>
      <c r="D24" s="24" t="s">
        <v>2</v>
      </c>
      <c r="E24" s="24" t="s">
        <v>3</v>
      </c>
      <c r="F24" s="24" t="s">
        <v>4</v>
      </c>
      <c r="G24" s="24" t="s">
        <v>5</v>
      </c>
      <c r="H24" s="24" t="s">
        <v>6</v>
      </c>
      <c r="I24" s="24" t="s">
        <v>7</v>
      </c>
      <c r="J24" s="24" t="s">
        <v>8</v>
      </c>
      <c r="K24" s="24" t="s">
        <v>9</v>
      </c>
      <c r="L24" s="24" t="s">
        <v>10</v>
      </c>
      <c r="M24" s="24" t="s">
        <v>11</v>
      </c>
      <c r="N24" s="24" t="s">
        <v>12</v>
      </c>
    </row>
    <row r="25" spans="1:15" s="20" customFormat="1" ht="10.199999999999999">
      <c r="A25" s="268">
        <f>+A10+1</f>
        <v>2015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5" s="20" customFormat="1" ht="13.2">
      <c r="A26" s="23" t="s">
        <v>19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5" s="20" customFormat="1" ht="10.199999999999999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5" s="20" customFormat="1" ht="10.199999999999999">
      <c r="A28" s="26" t="s">
        <v>51</v>
      </c>
    </row>
    <row r="29" spans="1:15" s="20" customFormat="1" ht="10.199999999999999">
      <c r="A29" s="27" t="s">
        <v>48</v>
      </c>
      <c r="B29" s="28">
        <f>'SECI Network'!B37</f>
        <v>0</v>
      </c>
      <c r="C29" s="28">
        <f>'SECI Network'!C37</f>
        <v>0</v>
      </c>
      <c r="D29" s="28">
        <f>'SECI Network'!D37</f>
        <v>0</v>
      </c>
      <c r="E29" s="28">
        <f>'SECI Network'!E37</f>
        <v>0</v>
      </c>
      <c r="F29" s="28">
        <f>'SECI Network'!F37</f>
        <v>0</v>
      </c>
      <c r="G29" s="28">
        <f>'SECI Network'!G37</f>
        <v>0</v>
      </c>
      <c r="H29" s="28">
        <f>'SECI Network'!H37</f>
        <v>0</v>
      </c>
      <c r="I29" s="28">
        <f>'SECI Network'!I37</f>
        <v>0</v>
      </c>
      <c r="J29" s="28">
        <f>'SECI Network'!J37</f>
        <v>0</v>
      </c>
      <c r="K29" s="28">
        <f>'SECI Network'!K37</f>
        <v>0</v>
      </c>
      <c r="L29" s="28">
        <f>'SECI Network'!L37</f>
        <v>0</v>
      </c>
      <c r="M29" s="28">
        <f>'SECI Network'!M37</f>
        <v>0</v>
      </c>
      <c r="N29" s="21">
        <f>SUM(B29:M29)</f>
        <v>0</v>
      </c>
    </row>
    <row r="30" spans="1:15" s="20" customFormat="1" ht="10.199999999999999">
      <c r="A30" s="27" t="s">
        <v>49</v>
      </c>
      <c r="B30" s="35">
        <f t="shared" ref="B30:M30" si="3">B31-B29</f>
        <v>566819.99999999977</v>
      </c>
      <c r="C30" s="35">
        <f t="shared" si="3"/>
        <v>462315.99999999977</v>
      </c>
      <c r="D30" s="35">
        <f t="shared" si="3"/>
        <v>397681.00000000012</v>
      </c>
      <c r="E30" s="35">
        <f t="shared" si="3"/>
        <v>374618.00000000017</v>
      </c>
      <c r="F30" s="35">
        <f t="shared" si="3"/>
        <v>421063.00000000023</v>
      </c>
      <c r="G30" s="35">
        <f t="shared" si="3"/>
        <v>458192.99999999953</v>
      </c>
      <c r="H30" s="35">
        <f t="shared" si="3"/>
        <v>454653</v>
      </c>
      <c r="I30" s="35">
        <f t="shared" si="3"/>
        <v>458307.00000000012</v>
      </c>
      <c r="J30" s="35">
        <f t="shared" si="3"/>
        <v>427158.00000000006</v>
      </c>
      <c r="K30" s="35">
        <f t="shared" si="3"/>
        <v>395161.00000000006</v>
      </c>
      <c r="L30" s="35">
        <f t="shared" si="3"/>
        <v>339740.00000000041</v>
      </c>
      <c r="M30" s="35">
        <f t="shared" si="3"/>
        <v>463474.00000000041</v>
      </c>
      <c r="N30" s="21">
        <f>SUM(B30:M30)</f>
        <v>5219184</v>
      </c>
    </row>
    <row r="31" spans="1:15" s="29" customFormat="1">
      <c r="A31" s="27" t="s">
        <v>47</v>
      </c>
      <c r="B31" s="146">
        <f>'SECI Network'!B39</f>
        <v>566819.99999999977</v>
      </c>
      <c r="C31" s="146">
        <f>'SECI Network'!C39</f>
        <v>462315.99999999977</v>
      </c>
      <c r="D31" s="146">
        <f>'SECI Network'!D39</f>
        <v>397681.00000000012</v>
      </c>
      <c r="E31" s="146">
        <f>'SECI Network'!E39</f>
        <v>374618.00000000017</v>
      </c>
      <c r="F31" s="146">
        <f>'SECI Network'!F39</f>
        <v>421063.00000000023</v>
      </c>
      <c r="G31" s="146">
        <f>'SECI Network'!G39</f>
        <v>458192.99999999953</v>
      </c>
      <c r="H31" s="146">
        <f>'SECI Network'!H39</f>
        <v>454653</v>
      </c>
      <c r="I31" s="146">
        <f>'SECI Network'!I39</f>
        <v>458307.00000000012</v>
      </c>
      <c r="J31" s="146">
        <f>'SECI Network'!J39</f>
        <v>427158.00000000006</v>
      </c>
      <c r="K31" s="146">
        <f>'SECI Network'!K39</f>
        <v>395161.00000000006</v>
      </c>
      <c r="L31" s="146">
        <f>'SECI Network'!L39</f>
        <v>339740.00000000041</v>
      </c>
      <c r="M31" s="146">
        <f>'SECI Network'!M39</f>
        <v>463474.00000000041</v>
      </c>
      <c r="N31" s="21">
        <f>SUM(B31:M31)</f>
        <v>5219184</v>
      </c>
      <c r="O31" s="22"/>
    </row>
    <row r="32" spans="1:15" s="29" customFormat="1">
      <c r="A32" s="27" t="s">
        <v>45</v>
      </c>
      <c r="B32" s="28">
        <f>B33-B29-B30</f>
        <v>10683.820682628546</v>
      </c>
      <c r="C32" s="28">
        <f t="shared" ref="C32:M32" si="4">C33-C29-C30</f>
        <v>8714.0560366785503</v>
      </c>
      <c r="D32" s="36">
        <f t="shared" si="4"/>
        <v>7495.7702496179263</v>
      </c>
      <c r="E32" s="36">
        <f t="shared" si="4"/>
        <v>7061.0626591951004</v>
      </c>
      <c r="F32" s="36">
        <f t="shared" si="4"/>
        <v>7936.4905756494845</v>
      </c>
      <c r="G32" s="36">
        <f t="shared" si="4"/>
        <v>8636.3428425878519</v>
      </c>
      <c r="H32" s="36">
        <f t="shared" si="4"/>
        <v>8569.6184411614668</v>
      </c>
      <c r="I32" s="36">
        <f t="shared" si="4"/>
        <v>8638.4915944982204</v>
      </c>
      <c r="J32" s="36">
        <f t="shared" si="4"/>
        <v>8051.3734080488794</v>
      </c>
      <c r="K32" s="36">
        <f t="shared" si="4"/>
        <v>7448.2715231787879</v>
      </c>
      <c r="L32" s="36">
        <f t="shared" si="4"/>
        <v>6403.6576668364578</v>
      </c>
      <c r="M32" s="36">
        <f t="shared" si="4"/>
        <v>8735.8828323993948</v>
      </c>
      <c r="N32" s="21">
        <f>SUM(B32:M32)</f>
        <v>98374.838512480666</v>
      </c>
      <c r="O32" s="22"/>
    </row>
    <row r="33" spans="1:15" s="29" customFormat="1">
      <c r="A33" s="27" t="s">
        <v>50</v>
      </c>
      <c r="B33" s="28">
        <f>(B29/(1-0.0213)/(1-'Transmission Formula Rate (7)'!$B$27))+(B30/(1-'Transmission Formula Rate (7)'!$B$27))</f>
        <v>577503.82068262831</v>
      </c>
      <c r="C33" s="28">
        <f>(C29/(1-0.0213)/(1-'Transmission Formula Rate (7)'!$B$27))+(C30/(1-'Transmission Formula Rate (7)'!$B$27))</f>
        <v>471030.05603667832</v>
      </c>
      <c r="D33" s="28">
        <f>(D29/(1-0.0213)/(1-'Transmission Formula Rate (7)'!$B$27))+(D30/(1-'Transmission Formula Rate (7)'!$B$27))</f>
        <v>405176.77024961804</v>
      </c>
      <c r="E33" s="28">
        <f>(E29/(1-0.0213)/(1-'Transmission Formula Rate (7)'!$B$27))+(E30/(1-'Transmission Formula Rate (7)'!$B$27))</f>
        <v>381679.06265919528</v>
      </c>
      <c r="F33" s="28">
        <f>(F29/(1-0.0213)/(1-'Transmission Formula Rate (7)'!$B$27))+(F30/(1-'Transmission Formula Rate (7)'!$B$27))</f>
        <v>428999.49057564972</v>
      </c>
      <c r="G33" s="28">
        <f>(G29/(1-0.0213)/(1-'Transmission Formula Rate (7)'!$B$27))+(G30/(1-'Transmission Formula Rate (7)'!$B$27))</f>
        <v>466829.34284258739</v>
      </c>
      <c r="H33" s="28">
        <f>(H29/(1-0.0213)/(1-'Transmission Formula Rate (7)'!$B$27))+(H30/(1-'Transmission Formula Rate (7)'!$B$27))</f>
        <v>463222.61844116147</v>
      </c>
      <c r="I33" s="28">
        <f>(I29/(1-0.0213)/(1-'Transmission Formula Rate (7)'!$B$27))+(I30/(1-'Transmission Formula Rate (7)'!$B$27))</f>
        <v>466945.49159449834</v>
      </c>
      <c r="J33" s="28">
        <f>(J29/(1-0.0213)/(1-'Transmission Formula Rate (7)'!$B$27))+(J30/(1-'Transmission Formula Rate (7)'!$B$27))</f>
        <v>435209.37340804894</v>
      </c>
      <c r="K33" s="28">
        <f>(K29/(1-0.0213)/(1-'Transmission Formula Rate (7)'!$B$27))+(K30/(1-'Transmission Formula Rate (7)'!$B$27))</f>
        <v>402609.27152317885</v>
      </c>
      <c r="L33" s="28">
        <f>(L29/(1-0.0213)/(1-'Transmission Formula Rate (7)'!$B$27))+(L30/(1-'Transmission Formula Rate (7)'!$B$27))</f>
        <v>346143.65766683687</v>
      </c>
      <c r="M33" s="28">
        <f>(M29/(1-0.0213)/(1-'Transmission Formula Rate (7)'!$B$27))+(M30/(1-'Transmission Formula Rate (7)'!$B$27))</f>
        <v>472209.8828323998</v>
      </c>
      <c r="N33" s="21">
        <f>SUM(B33:M33)</f>
        <v>5317558.8385124812</v>
      </c>
      <c r="O33" s="22"/>
    </row>
    <row r="34" spans="1:15" s="29" customFormat="1">
      <c r="A34" s="27" t="s">
        <v>52</v>
      </c>
      <c r="B34" s="48">
        <f>B20</f>
        <v>1.35E-2</v>
      </c>
      <c r="C34" s="48">
        <f t="shared" ref="C34:M34" si="5">C20</f>
        <v>1.35E-2</v>
      </c>
      <c r="D34" s="48">
        <f t="shared" si="5"/>
        <v>1.35E-2</v>
      </c>
      <c r="E34" s="48">
        <f t="shared" si="5"/>
        <v>1.35E-2</v>
      </c>
      <c r="F34" s="48">
        <f t="shared" si="5"/>
        <v>1.35E-2</v>
      </c>
      <c r="G34" s="48">
        <f t="shared" si="5"/>
        <v>1.35E-2</v>
      </c>
      <c r="H34" s="48">
        <f t="shared" si="5"/>
        <v>1.35E-2</v>
      </c>
      <c r="I34" s="48">
        <f t="shared" si="5"/>
        <v>1.35E-2</v>
      </c>
      <c r="J34" s="48">
        <f t="shared" si="5"/>
        <v>1.35E-2</v>
      </c>
      <c r="K34" s="48">
        <f t="shared" si="5"/>
        <v>1.35E-2</v>
      </c>
      <c r="L34" s="48">
        <f t="shared" si="5"/>
        <v>1.35E-2</v>
      </c>
      <c r="M34" s="48">
        <f t="shared" si="5"/>
        <v>1.35E-2</v>
      </c>
      <c r="N34" s="21"/>
      <c r="O34" s="22"/>
    </row>
    <row r="35" spans="1:15" s="20" customFormat="1">
      <c r="A35" s="26" t="s">
        <v>53</v>
      </c>
      <c r="B35" s="49">
        <f>B21</f>
        <v>4.8179999999999996</v>
      </c>
      <c r="C35" s="49">
        <f t="shared" ref="C35:M35" si="6">C21</f>
        <v>4.8179999999999996</v>
      </c>
      <c r="D35" s="49">
        <f t="shared" si="6"/>
        <v>4.8179999999999996</v>
      </c>
      <c r="E35" s="49">
        <f t="shared" si="6"/>
        <v>4.8179999999999996</v>
      </c>
      <c r="F35" s="49">
        <f t="shared" si="6"/>
        <v>4.8179999999999996</v>
      </c>
      <c r="G35" s="49">
        <f t="shared" si="6"/>
        <v>4.8179999999999996</v>
      </c>
      <c r="H35" s="49">
        <f t="shared" si="6"/>
        <v>4.8179999999999996</v>
      </c>
      <c r="I35" s="49">
        <f t="shared" si="6"/>
        <v>4.8179999999999996</v>
      </c>
      <c r="J35" s="49">
        <f t="shared" si="6"/>
        <v>4.8179999999999996</v>
      </c>
      <c r="K35" s="49">
        <f t="shared" si="6"/>
        <v>4.8179999999999996</v>
      </c>
      <c r="L35" s="49">
        <f t="shared" si="6"/>
        <v>4.8179999999999996</v>
      </c>
      <c r="M35" s="49">
        <f t="shared" si="6"/>
        <v>4.8179999999999996</v>
      </c>
      <c r="O35" s="22"/>
    </row>
    <row r="36" spans="1:15" s="20" customFormat="1">
      <c r="A36" s="26" t="s">
        <v>17</v>
      </c>
      <c r="B36" s="21">
        <f>B33*B34*B35</f>
        <v>37562.581008660192</v>
      </c>
      <c r="C36" s="21">
        <f t="shared" ref="C36:M36" si="7">C33*C34*C35</f>
        <v>30637.207934793663</v>
      </c>
      <c r="D36" s="21">
        <f t="shared" si="7"/>
        <v>26353.912667345907</v>
      </c>
      <c r="E36" s="21">
        <f t="shared" si="7"/>
        <v>24825.551272542038</v>
      </c>
      <c r="F36" s="21">
        <f t="shared" si="7"/>
        <v>27903.413865511982</v>
      </c>
      <c r="G36" s="21">
        <f t="shared" si="7"/>
        <v>30363.980946510408</v>
      </c>
      <c r="H36" s="21">
        <f t="shared" si="7"/>
        <v>30129.388771268463</v>
      </c>
      <c r="I36" s="21">
        <f t="shared" si="7"/>
        <v>30371.535609780953</v>
      </c>
      <c r="J36" s="21">
        <f t="shared" si="7"/>
        <v>28307.323274579725</v>
      </c>
      <c r="K36" s="21">
        <f t="shared" si="7"/>
        <v>26186.914847682117</v>
      </c>
      <c r="L36" s="21">
        <f t="shared" si="7"/>
        <v>22514.221925624068</v>
      </c>
      <c r="M36" s="21">
        <f t="shared" si="7"/>
        <v>30713.94740906778</v>
      </c>
      <c r="N36" s="21">
        <f>SUM(B36:M36)</f>
        <v>345869.97953336727</v>
      </c>
      <c r="O36" s="22"/>
    </row>
    <row r="37" spans="1:15" s="20" customFormat="1">
      <c r="O37" s="22"/>
    </row>
    <row r="38" spans="1:15" s="20" customFormat="1" ht="10.199999999999999">
      <c r="A38" s="26"/>
      <c r="B38" s="24" t="s">
        <v>0</v>
      </c>
      <c r="C38" s="24" t="s">
        <v>1</v>
      </c>
      <c r="D38" s="24" t="s">
        <v>2</v>
      </c>
      <c r="E38" s="24" t="s">
        <v>3</v>
      </c>
      <c r="F38" s="24" t="s">
        <v>4</v>
      </c>
      <c r="G38" s="24" t="s">
        <v>5</v>
      </c>
      <c r="H38" s="24" t="s">
        <v>6</v>
      </c>
      <c r="I38" s="24" t="s">
        <v>7</v>
      </c>
      <c r="J38" s="24" t="s">
        <v>8</v>
      </c>
      <c r="K38" s="24" t="s">
        <v>9</v>
      </c>
      <c r="L38" s="24" t="s">
        <v>10</v>
      </c>
      <c r="M38" s="24" t="s">
        <v>11</v>
      </c>
      <c r="N38" s="24" t="s">
        <v>12</v>
      </c>
    </row>
    <row r="39" spans="1:15" s="20" customFormat="1" ht="10.199999999999999">
      <c r="A39" s="268">
        <f>+A25+1</f>
        <v>2016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5" s="20" customFormat="1" ht="13.2">
      <c r="A40" s="23" t="s">
        <v>19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5" s="20" customFormat="1" ht="10.199999999999999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5" s="20" customFormat="1" ht="10.199999999999999">
      <c r="A42" s="26" t="s">
        <v>51</v>
      </c>
    </row>
    <row r="43" spans="1:15" s="20" customFormat="1" ht="10.199999999999999">
      <c r="A43" s="27" t="s">
        <v>48</v>
      </c>
      <c r="B43" s="28">
        <f>'SECI Network'!B61</f>
        <v>0</v>
      </c>
      <c r="C43" s="28">
        <f>'SECI Network'!C61</f>
        <v>0</v>
      </c>
      <c r="D43" s="28">
        <f>'SECI Network'!D61</f>
        <v>0</v>
      </c>
      <c r="E43" s="28">
        <f>'SECI Network'!E61</f>
        <v>0</v>
      </c>
      <c r="F43" s="28">
        <f>'SECI Network'!F61</f>
        <v>0</v>
      </c>
      <c r="G43" s="28">
        <f>'SECI Network'!G61</f>
        <v>0</v>
      </c>
      <c r="H43" s="28">
        <f>'SECI Network'!H61</f>
        <v>0</v>
      </c>
      <c r="I43" s="28">
        <f>'SECI Network'!I61</f>
        <v>0</v>
      </c>
      <c r="J43" s="28">
        <f>'SECI Network'!J61</f>
        <v>0</v>
      </c>
      <c r="K43" s="28">
        <f>'SECI Network'!K61</f>
        <v>0</v>
      </c>
      <c r="L43" s="28">
        <f>'SECI Network'!L61</f>
        <v>0</v>
      </c>
      <c r="M43" s="28">
        <f>'SECI Network'!M61</f>
        <v>0</v>
      </c>
      <c r="N43" s="21">
        <f>SUM(B43:M43)</f>
        <v>0</v>
      </c>
    </row>
    <row r="44" spans="1:15" s="20" customFormat="1" ht="10.199999999999999">
      <c r="A44" s="27" t="s">
        <v>49</v>
      </c>
      <c r="B44" s="35">
        <f t="shared" ref="B44:M44" si="8">B45-B43</f>
        <v>521466</v>
      </c>
      <c r="C44" s="35">
        <f t="shared" si="8"/>
        <v>427422</v>
      </c>
      <c r="D44" s="35">
        <f t="shared" si="8"/>
        <v>381260</v>
      </c>
      <c r="E44" s="35">
        <f t="shared" si="8"/>
        <v>360521</v>
      </c>
      <c r="F44" s="35">
        <f t="shared" si="8"/>
        <v>409183</v>
      </c>
      <c r="G44" s="35">
        <f t="shared" si="8"/>
        <v>442770</v>
      </c>
      <c r="H44" s="35">
        <f t="shared" si="8"/>
        <v>439071</v>
      </c>
      <c r="I44" s="35">
        <f t="shared" si="8"/>
        <v>438159</v>
      </c>
      <c r="J44" s="35">
        <f t="shared" si="8"/>
        <v>443170</v>
      </c>
      <c r="K44" s="35">
        <f t="shared" si="8"/>
        <v>384147</v>
      </c>
      <c r="L44" s="35">
        <f t="shared" si="8"/>
        <v>371047</v>
      </c>
      <c r="M44" s="35">
        <f t="shared" si="8"/>
        <v>401928</v>
      </c>
      <c r="N44" s="21">
        <f>SUM(B44:M44)</f>
        <v>5020144</v>
      </c>
    </row>
    <row r="45" spans="1:15" s="29" customFormat="1">
      <c r="A45" s="27" t="s">
        <v>47</v>
      </c>
      <c r="B45" s="146">
        <f>'SECI Network'!B63</f>
        <v>521466</v>
      </c>
      <c r="C45" s="146">
        <f>'SECI Network'!C63</f>
        <v>427422</v>
      </c>
      <c r="D45" s="146">
        <f>'SECI Network'!D63</f>
        <v>381260</v>
      </c>
      <c r="E45" s="146">
        <f>'SECI Network'!E63</f>
        <v>360521</v>
      </c>
      <c r="F45" s="146">
        <f>'SECI Network'!F63</f>
        <v>409183</v>
      </c>
      <c r="G45" s="146">
        <f>'SECI Network'!G63</f>
        <v>442770</v>
      </c>
      <c r="H45" s="146">
        <f>'SECI Network'!H63</f>
        <v>439071</v>
      </c>
      <c r="I45" s="146">
        <f>'SECI Network'!I63</f>
        <v>438159</v>
      </c>
      <c r="J45" s="146">
        <f>'SECI Network'!J63</f>
        <v>443170</v>
      </c>
      <c r="K45" s="146">
        <f>'SECI Network'!K63</f>
        <v>384147</v>
      </c>
      <c r="L45" s="146">
        <f>'SECI Network'!L63</f>
        <v>371047</v>
      </c>
      <c r="M45" s="146">
        <f>'SECI Network'!M63</f>
        <v>401928</v>
      </c>
      <c r="N45" s="21">
        <f>SUM(B45:M45)</f>
        <v>5020144</v>
      </c>
      <c r="O45" s="22"/>
    </row>
    <row r="46" spans="1:15" s="29" customFormat="1">
      <c r="A46" s="27" t="s">
        <v>45</v>
      </c>
      <c r="B46" s="28">
        <f t="shared" ref="B46:M46" si="9">B47-B43-B44</f>
        <v>9828.9566989302402</v>
      </c>
      <c r="C46" s="28">
        <f t="shared" si="9"/>
        <v>8056.349465104402</v>
      </c>
      <c r="D46" s="36">
        <f t="shared" si="9"/>
        <v>7186.2557310239063</v>
      </c>
      <c r="E46" s="36">
        <f t="shared" si="9"/>
        <v>6795.3525216504931</v>
      </c>
      <c r="F46" s="36">
        <f t="shared" si="9"/>
        <v>7712.568008150789</v>
      </c>
      <c r="G46" s="36">
        <f t="shared" si="9"/>
        <v>8345.639327559853</v>
      </c>
      <c r="H46" s="36">
        <f t="shared" si="9"/>
        <v>8275.9179826795589</v>
      </c>
      <c r="I46" s="36">
        <f t="shared" si="9"/>
        <v>8258.7279673968442</v>
      </c>
      <c r="J46" s="36">
        <f t="shared" si="9"/>
        <v>8353.178807947028</v>
      </c>
      <c r="K46" s="36">
        <f t="shared" si="9"/>
        <v>7240.6719307182939</v>
      </c>
      <c r="L46" s="36">
        <f t="shared" si="9"/>
        <v>6993.7539480386768</v>
      </c>
      <c r="M46" s="36">
        <f t="shared" si="9"/>
        <v>7575.8206826286041</v>
      </c>
      <c r="N46" s="21">
        <f>SUM(B46:M46)</f>
        <v>94623.193071828689</v>
      </c>
      <c r="O46" s="22"/>
    </row>
    <row r="47" spans="1:15" s="29" customFormat="1">
      <c r="A47" s="27" t="s">
        <v>50</v>
      </c>
      <c r="B47" s="28">
        <f>(B43/(1-0.0213)/(1-'Transmission Formula Rate (7)'!$B$27))+(B44/(1-'Transmission Formula Rate (7)'!$B$27))</f>
        <v>531294.95669893024</v>
      </c>
      <c r="C47" s="28">
        <f>(C43/(1-0.0213)/(1-'Transmission Formula Rate (7)'!$B$27))+(C44/(1-'Transmission Formula Rate (7)'!$B$27))</f>
        <v>435478.3494651044</v>
      </c>
      <c r="D47" s="28">
        <f>(D43/(1-0.0213)/(1-'Transmission Formula Rate (7)'!$B$27))+(D44/(1-'Transmission Formula Rate (7)'!$B$27))</f>
        <v>388446.25573102391</v>
      </c>
      <c r="E47" s="28">
        <f>(E43/(1-0.0213)/(1-'Transmission Formula Rate (7)'!$B$27))+(E44/(1-'Transmission Formula Rate (7)'!$B$27))</f>
        <v>367316.35252165049</v>
      </c>
      <c r="F47" s="28">
        <f>(F43/(1-0.0213)/(1-'Transmission Formula Rate (7)'!$B$27))+(F44/(1-'Transmission Formula Rate (7)'!$B$27))</f>
        <v>416895.56800815079</v>
      </c>
      <c r="G47" s="28">
        <f>(G43/(1-0.0213)/(1-'Transmission Formula Rate (7)'!$B$27))+(G44/(1-'Transmission Formula Rate (7)'!$B$27))</f>
        <v>451115.63932755985</v>
      </c>
      <c r="H47" s="28">
        <f>(H43/(1-0.0213)/(1-'Transmission Formula Rate (7)'!$B$27))+(H44/(1-'Transmission Formula Rate (7)'!$B$27))</f>
        <v>447346.91798267956</v>
      </c>
      <c r="I47" s="28">
        <f>(I43/(1-0.0213)/(1-'Transmission Formula Rate (7)'!$B$27))+(I44/(1-'Transmission Formula Rate (7)'!$B$27))</f>
        <v>446417.72796739684</v>
      </c>
      <c r="J47" s="28">
        <f>(J43/(1-0.0213)/(1-'Transmission Formula Rate (7)'!$B$27))+(J44/(1-'Transmission Formula Rate (7)'!$B$27))</f>
        <v>451523.17880794703</v>
      </c>
      <c r="K47" s="28">
        <f>(K43/(1-0.0213)/(1-'Transmission Formula Rate (7)'!$B$27))+(K44/(1-'Transmission Formula Rate (7)'!$B$27))</f>
        <v>391387.67193071829</v>
      </c>
      <c r="L47" s="28">
        <f>(L43/(1-0.0213)/(1-'Transmission Formula Rate (7)'!$B$27))+(L44/(1-'Transmission Formula Rate (7)'!$B$27))</f>
        <v>378040.75394803868</v>
      </c>
      <c r="M47" s="28">
        <f>(M43/(1-0.0213)/(1-'Transmission Formula Rate (7)'!$B$27))+(M44/(1-'Transmission Formula Rate (7)'!$B$27))</f>
        <v>409503.8206826286</v>
      </c>
      <c r="N47" s="21">
        <f>SUM(B47:M47)</f>
        <v>5114767.1930718292</v>
      </c>
      <c r="O47" s="22"/>
    </row>
    <row r="48" spans="1:15" s="29" customFormat="1">
      <c r="A48" s="27" t="s">
        <v>52</v>
      </c>
      <c r="B48" s="48">
        <f>B34</f>
        <v>1.35E-2</v>
      </c>
      <c r="C48" s="48">
        <f t="shared" ref="C48:M48" si="10">C34</f>
        <v>1.35E-2</v>
      </c>
      <c r="D48" s="48">
        <f t="shared" si="10"/>
        <v>1.35E-2</v>
      </c>
      <c r="E48" s="48">
        <f t="shared" si="10"/>
        <v>1.35E-2</v>
      </c>
      <c r="F48" s="48">
        <f t="shared" si="10"/>
        <v>1.35E-2</v>
      </c>
      <c r="G48" s="48">
        <f t="shared" si="10"/>
        <v>1.35E-2</v>
      </c>
      <c r="H48" s="48">
        <f t="shared" si="10"/>
        <v>1.35E-2</v>
      </c>
      <c r="I48" s="48">
        <f t="shared" si="10"/>
        <v>1.35E-2</v>
      </c>
      <c r="J48" s="48">
        <f t="shared" si="10"/>
        <v>1.35E-2</v>
      </c>
      <c r="K48" s="48">
        <f t="shared" si="10"/>
        <v>1.35E-2</v>
      </c>
      <c r="L48" s="48">
        <f t="shared" si="10"/>
        <v>1.35E-2</v>
      </c>
      <c r="M48" s="48">
        <f t="shared" si="10"/>
        <v>1.35E-2</v>
      </c>
      <c r="N48" s="21"/>
      <c r="O48" s="22"/>
    </row>
    <row r="49" spans="1:15" s="29" customFormat="1">
      <c r="A49" s="26" t="s">
        <v>53</v>
      </c>
      <c r="B49" s="50">
        <f>B35</f>
        <v>4.8179999999999996</v>
      </c>
      <c r="C49" s="50">
        <f t="shared" ref="C49:M49" si="11">C35</f>
        <v>4.8179999999999996</v>
      </c>
      <c r="D49" s="50">
        <f t="shared" si="11"/>
        <v>4.8179999999999996</v>
      </c>
      <c r="E49" s="50">
        <f t="shared" si="11"/>
        <v>4.8179999999999996</v>
      </c>
      <c r="F49" s="50">
        <f t="shared" si="11"/>
        <v>4.8179999999999996</v>
      </c>
      <c r="G49" s="50">
        <f t="shared" si="11"/>
        <v>4.8179999999999996</v>
      </c>
      <c r="H49" s="50">
        <f t="shared" si="11"/>
        <v>4.8179999999999996</v>
      </c>
      <c r="I49" s="50">
        <f t="shared" si="11"/>
        <v>4.8179999999999996</v>
      </c>
      <c r="J49" s="50">
        <f t="shared" si="11"/>
        <v>4.8179999999999996</v>
      </c>
      <c r="K49" s="50">
        <f t="shared" si="11"/>
        <v>4.8179999999999996</v>
      </c>
      <c r="L49" s="50">
        <f t="shared" si="11"/>
        <v>4.8179999999999996</v>
      </c>
      <c r="M49" s="50">
        <f t="shared" si="11"/>
        <v>4.8179999999999996</v>
      </c>
      <c r="N49" s="21"/>
      <c r="O49" s="22"/>
    </row>
    <row r="50" spans="1:15" s="20" customFormat="1">
      <c r="A50" s="26" t="s">
        <v>17</v>
      </c>
      <c r="B50" s="21">
        <f>B47*B48*B49</f>
        <v>34557.017868568517</v>
      </c>
      <c r="C50" s="21">
        <f t="shared" ref="C50:M50" si="12">C47*C48*C49</f>
        <v>28324.818284258785</v>
      </c>
      <c r="D50" s="21">
        <f t="shared" si="12"/>
        <v>25265.709811512985</v>
      </c>
      <c r="E50" s="21">
        <f t="shared" si="12"/>
        <v>23891.35751706571</v>
      </c>
      <c r="F50" s="21">
        <f t="shared" si="12"/>
        <v>27116.13842995415</v>
      </c>
      <c r="G50" s="21">
        <f t="shared" si="12"/>
        <v>29341.914528782472</v>
      </c>
      <c r="H50" s="21">
        <f t="shared" si="12"/>
        <v>29096.785586347421</v>
      </c>
      <c r="I50" s="21">
        <f t="shared" si="12"/>
        <v>29036.348280183392</v>
      </c>
      <c r="J50" s="21">
        <f t="shared" si="12"/>
        <v>29368.422119205294</v>
      </c>
      <c r="K50" s="21">
        <f t="shared" si="12"/>
        <v>25457.028345389706</v>
      </c>
      <c r="L50" s="21">
        <f t="shared" si="12"/>
        <v>24588.904759042278</v>
      </c>
      <c r="M50" s="21">
        <f t="shared" si="12"/>
        <v>26635.357008660212</v>
      </c>
      <c r="N50" s="21">
        <f>SUM(B50:M50)</f>
        <v>332679.80253897089</v>
      </c>
      <c r="O50" s="22"/>
    </row>
    <row r="51" spans="1:15" s="20" customFormat="1">
      <c r="O51" s="22"/>
    </row>
    <row r="52" spans="1:15">
      <c r="B52" s="24" t="s">
        <v>0</v>
      </c>
      <c r="C52" s="24" t="s">
        <v>1</v>
      </c>
      <c r="D52" s="24" t="s">
        <v>2</v>
      </c>
      <c r="E52" s="24" t="s">
        <v>3</v>
      </c>
      <c r="F52" s="24" t="s">
        <v>4</v>
      </c>
      <c r="G52" s="24" t="s">
        <v>5</v>
      </c>
      <c r="H52" s="24" t="s">
        <v>6</v>
      </c>
      <c r="I52" s="24" t="s">
        <v>7</v>
      </c>
      <c r="J52" s="24" t="s">
        <v>8</v>
      </c>
      <c r="K52" s="24" t="s">
        <v>9</v>
      </c>
      <c r="L52" s="24" t="s">
        <v>10</v>
      </c>
      <c r="M52" s="24" t="s">
        <v>11</v>
      </c>
      <c r="N52" s="24" t="s">
        <v>12</v>
      </c>
    </row>
    <row r="53" spans="1:15">
      <c r="A53" s="268">
        <f>+A39+1</f>
        <v>2017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5" ht="13.2">
      <c r="A54" s="23" t="s">
        <v>19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5">
      <c r="A56" s="26" t="s">
        <v>51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5">
      <c r="A57" s="27" t="s">
        <v>48</v>
      </c>
      <c r="B57" s="28">
        <f>'SECI Network'!B85</f>
        <v>0</v>
      </c>
      <c r="C57" s="28">
        <f>'SECI Network'!C85</f>
        <v>0</v>
      </c>
      <c r="D57" s="28">
        <f>'SECI Network'!D85</f>
        <v>0</v>
      </c>
      <c r="E57" s="28">
        <f>'SECI Network'!E85</f>
        <v>0</v>
      </c>
      <c r="F57" s="28">
        <f>'SECI Network'!F85</f>
        <v>0</v>
      </c>
      <c r="G57" s="28">
        <f>'SECI Network'!G85</f>
        <v>0</v>
      </c>
      <c r="H57" s="28">
        <f>'SECI Network'!H85</f>
        <v>0</v>
      </c>
      <c r="I57" s="28">
        <f>'SECI Network'!I85</f>
        <v>0</v>
      </c>
      <c r="J57" s="28">
        <f>'SECI Network'!J85</f>
        <v>0</v>
      </c>
      <c r="K57" s="28">
        <f>'SECI Network'!K85</f>
        <v>0</v>
      </c>
      <c r="L57" s="28">
        <f>'SECI Network'!L85</f>
        <v>0</v>
      </c>
      <c r="M57" s="28">
        <f>'SECI Network'!M85</f>
        <v>0</v>
      </c>
      <c r="N57" s="21">
        <f>SUM(B57:M57)</f>
        <v>0</v>
      </c>
    </row>
    <row r="58" spans="1:15">
      <c r="A58" s="27" t="s">
        <v>49</v>
      </c>
      <c r="B58" s="35">
        <f t="shared" ref="B58:M58" si="13">B59-B57</f>
        <v>531216</v>
      </c>
      <c r="C58" s="35">
        <f t="shared" si="13"/>
        <v>421803</v>
      </c>
      <c r="D58" s="35">
        <f t="shared" si="13"/>
        <v>388042</v>
      </c>
      <c r="E58" s="35">
        <f t="shared" si="13"/>
        <v>367173</v>
      </c>
      <c r="F58" s="35">
        <f t="shared" si="13"/>
        <v>415663</v>
      </c>
      <c r="G58" s="35">
        <f t="shared" si="13"/>
        <v>449990</v>
      </c>
      <c r="H58" s="35">
        <f t="shared" si="13"/>
        <v>446398</v>
      </c>
      <c r="I58" s="35">
        <f t="shared" si="13"/>
        <v>445351</v>
      </c>
      <c r="J58" s="35">
        <f t="shared" si="13"/>
        <v>450611</v>
      </c>
      <c r="K58" s="35">
        <f t="shared" si="13"/>
        <v>390875</v>
      </c>
      <c r="L58" s="35">
        <f t="shared" si="13"/>
        <v>377082</v>
      </c>
      <c r="M58" s="35">
        <f t="shared" si="13"/>
        <v>408350</v>
      </c>
      <c r="N58" s="21">
        <f>SUM(B58:M58)</f>
        <v>5092554</v>
      </c>
    </row>
    <row r="59" spans="1:15">
      <c r="A59" s="27" t="s">
        <v>47</v>
      </c>
      <c r="B59" s="146">
        <f>'SECI Network'!B87</f>
        <v>531216</v>
      </c>
      <c r="C59" s="146">
        <f>'SECI Network'!C87</f>
        <v>421803</v>
      </c>
      <c r="D59" s="146">
        <f>'SECI Network'!D87</f>
        <v>388042</v>
      </c>
      <c r="E59" s="146">
        <f>'SECI Network'!E87</f>
        <v>367173</v>
      </c>
      <c r="F59" s="146">
        <f>'SECI Network'!F87</f>
        <v>415663</v>
      </c>
      <c r="G59" s="146">
        <f>'SECI Network'!G87</f>
        <v>449990</v>
      </c>
      <c r="H59" s="146">
        <f>'SECI Network'!H87</f>
        <v>446398</v>
      </c>
      <c r="I59" s="146">
        <f>'SECI Network'!I87</f>
        <v>445351</v>
      </c>
      <c r="J59" s="146">
        <f>'SECI Network'!J87</f>
        <v>450611</v>
      </c>
      <c r="K59" s="146">
        <f>'SECI Network'!K87</f>
        <v>390875</v>
      </c>
      <c r="L59" s="146">
        <f>'SECI Network'!L87</f>
        <v>377082</v>
      </c>
      <c r="M59" s="146">
        <f>'SECI Network'!M87</f>
        <v>408350</v>
      </c>
      <c r="N59" s="21">
        <f>SUM(B59:M59)</f>
        <v>5092554</v>
      </c>
    </row>
    <row r="60" spans="1:15">
      <c r="A60" s="27" t="s">
        <v>45</v>
      </c>
      <c r="B60" s="28">
        <f>B61-B57-B58</f>
        <v>10012.731533367303</v>
      </c>
      <c r="C60" s="28">
        <f t="shared" ref="C60:M60" si="14">C61-C57-C58</f>
        <v>7950.4386143657612</v>
      </c>
      <c r="D60" s="36">
        <f t="shared" si="14"/>
        <v>7314.0876209882554</v>
      </c>
      <c r="E60" s="36">
        <f t="shared" si="14"/>
        <v>6920.7340804890264</v>
      </c>
      <c r="F60" s="36">
        <f t="shared" si="14"/>
        <v>7834.7075904228259</v>
      </c>
      <c r="G60" s="36">
        <f t="shared" si="14"/>
        <v>8481.7269485481083</v>
      </c>
      <c r="H60" s="36">
        <f t="shared" si="14"/>
        <v>8414.0224146714318</v>
      </c>
      <c r="I60" s="36">
        <f t="shared" si="14"/>
        <v>8394.2878247579793</v>
      </c>
      <c r="J60" s="36">
        <f t="shared" si="14"/>
        <v>8493.431991849211</v>
      </c>
      <c r="K60" s="36">
        <f t="shared" si="14"/>
        <v>7367.4859908303479</v>
      </c>
      <c r="L60" s="36">
        <f t="shared" si="14"/>
        <v>7107.5058583799982</v>
      </c>
      <c r="M60" s="36">
        <f t="shared" si="14"/>
        <v>7696.8670402445132</v>
      </c>
      <c r="N60" s="21">
        <f>SUM(B60:M60)</f>
        <v>95988.027508914762</v>
      </c>
    </row>
    <row r="61" spans="1:15">
      <c r="A61" s="27" t="s">
        <v>50</v>
      </c>
      <c r="B61" s="28">
        <f>(B57/(1-0.0213)/(1-'Transmission Formula Rate (7)'!$B$27))+(B58/(1-'Transmission Formula Rate (7)'!$B$27))</f>
        <v>541228.7315333673</v>
      </c>
      <c r="C61" s="28">
        <f>(C57/(1-0.0213)/(1-'Transmission Formula Rate (7)'!$B$27))+(C58/(1-'Transmission Formula Rate (7)'!$B$27))</f>
        <v>429753.43861436576</v>
      </c>
      <c r="D61" s="28">
        <f>(D57/(1-0.0213)/(1-'Transmission Formula Rate (7)'!$B$27))+(D58/(1-'Transmission Formula Rate (7)'!$B$27))</f>
        <v>395356.08762098826</v>
      </c>
      <c r="E61" s="28">
        <f>(E57/(1-0.0213)/(1-'Transmission Formula Rate (7)'!$B$27))+(E58/(1-'Transmission Formula Rate (7)'!$B$27))</f>
        <v>374093.73408048903</v>
      </c>
      <c r="F61" s="28">
        <f>(F57/(1-0.0213)/(1-'Transmission Formula Rate (7)'!$B$27))+(F58/(1-'Transmission Formula Rate (7)'!$B$27))</f>
        <v>423497.70759042283</v>
      </c>
      <c r="G61" s="28">
        <f>(G57/(1-0.0213)/(1-'Transmission Formula Rate (7)'!$B$27))+(G58/(1-'Transmission Formula Rate (7)'!$B$27))</f>
        <v>458471.72694854811</v>
      </c>
      <c r="H61" s="28">
        <f>(H57/(1-0.0213)/(1-'Transmission Formula Rate (7)'!$B$27))+(H58/(1-'Transmission Formula Rate (7)'!$B$27))</f>
        <v>454812.02241467143</v>
      </c>
      <c r="I61" s="28">
        <f>(I57/(1-0.0213)/(1-'Transmission Formula Rate (7)'!$B$27))+(I58/(1-'Transmission Formula Rate (7)'!$B$27))</f>
        <v>453745.28782475798</v>
      </c>
      <c r="J61" s="28">
        <f>(J57/(1-0.0213)/(1-'Transmission Formula Rate (7)'!$B$27))+(J58/(1-'Transmission Formula Rate (7)'!$B$27))</f>
        <v>459104.43199184921</v>
      </c>
      <c r="K61" s="28">
        <f>(K57/(1-0.0213)/(1-'Transmission Formula Rate (7)'!$B$27))+(K58/(1-'Transmission Formula Rate (7)'!$B$27))</f>
        <v>398242.48599083035</v>
      </c>
      <c r="L61" s="28">
        <f>(L57/(1-0.0213)/(1-'Transmission Formula Rate (7)'!$B$27))+(L58/(1-'Transmission Formula Rate (7)'!$B$27))</f>
        <v>384189.50585838</v>
      </c>
      <c r="M61" s="28">
        <f>(M57/(1-0.0213)/(1-'Transmission Formula Rate (7)'!$B$27))+(M58/(1-'Transmission Formula Rate (7)'!$B$27))</f>
        <v>416046.86704024451</v>
      </c>
      <c r="N61" s="21">
        <f>SUM(B61:M61)</f>
        <v>5188542.0275089154</v>
      </c>
    </row>
    <row r="62" spans="1:15">
      <c r="A62" s="27" t="s">
        <v>52</v>
      </c>
      <c r="B62" s="48">
        <f>B48</f>
        <v>1.35E-2</v>
      </c>
      <c r="C62" s="48">
        <f t="shared" ref="C62:M62" si="15">C48</f>
        <v>1.35E-2</v>
      </c>
      <c r="D62" s="48">
        <f t="shared" si="15"/>
        <v>1.35E-2</v>
      </c>
      <c r="E62" s="48">
        <f t="shared" si="15"/>
        <v>1.35E-2</v>
      </c>
      <c r="F62" s="48">
        <f t="shared" si="15"/>
        <v>1.35E-2</v>
      </c>
      <c r="G62" s="48">
        <f t="shared" si="15"/>
        <v>1.35E-2</v>
      </c>
      <c r="H62" s="48">
        <f t="shared" si="15"/>
        <v>1.35E-2</v>
      </c>
      <c r="I62" s="48">
        <f t="shared" si="15"/>
        <v>1.35E-2</v>
      </c>
      <c r="J62" s="48">
        <f t="shared" si="15"/>
        <v>1.35E-2</v>
      </c>
      <c r="K62" s="48">
        <f t="shared" si="15"/>
        <v>1.35E-2</v>
      </c>
      <c r="L62" s="48">
        <f t="shared" si="15"/>
        <v>1.35E-2</v>
      </c>
      <c r="M62" s="48">
        <f t="shared" si="15"/>
        <v>1.35E-2</v>
      </c>
      <c r="N62" s="21"/>
    </row>
    <row r="63" spans="1:15">
      <c r="A63" s="26" t="s">
        <v>53</v>
      </c>
      <c r="B63" s="49">
        <f>B49</f>
        <v>4.8179999999999996</v>
      </c>
      <c r="C63" s="49">
        <f t="shared" ref="C63:M63" si="16">C49</f>
        <v>4.8179999999999996</v>
      </c>
      <c r="D63" s="49">
        <f t="shared" si="16"/>
        <v>4.8179999999999996</v>
      </c>
      <c r="E63" s="49">
        <f t="shared" si="16"/>
        <v>4.8179999999999996</v>
      </c>
      <c r="F63" s="49">
        <f t="shared" si="16"/>
        <v>4.8179999999999996</v>
      </c>
      <c r="G63" s="49">
        <f t="shared" si="16"/>
        <v>4.8179999999999996</v>
      </c>
      <c r="H63" s="49">
        <f t="shared" si="16"/>
        <v>4.8179999999999996</v>
      </c>
      <c r="I63" s="49">
        <f t="shared" si="16"/>
        <v>4.8179999999999996</v>
      </c>
      <c r="J63" s="49">
        <f t="shared" si="16"/>
        <v>4.8179999999999996</v>
      </c>
      <c r="K63" s="49">
        <f t="shared" si="16"/>
        <v>4.8179999999999996</v>
      </c>
      <c r="L63" s="49">
        <f t="shared" si="16"/>
        <v>4.8179999999999996</v>
      </c>
      <c r="M63" s="49">
        <f t="shared" si="16"/>
        <v>4.8179999999999996</v>
      </c>
      <c r="N63" s="20"/>
    </row>
    <row r="64" spans="1:15">
      <c r="A64" s="26" t="s">
        <v>17</v>
      </c>
      <c r="B64" s="21">
        <f>B61*B62*B63</f>
        <v>35203.140385124803</v>
      </c>
      <c r="C64" s="21">
        <f t="shared" ref="C64:M64" si="17">C61*C62*C63</f>
        <v>27952.452907794192</v>
      </c>
      <c r="D64" s="21">
        <f t="shared" si="17"/>
        <v>25715.146007131938</v>
      </c>
      <c r="E64" s="21">
        <f t="shared" si="17"/>
        <v>24332.178745797246</v>
      </c>
      <c r="F64" s="21">
        <f t="shared" si="17"/>
        <v>27545.56139480387</v>
      </c>
      <c r="G64" s="21">
        <f t="shared" si="17"/>
        <v>29820.376535914413</v>
      </c>
      <c r="H64" s="21">
        <f t="shared" si="17"/>
        <v>29582.338373917471</v>
      </c>
      <c r="I64" s="21">
        <f t="shared" si="17"/>
        <v>29512.954755985731</v>
      </c>
      <c r="J64" s="21">
        <f t="shared" si="17"/>
        <v>29861.529570045845</v>
      </c>
      <c r="K64" s="21">
        <f t="shared" si="17"/>
        <v>25902.886016301574</v>
      </c>
      <c r="L64" s="21">
        <f t="shared" si="17"/>
        <v>24988.838029546605</v>
      </c>
      <c r="M64" s="21">
        <f t="shared" si="17"/>
        <v>27060.936372898621</v>
      </c>
      <c r="N64" s="21">
        <f>SUM(B64:M64)</f>
        <v>337478.33909526229</v>
      </c>
    </row>
    <row r="65" spans="1:14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B66" s="24" t="s">
        <v>0</v>
      </c>
      <c r="C66" s="24" t="s">
        <v>1</v>
      </c>
      <c r="D66" s="24" t="s">
        <v>2</v>
      </c>
      <c r="E66" s="24" t="s">
        <v>3</v>
      </c>
      <c r="F66" s="24" t="s">
        <v>4</v>
      </c>
      <c r="G66" s="24" t="s">
        <v>5</v>
      </c>
      <c r="H66" s="24" t="s">
        <v>6</v>
      </c>
      <c r="I66" s="24" t="s">
        <v>7</v>
      </c>
      <c r="J66" s="24" t="s">
        <v>8</v>
      </c>
      <c r="K66" s="24" t="s">
        <v>9</v>
      </c>
      <c r="L66" s="24" t="s">
        <v>10</v>
      </c>
      <c r="M66" s="24" t="s">
        <v>11</v>
      </c>
      <c r="N66" s="24" t="s">
        <v>12</v>
      </c>
    </row>
    <row r="67" spans="1:14">
      <c r="A67" s="268">
        <f>+A53+1</f>
        <v>2018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13.2">
      <c r="A68" s="23" t="s">
        <v>19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1:14">
      <c r="A70" s="26" t="s">
        <v>51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27" t="s">
        <v>48</v>
      </c>
      <c r="B71" s="28">
        <f>'SECI Network'!B109</f>
        <v>0</v>
      </c>
      <c r="C71" s="28">
        <f>'SECI Network'!C109</f>
        <v>0</v>
      </c>
      <c r="D71" s="28">
        <f>'SECI Network'!D109</f>
        <v>0</v>
      </c>
      <c r="E71" s="28">
        <f>'SECI Network'!E109</f>
        <v>0</v>
      </c>
      <c r="F71" s="28">
        <f>'SECI Network'!F109</f>
        <v>0</v>
      </c>
      <c r="G71" s="28">
        <f>'SECI Network'!G109</f>
        <v>0</v>
      </c>
      <c r="H71" s="28">
        <f>'SECI Network'!H109</f>
        <v>0</v>
      </c>
      <c r="I71" s="28">
        <f>'SECI Network'!I109</f>
        <v>0</v>
      </c>
      <c r="J71" s="28">
        <f>'SECI Network'!J109</f>
        <v>0</v>
      </c>
      <c r="K71" s="28">
        <f>'SECI Network'!K109</f>
        <v>0</v>
      </c>
      <c r="L71" s="28">
        <f>'SECI Network'!L109</f>
        <v>0</v>
      </c>
      <c r="M71" s="28">
        <f>'SECI Network'!M109</f>
        <v>0</v>
      </c>
      <c r="N71" s="21">
        <f>SUM(B71:M71)</f>
        <v>0</v>
      </c>
    </row>
    <row r="72" spans="1:14">
      <c r="A72" s="27" t="s">
        <v>49</v>
      </c>
      <c r="B72" s="35">
        <f t="shared" ref="B72:M72" si="18">B73-B71</f>
        <v>545059</v>
      </c>
      <c r="C72" s="35">
        <f t="shared" si="18"/>
        <v>434335</v>
      </c>
      <c r="D72" s="35">
        <f t="shared" si="18"/>
        <v>399322</v>
      </c>
      <c r="E72" s="35">
        <f t="shared" si="18"/>
        <v>378072</v>
      </c>
      <c r="F72" s="35">
        <f t="shared" si="18"/>
        <v>426788</v>
      </c>
      <c r="G72" s="35">
        <f t="shared" si="18"/>
        <v>458515</v>
      </c>
      <c r="H72" s="35">
        <f t="shared" si="18"/>
        <v>454939</v>
      </c>
      <c r="I72" s="35">
        <f t="shared" si="18"/>
        <v>453511</v>
      </c>
      <c r="J72" s="35">
        <f t="shared" si="18"/>
        <v>459480</v>
      </c>
      <c r="K72" s="35">
        <f t="shared" si="18"/>
        <v>399421</v>
      </c>
      <c r="L72" s="35">
        <f t="shared" si="18"/>
        <v>385009</v>
      </c>
      <c r="M72" s="35">
        <f t="shared" si="18"/>
        <v>416522</v>
      </c>
      <c r="N72" s="21">
        <f>SUM(B72:M72)</f>
        <v>5210973</v>
      </c>
    </row>
    <row r="73" spans="1:14">
      <c r="A73" s="27" t="s">
        <v>47</v>
      </c>
      <c r="B73" s="146">
        <f>'SECI Network'!B111</f>
        <v>545059</v>
      </c>
      <c r="C73" s="146">
        <f>'SECI Network'!C111</f>
        <v>434335</v>
      </c>
      <c r="D73" s="146">
        <f>'SECI Network'!D111</f>
        <v>399322</v>
      </c>
      <c r="E73" s="146">
        <f>'SECI Network'!E111</f>
        <v>378072</v>
      </c>
      <c r="F73" s="146">
        <f>'SECI Network'!F111</f>
        <v>426788</v>
      </c>
      <c r="G73" s="146">
        <f>'SECI Network'!G111</f>
        <v>458515</v>
      </c>
      <c r="H73" s="146">
        <f>'SECI Network'!H111</f>
        <v>454939</v>
      </c>
      <c r="I73" s="146">
        <f>'SECI Network'!I111</f>
        <v>453511</v>
      </c>
      <c r="J73" s="146">
        <f>'SECI Network'!J111</f>
        <v>459480</v>
      </c>
      <c r="K73" s="146">
        <f>'SECI Network'!K111</f>
        <v>399421</v>
      </c>
      <c r="L73" s="146">
        <f>'SECI Network'!L111</f>
        <v>385009</v>
      </c>
      <c r="M73" s="146">
        <f>'SECI Network'!M111</f>
        <v>416522</v>
      </c>
      <c r="N73" s="21">
        <f>SUM(B73:M73)</f>
        <v>5210973</v>
      </c>
    </row>
    <row r="74" spans="1:14">
      <c r="A74" s="27" t="s">
        <v>45</v>
      </c>
      <c r="B74" s="28">
        <f>B75-B71-B72</f>
        <v>10273.654100866057</v>
      </c>
      <c r="C74" s="28">
        <f t="shared" ref="C74:M74" si="19">C75-C71-C72</f>
        <v>8186.6505348955397</v>
      </c>
      <c r="D74" s="36">
        <f t="shared" si="19"/>
        <v>7526.7009679062758</v>
      </c>
      <c r="E74" s="36">
        <f t="shared" si="19"/>
        <v>7126.1660723382374</v>
      </c>
      <c r="F74" s="36">
        <f t="shared" si="19"/>
        <v>8044.3993886907701</v>
      </c>
      <c r="G74" s="36">
        <f t="shared" si="19"/>
        <v>8642.4121242995025</v>
      </c>
      <c r="H74" s="36">
        <f t="shared" si="19"/>
        <v>8575.0091696382733</v>
      </c>
      <c r="I74" s="36">
        <f t="shared" si="19"/>
        <v>8548.0932246561279</v>
      </c>
      <c r="J74" s="36">
        <f t="shared" si="19"/>
        <v>8660.6011207335396</v>
      </c>
      <c r="K74" s="36">
        <f t="shared" si="19"/>
        <v>7528.5669893020531</v>
      </c>
      <c r="L74" s="36">
        <f t="shared" si="19"/>
        <v>7256.9195109526045</v>
      </c>
      <c r="M74" s="36">
        <f t="shared" si="19"/>
        <v>7850.8986245542183</v>
      </c>
      <c r="N74" s="21">
        <f>SUM(B74:M74)</f>
        <v>98220.071828833199</v>
      </c>
    </row>
    <row r="75" spans="1:14">
      <c r="A75" s="27" t="s">
        <v>50</v>
      </c>
      <c r="B75" s="28">
        <f>(B71/(1-0.0213)/(1-'Transmission Formula Rate (7)'!$B$27))+(B72/(1-'Transmission Formula Rate (7)'!$B$27))</f>
        <v>555332.65410086606</v>
      </c>
      <c r="C75" s="28">
        <f>(C71/(1-0.0213)/(1-'Transmission Formula Rate (7)'!$B$27))+(C72/(1-'Transmission Formula Rate (7)'!$B$27))</f>
        <v>442521.65053489554</v>
      </c>
      <c r="D75" s="28">
        <f>(D71/(1-0.0213)/(1-'Transmission Formula Rate (7)'!$B$27))+(D72/(1-'Transmission Formula Rate (7)'!$B$27))</f>
        <v>406848.70096790628</v>
      </c>
      <c r="E75" s="28">
        <f>(E71/(1-0.0213)/(1-'Transmission Formula Rate (7)'!$B$27))+(E72/(1-'Transmission Formula Rate (7)'!$B$27))</f>
        <v>385198.16607233824</v>
      </c>
      <c r="F75" s="28">
        <f>(F71/(1-0.0213)/(1-'Transmission Formula Rate (7)'!$B$27))+(F72/(1-'Transmission Formula Rate (7)'!$B$27))</f>
        <v>434832.39938869077</v>
      </c>
      <c r="G75" s="28">
        <f>(G71/(1-0.0213)/(1-'Transmission Formula Rate (7)'!$B$27))+(G72/(1-'Transmission Formula Rate (7)'!$B$27))</f>
        <v>467157.4121242995</v>
      </c>
      <c r="H75" s="28">
        <f>(H71/(1-0.0213)/(1-'Transmission Formula Rate (7)'!$B$27))+(H72/(1-'Transmission Formula Rate (7)'!$B$27))</f>
        <v>463514.00916963827</v>
      </c>
      <c r="I75" s="28">
        <f>(I71/(1-0.0213)/(1-'Transmission Formula Rate (7)'!$B$27))+(I72/(1-'Transmission Formula Rate (7)'!$B$27))</f>
        <v>462059.09322465613</v>
      </c>
      <c r="J75" s="28">
        <f>(J71/(1-0.0213)/(1-'Transmission Formula Rate (7)'!$B$27))+(J72/(1-'Transmission Formula Rate (7)'!$B$27))</f>
        <v>468140.60112073354</v>
      </c>
      <c r="K75" s="28">
        <f>(K71/(1-0.0213)/(1-'Transmission Formula Rate (7)'!$B$27))+(K72/(1-'Transmission Formula Rate (7)'!$B$27))</f>
        <v>406949.56698930205</v>
      </c>
      <c r="L75" s="28">
        <f>(L71/(1-0.0213)/(1-'Transmission Formula Rate (7)'!$B$27))+(L72/(1-'Transmission Formula Rate (7)'!$B$27))</f>
        <v>392265.9195109526</v>
      </c>
      <c r="M75" s="28">
        <f>(M71/(1-0.0213)/(1-'Transmission Formula Rate (7)'!$B$27))+(M72/(1-'Transmission Formula Rate (7)'!$B$27))</f>
        <v>424372.89862455422</v>
      </c>
      <c r="N75" s="21">
        <f>SUM(B75:M75)</f>
        <v>5309193.0718288328</v>
      </c>
    </row>
    <row r="76" spans="1:14">
      <c r="A76" s="27" t="s">
        <v>52</v>
      </c>
      <c r="B76" s="48">
        <f>B62</f>
        <v>1.35E-2</v>
      </c>
      <c r="C76" s="48">
        <f t="shared" ref="C76:M76" si="20">C62</f>
        <v>1.35E-2</v>
      </c>
      <c r="D76" s="48">
        <f t="shared" si="20"/>
        <v>1.35E-2</v>
      </c>
      <c r="E76" s="48">
        <f t="shared" si="20"/>
        <v>1.35E-2</v>
      </c>
      <c r="F76" s="48">
        <f t="shared" si="20"/>
        <v>1.35E-2</v>
      </c>
      <c r="G76" s="48">
        <f t="shared" si="20"/>
        <v>1.35E-2</v>
      </c>
      <c r="H76" s="48">
        <f t="shared" si="20"/>
        <v>1.35E-2</v>
      </c>
      <c r="I76" s="48">
        <f t="shared" si="20"/>
        <v>1.35E-2</v>
      </c>
      <c r="J76" s="48">
        <f t="shared" si="20"/>
        <v>1.35E-2</v>
      </c>
      <c r="K76" s="48">
        <f t="shared" si="20"/>
        <v>1.35E-2</v>
      </c>
      <c r="L76" s="48">
        <f t="shared" si="20"/>
        <v>1.35E-2</v>
      </c>
      <c r="M76" s="48">
        <f t="shared" si="20"/>
        <v>1.35E-2</v>
      </c>
      <c r="N76" s="21"/>
    </row>
    <row r="77" spans="1:14">
      <c r="A77" s="26" t="s">
        <v>53</v>
      </c>
      <c r="B77" s="49">
        <f>B63</f>
        <v>4.8179999999999996</v>
      </c>
      <c r="C77" s="49">
        <f t="shared" ref="C77:M77" si="21">C63</f>
        <v>4.8179999999999996</v>
      </c>
      <c r="D77" s="49">
        <f t="shared" si="21"/>
        <v>4.8179999999999996</v>
      </c>
      <c r="E77" s="49">
        <f t="shared" si="21"/>
        <v>4.8179999999999996</v>
      </c>
      <c r="F77" s="49">
        <f t="shared" si="21"/>
        <v>4.8179999999999996</v>
      </c>
      <c r="G77" s="49">
        <f t="shared" si="21"/>
        <v>4.8179999999999996</v>
      </c>
      <c r="H77" s="49">
        <f t="shared" si="21"/>
        <v>4.8179999999999996</v>
      </c>
      <c r="I77" s="49">
        <f t="shared" si="21"/>
        <v>4.8179999999999996</v>
      </c>
      <c r="J77" s="49">
        <f t="shared" si="21"/>
        <v>4.8179999999999996</v>
      </c>
      <c r="K77" s="49">
        <f t="shared" si="21"/>
        <v>4.8179999999999996</v>
      </c>
      <c r="L77" s="49">
        <f t="shared" si="21"/>
        <v>4.8179999999999996</v>
      </c>
      <c r="M77" s="49">
        <f t="shared" si="21"/>
        <v>4.8179999999999996</v>
      </c>
      <c r="N77" s="20"/>
    </row>
    <row r="78" spans="1:14">
      <c r="A78" s="26" t="s">
        <v>17</v>
      </c>
      <c r="B78" s="21">
        <f t="shared" ref="B78:M78" si="22">B75*B76*B77</f>
        <v>36120.501820682628</v>
      </c>
      <c r="C78" s="21">
        <f t="shared" si="22"/>
        <v>28782.935715741205</v>
      </c>
      <c r="D78" s="21">
        <f t="shared" si="22"/>
        <v>26462.660057055527</v>
      </c>
      <c r="E78" s="21">
        <f t="shared" si="22"/>
        <v>25054.444315843095</v>
      </c>
      <c r="F78" s="21">
        <f t="shared" si="22"/>
        <v>28282.803753438609</v>
      </c>
      <c r="G78" s="21">
        <f t="shared" si="22"/>
        <v>30385.319556800809</v>
      </c>
      <c r="H78" s="21">
        <f t="shared" si="22"/>
        <v>30148.34169842078</v>
      </c>
      <c r="I78" s="21">
        <f t="shared" si="22"/>
        <v>30053.70960061131</v>
      </c>
      <c r="J78" s="21">
        <f t="shared" si="22"/>
        <v>30449.269118695869</v>
      </c>
      <c r="K78" s="21">
        <f t="shared" si="22"/>
        <v>26469.22068568517</v>
      </c>
      <c r="L78" s="21">
        <f t="shared" si="22"/>
        <v>25514.152202750887</v>
      </c>
      <c r="M78" s="21">
        <f t="shared" si="22"/>
        <v>27602.486445236878</v>
      </c>
      <c r="N78" s="21">
        <f>SUM(B78:M78)</f>
        <v>345325.84497096279</v>
      </c>
    </row>
    <row r="79" spans="1:14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</row>
    <row r="80" spans="1:14" s="20" customFormat="1" ht="10.199999999999999">
      <c r="A80" s="25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6" s="20" customFormat="1" ht="13.5" customHeight="1">
      <c r="A81" s="22"/>
      <c r="B81" s="24" t="s">
        <v>0</v>
      </c>
      <c r="C81" s="24" t="s">
        <v>1</v>
      </c>
      <c r="D81" s="24" t="s">
        <v>2</v>
      </c>
      <c r="E81" s="24" t="s">
        <v>3</v>
      </c>
      <c r="F81" s="24" t="s">
        <v>4</v>
      </c>
      <c r="G81" s="24" t="s">
        <v>5</v>
      </c>
      <c r="H81" s="24" t="s">
        <v>6</v>
      </c>
      <c r="I81" s="24" t="s">
        <v>7</v>
      </c>
      <c r="J81" s="24" t="s">
        <v>8</v>
      </c>
      <c r="K81" s="24" t="s">
        <v>9</v>
      </c>
      <c r="L81" s="24" t="s">
        <v>10</v>
      </c>
      <c r="M81" s="24" t="s">
        <v>11</v>
      </c>
      <c r="N81" s="24" t="s">
        <v>12</v>
      </c>
    </row>
    <row r="82" spans="1:16" s="20" customFormat="1" ht="10.199999999999999">
      <c r="A82" s="268">
        <f>+A67+1</f>
        <v>2019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16" s="20" customFormat="1" ht="13.2">
      <c r="A83" s="23" t="s">
        <v>19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6" s="20" customFormat="1" ht="10.199999999999999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6" s="20" customFormat="1" ht="10.199999999999999">
      <c r="A85" s="26" t="s">
        <v>51</v>
      </c>
    </row>
    <row r="86" spans="1:16" s="20" customFormat="1" ht="10.199999999999999">
      <c r="A86" s="27" t="s">
        <v>48</v>
      </c>
      <c r="B86" s="28">
        <f>'SECI Network'!B124</f>
        <v>0.02</v>
      </c>
      <c r="C86" s="28">
        <f>'SECI Network'!C124</f>
        <v>0.02</v>
      </c>
      <c r="D86" s="28">
        <f>'SECI Network'!D124</f>
        <v>0.02</v>
      </c>
      <c r="E86" s="28">
        <f>'SECI Network'!E124</f>
        <v>0.02</v>
      </c>
      <c r="F86" s="28">
        <f>'SECI Network'!F124</f>
        <v>0.02</v>
      </c>
      <c r="G86" s="28">
        <f>'SECI Network'!G124</f>
        <v>0.02</v>
      </c>
      <c r="H86" s="28">
        <f>'SECI Network'!H124</f>
        <v>0.02</v>
      </c>
      <c r="I86" s="28">
        <f>'SECI Network'!I124</f>
        <v>0.02</v>
      </c>
      <c r="J86" s="28">
        <f>'SECI Network'!J124</f>
        <v>0.02</v>
      </c>
      <c r="K86" s="28">
        <f>'SECI Network'!K124</f>
        <v>0.02</v>
      </c>
      <c r="L86" s="28">
        <f>'SECI Network'!L124</f>
        <v>0.02</v>
      </c>
      <c r="M86" s="28">
        <f>'SECI Network'!M124</f>
        <v>0.02</v>
      </c>
      <c r="N86" s="21">
        <f>SUM(B86:M86)</f>
        <v>0.23999999999999996</v>
      </c>
    </row>
    <row r="87" spans="1:16" s="29" customFormat="1">
      <c r="A87" s="27" t="s">
        <v>49</v>
      </c>
      <c r="B87" s="35">
        <f>B88-B86</f>
        <v>550643.98</v>
      </c>
      <c r="C87" s="35">
        <f t="shared" ref="C87:M87" si="23">C88-C86</f>
        <v>438916.98</v>
      </c>
      <c r="D87" s="35">
        <f t="shared" si="23"/>
        <v>403137.98</v>
      </c>
      <c r="E87" s="35">
        <f t="shared" si="23"/>
        <v>382059.98</v>
      </c>
      <c r="F87" s="35">
        <f t="shared" si="23"/>
        <v>431169.98</v>
      </c>
      <c r="G87" s="35">
        <f t="shared" si="23"/>
        <v>465686.98</v>
      </c>
      <c r="H87" s="35">
        <f t="shared" si="23"/>
        <v>462080.98</v>
      </c>
      <c r="I87" s="35">
        <f t="shared" si="23"/>
        <v>460590.98</v>
      </c>
      <c r="J87" s="35">
        <f t="shared" si="23"/>
        <v>467000.98</v>
      </c>
      <c r="K87" s="35">
        <f t="shared" si="23"/>
        <v>406070.98</v>
      </c>
      <c r="L87" s="35">
        <f t="shared" si="23"/>
        <v>391356.98</v>
      </c>
      <c r="M87" s="35">
        <f t="shared" si="23"/>
        <v>423457.98</v>
      </c>
      <c r="N87" s="21">
        <f>SUM(B87:M87)</f>
        <v>5282174.76</v>
      </c>
      <c r="P87" s="22"/>
    </row>
    <row r="88" spans="1:16" s="29" customFormat="1">
      <c r="A88" s="27" t="s">
        <v>47</v>
      </c>
      <c r="B88" s="146">
        <f>'SECI Network'!B136</f>
        <v>550644</v>
      </c>
      <c r="C88" s="146">
        <f>'SECI Network'!C136</f>
        <v>438917</v>
      </c>
      <c r="D88" s="146">
        <f>'SECI Network'!D136</f>
        <v>403138</v>
      </c>
      <c r="E88" s="146">
        <f>'SECI Network'!E136</f>
        <v>382060</v>
      </c>
      <c r="F88" s="146">
        <f>'SECI Network'!F136</f>
        <v>431170</v>
      </c>
      <c r="G88" s="146">
        <f>'SECI Network'!G136</f>
        <v>465687</v>
      </c>
      <c r="H88" s="146">
        <f>'SECI Network'!H136</f>
        <v>462081</v>
      </c>
      <c r="I88" s="146">
        <f>'SECI Network'!I136</f>
        <v>460591</v>
      </c>
      <c r="J88" s="146">
        <f>'SECI Network'!J136</f>
        <v>467001</v>
      </c>
      <c r="K88" s="146">
        <f>'SECI Network'!K136</f>
        <v>406071</v>
      </c>
      <c r="L88" s="146">
        <f>'SECI Network'!L136</f>
        <v>391357</v>
      </c>
      <c r="M88" s="146">
        <f>'SECI Network'!M136</f>
        <v>423458</v>
      </c>
      <c r="N88" s="21">
        <f>SUM(B88:M88)</f>
        <v>5282175</v>
      </c>
      <c r="P88" s="22"/>
    </row>
    <row r="89" spans="1:16" s="29" customFormat="1">
      <c r="A89" s="27" t="s">
        <v>45</v>
      </c>
      <c r="B89" s="28">
        <f>B90-B86-B87</f>
        <v>10378.924539247295</v>
      </c>
      <c r="C89" s="28">
        <f t="shared" ref="C89:M89" si="24">C90-C86-C87</f>
        <v>8273.0157262060093</v>
      </c>
      <c r="D89" s="36">
        <f t="shared" si="24"/>
        <v>7598.6280542752938</v>
      </c>
      <c r="E89" s="36">
        <f t="shared" si="24"/>
        <v>7201.33513527381</v>
      </c>
      <c r="F89" s="36">
        <f t="shared" si="24"/>
        <v>8126.9948398076813</v>
      </c>
      <c r="G89" s="36">
        <f t="shared" si="24"/>
        <v>8777.5954511168529</v>
      </c>
      <c r="H89" s="36">
        <f t="shared" si="24"/>
        <v>8709.6270354266162</v>
      </c>
      <c r="I89" s="36">
        <f t="shared" si="24"/>
        <v>8681.5424709844519</v>
      </c>
      <c r="J89" s="36">
        <f t="shared" si="24"/>
        <v>8802.3626441886881</v>
      </c>
      <c r="K89" s="36">
        <f t="shared" si="24"/>
        <v>7653.9112942141946</v>
      </c>
      <c r="L89" s="36">
        <f t="shared" si="24"/>
        <v>7376.5715081724338</v>
      </c>
      <c r="M89" s="36">
        <f t="shared" si="24"/>
        <v>7981.6336579431663</v>
      </c>
      <c r="N89" s="21">
        <f>SUM(B89:M89)</f>
        <v>99562.142356856493</v>
      </c>
      <c r="P89" s="22"/>
    </row>
    <row r="90" spans="1:16" s="29" customFormat="1">
      <c r="A90" s="27" t="s">
        <v>50</v>
      </c>
      <c r="B90" s="28">
        <f>(B86/(1-0.0213)/(1-'Transmission Formula Rate (7)'!$B$27))+(B87/(1-'Transmission Formula Rate (7)'!$B$27))</f>
        <v>561022.92453924729</v>
      </c>
      <c r="C90" s="28">
        <f>(C86/(1-0.0213)/(1-'Transmission Formula Rate (7)'!$B$27))+(C87/(1-'Transmission Formula Rate (7)'!$B$27))</f>
        <v>447190.01572620601</v>
      </c>
      <c r="D90" s="28">
        <f>(D86/(1-0.0213)/(1-'Transmission Formula Rate (7)'!$B$27))+(D87/(1-'Transmission Formula Rate (7)'!$B$27))</f>
        <v>410736.62805427529</v>
      </c>
      <c r="E90" s="28">
        <f>(E86/(1-0.0213)/(1-'Transmission Formula Rate (7)'!$B$27))+(E87/(1-'Transmission Formula Rate (7)'!$B$27))</f>
        <v>389261.33513527381</v>
      </c>
      <c r="F90" s="28">
        <f>(F86/(1-0.0213)/(1-'Transmission Formula Rate (7)'!$B$27))+(F87/(1-'Transmission Formula Rate (7)'!$B$27))</f>
        <v>439296.99483980768</v>
      </c>
      <c r="G90" s="28">
        <f>(G86/(1-0.0213)/(1-'Transmission Formula Rate (7)'!$B$27))+(G87/(1-'Transmission Formula Rate (7)'!$B$27))</f>
        <v>474464.59545111685</v>
      </c>
      <c r="H90" s="28">
        <f>(H86/(1-0.0213)/(1-'Transmission Formula Rate (7)'!$B$27))+(H87/(1-'Transmission Formula Rate (7)'!$B$27))</f>
        <v>470790.62703542662</v>
      </c>
      <c r="I90" s="28">
        <f>(I86/(1-0.0213)/(1-'Transmission Formula Rate (7)'!$B$27))+(I87/(1-'Transmission Formula Rate (7)'!$B$27))</f>
        <v>469272.54247098445</v>
      </c>
      <c r="J90" s="28">
        <f>(J86/(1-0.0213)/(1-'Transmission Formula Rate (7)'!$B$27))+(J87/(1-'Transmission Formula Rate (7)'!$B$27))</f>
        <v>475803.36264418869</v>
      </c>
      <c r="K90" s="28">
        <f>(K86/(1-0.0213)/(1-'Transmission Formula Rate (7)'!$B$27))+(K87/(1-'Transmission Formula Rate (7)'!$B$27))</f>
        <v>413724.91129421419</v>
      </c>
      <c r="L90" s="28">
        <f>(L86/(1-0.0213)/(1-'Transmission Formula Rate (7)'!$B$27))+(L87/(1-'Transmission Formula Rate (7)'!$B$27))</f>
        <v>398733.57150817243</v>
      </c>
      <c r="M90" s="28">
        <f>(M86/(1-0.0213)/(1-'Transmission Formula Rate (7)'!$B$27))+(M87/(1-'Transmission Formula Rate (7)'!$B$27))</f>
        <v>431439.63365794317</v>
      </c>
      <c r="N90" s="21">
        <f>SUM(B90:M90)</f>
        <v>5381737.1423568577</v>
      </c>
      <c r="P90" s="22"/>
    </row>
    <row r="91" spans="1:16" s="20" customFormat="1">
      <c r="A91" s="27" t="s">
        <v>52</v>
      </c>
      <c r="B91" s="48">
        <f>B76</f>
        <v>1.35E-2</v>
      </c>
      <c r="C91" s="48">
        <f t="shared" ref="C91:M91" si="25">C76</f>
        <v>1.35E-2</v>
      </c>
      <c r="D91" s="48">
        <f t="shared" si="25"/>
        <v>1.35E-2</v>
      </c>
      <c r="E91" s="48">
        <f t="shared" si="25"/>
        <v>1.35E-2</v>
      </c>
      <c r="F91" s="48">
        <f t="shared" si="25"/>
        <v>1.35E-2</v>
      </c>
      <c r="G91" s="48">
        <f t="shared" si="25"/>
        <v>1.35E-2</v>
      </c>
      <c r="H91" s="48">
        <f t="shared" si="25"/>
        <v>1.35E-2</v>
      </c>
      <c r="I91" s="48">
        <f t="shared" si="25"/>
        <v>1.35E-2</v>
      </c>
      <c r="J91" s="48">
        <f t="shared" si="25"/>
        <v>1.35E-2</v>
      </c>
      <c r="K91" s="48">
        <f t="shared" si="25"/>
        <v>1.35E-2</v>
      </c>
      <c r="L91" s="48">
        <f t="shared" si="25"/>
        <v>1.35E-2</v>
      </c>
      <c r="M91" s="48">
        <f t="shared" si="25"/>
        <v>1.35E-2</v>
      </c>
      <c r="N91" s="21"/>
      <c r="P91" s="22"/>
    </row>
    <row r="92" spans="1:16" s="20" customFormat="1">
      <c r="A92" s="26" t="s">
        <v>53</v>
      </c>
      <c r="B92" s="49">
        <f>B77</f>
        <v>4.8179999999999996</v>
      </c>
      <c r="C92" s="49">
        <f t="shared" ref="C92:M92" si="26">C77</f>
        <v>4.8179999999999996</v>
      </c>
      <c r="D92" s="49">
        <f t="shared" si="26"/>
        <v>4.8179999999999996</v>
      </c>
      <c r="E92" s="49">
        <f t="shared" si="26"/>
        <v>4.8179999999999996</v>
      </c>
      <c r="F92" s="49">
        <f t="shared" si="26"/>
        <v>4.8179999999999996</v>
      </c>
      <c r="G92" s="49">
        <f t="shared" si="26"/>
        <v>4.8179999999999996</v>
      </c>
      <c r="H92" s="49">
        <f t="shared" si="26"/>
        <v>4.8179999999999996</v>
      </c>
      <c r="I92" s="49">
        <f t="shared" si="26"/>
        <v>4.8179999999999996</v>
      </c>
      <c r="J92" s="49">
        <f t="shared" si="26"/>
        <v>4.8179999999999996</v>
      </c>
      <c r="K92" s="49">
        <f t="shared" si="26"/>
        <v>4.8179999999999996</v>
      </c>
      <c r="L92" s="49">
        <f t="shared" si="26"/>
        <v>4.8179999999999996</v>
      </c>
      <c r="M92" s="49">
        <f t="shared" si="26"/>
        <v>4.8179999999999996</v>
      </c>
      <c r="P92" s="22"/>
    </row>
    <row r="93" spans="1:16">
      <c r="A93" s="26" t="s">
        <v>17</v>
      </c>
      <c r="B93" s="21">
        <f t="shared" ref="B93:M93" si="27">B90*B91*B92</f>
        <v>36490.614080806256</v>
      </c>
      <c r="C93" s="21">
        <f t="shared" si="27"/>
        <v>29086.580192879614</v>
      </c>
      <c r="D93" s="21">
        <f t="shared" si="27"/>
        <v>26715.542498534225</v>
      </c>
      <c r="E93" s="21">
        <f t="shared" si="27"/>
        <v>25318.725021203616</v>
      </c>
      <c r="F93" s="21">
        <f t="shared" si="27"/>
        <v>28573.194435365607</v>
      </c>
      <c r="G93" s="21">
        <f t="shared" si="27"/>
        <v>30860.60068192699</v>
      </c>
      <c r="H93" s="21">
        <f t="shared" si="27"/>
        <v>30621.634754265251</v>
      </c>
      <c r="I93" s="21">
        <f t="shared" si="27"/>
        <v>30522.89397994024</v>
      </c>
      <c r="J93" s="21">
        <f t="shared" si="27"/>
        <v>30947.678116465959</v>
      </c>
      <c r="K93" s="21">
        <f t="shared" si="27"/>
        <v>26909.909405309572</v>
      </c>
      <c r="L93" s="21">
        <f t="shared" si="27"/>
        <v>25934.827691606057</v>
      </c>
      <c r="M93" s="21">
        <f t="shared" si="27"/>
        <v>28062.128092013598</v>
      </c>
      <c r="N93" s="21">
        <f>SUM(B93:M93)</f>
        <v>350044.32895031699</v>
      </c>
    </row>
    <row r="94" spans="1:16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</row>
    <row r="96" spans="1:16" s="20" customFormat="1" ht="13.5" customHeight="1">
      <c r="A96" s="22"/>
      <c r="B96" s="24" t="s">
        <v>0</v>
      </c>
      <c r="C96" s="24" t="s">
        <v>1</v>
      </c>
      <c r="D96" s="24" t="s">
        <v>2</v>
      </c>
      <c r="E96" s="24" t="s">
        <v>3</v>
      </c>
      <c r="F96" s="24" t="s">
        <v>4</v>
      </c>
      <c r="G96" s="24" t="s">
        <v>5</v>
      </c>
      <c r="H96" s="24" t="s">
        <v>6</v>
      </c>
      <c r="I96" s="24" t="s">
        <v>7</v>
      </c>
      <c r="J96" s="24" t="s">
        <v>8</v>
      </c>
      <c r="K96" s="24" t="s">
        <v>9</v>
      </c>
      <c r="L96" s="24" t="s">
        <v>10</v>
      </c>
      <c r="M96" s="24" t="s">
        <v>11</v>
      </c>
      <c r="N96" s="24" t="s">
        <v>12</v>
      </c>
    </row>
    <row r="97" spans="1:16" s="20" customFormat="1" ht="10.199999999999999">
      <c r="A97" s="268">
        <f>+A82+1</f>
        <v>2020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6" s="20" customFormat="1" ht="13.2">
      <c r="A98" s="23" t="s">
        <v>19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6" s="20" customFormat="1" ht="10.199999999999999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</row>
    <row r="100" spans="1:16" s="20" customFormat="1" ht="10.199999999999999">
      <c r="A100" s="26" t="s">
        <v>51</v>
      </c>
    </row>
    <row r="101" spans="1:16" s="20" customFormat="1" ht="10.199999999999999">
      <c r="A101" s="27" t="s">
        <v>48</v>
      </c>
      <c r="B101" s="28">
        <f>'SECI Network'!B159</f>
        <v>0</v>
      </c>
      <c r="C101" s="28">
        <f>'SECI Network'!C159</f>
        <v>0</v>
      </c>
      <c r="D101" s="28">
        <f>'SECI Network'!D159</f>
        <v>0</v>
      </c>
      <c r="E101" s="28">
        <f>'SECI Network'!E159</f>
        <v>0</v>
      </c>
      <c r="F101" s="28">
        <f>'SECI Network'!F159</f>
        <v>0</v>
      </c>
      <c r="G101" s="28">
        <f>'SECI Network'!G159</f>
        <v>0</v>
      </c>
      <c r="H101" s="28">
        <f>'SECI Network'!H159</f>
        <v>0</v>
      </c>
      <c r="I101" s="28">
        <f>'SECI Network'!I159</f>
        <v>0</v>
      </c>
      <c r="J101" s="28">
        <f>'SECI Network'!J159</f>
        <v>0</v>
      </c>
      <c r="K101" s="28">
        <f>'SECI Network'!K159</f>
        <v>0</v>
      </c>
      <c r="L101" s="28">
        <f>'SECI Network'!L159</f>
        <v>0</v>
      </c>
      <c r="M101" s="28">
        <f>'SECI Network'!M159</f>
        <v>0</v>
      </c>
      <c r="N101" s="21">
        <f>SUM(B101:M101)</f>
        <v>0</v>
      </c>
    </row>
    <row r="102" spans="1:16" s="29" customFormat="1">
      <c r="A102" s="27" t="s">
        <v>49</v>
      </c>
      <c r="B102" s="35">
        <f t="shared" ref="B102:M102" si="28">B103-B101</f>
        <v>559340</v>
      </c>
      <c r="C102" s="35">
        <f t="shared" si="28"/>
        <v>460654</v>
      </c>
      <c r="D102" s="35">
        <f t="shared" si="28"/>
        <v>409494</v>
      </c>
      <c r="E102" s="35">
        <f t="shared" si="28"/>
        <v>388301</v>
      </c>
      <c r="F102" s="35">
        <f t="shared" si="28"/>
        <v>437996</v>
      </c>
      <c r="G102" s="35">
        <f t="shared" si="28"/>
        <v>472662</v>
      </c>
      <c r="H102" s="35">
        <f t="shared" si="28"/>
        <v>468941</v>
      </c>
      <c r="I102" s="35">
        <f t="shared" si="28"/>
        <v>467395</v>
      </c>
      <c r="J102" s="35">
        <f t="shared" si="28"/>
        <v>474218</v>
      </c>
      <c r="K102" s="35">
        <f t="shared" si="28"/>
        <v>412527</v>
      </c>
      <c r="L102" s="35">
        <f t="shared" si="28"/>
        <v>397489</v>
      </c>
      <c r="M102" s="35">
        <f t="shared" si="28"/>
        <v>430098</v>
      </c>
      <c r="N102" s="21">
        <f>SUM(B102:M102)</f>
        <v>5379115</v>
      </c>
      <c r="P102" s="22"/>
    </row>
    <row r="103" spans="1:16" s="29" customFormat="1">
      <c r="A103" s="27" t="s">
        <v>47</v>
      </c>
      <c r="B103" s="146">
        <f>'SECI Network'!B161</f>
        <v>559340</v>
      </c>
      <c r="C103" s="146">
        <f>'SECI Network'!C161</f>
        <v>460654</v>
      </c>
      <c r="D103" s="146">
        <f>'SECI Network'!D161</f>
        <v>409494</v>
      </c>
      <c r="E103" s="146">
        <f>'SECI Network'!E161</f>
        <v>388301</v>
      </c>
      <c r="F103" s="146">
        <f>'SECI Network'!F161</f>
        <v>437996</v>
      </c>
      <c r="G103" s="146">
        <f>'SECI Network'!G161</f>
        <v>472662</v>
      </c>
      <c r="H103" s="146">
        <f>'SECI Network'!H161</f>
        <v>468941</v>
      </c>
      <c r="I103" s="146">
        <f>'SECI Network'!I161</f>
        <v>467395</v>
      </c>
      <c r="J103" s="146">
        <f>'SECI Network'!J161</f>
        <v>474218</v>
      </c>
      <c r="K103" s="146">
        <f>'SECI Network'!K161</f>
        <v>412527</v>
      </c>
      <c r="L103" s="146">
        <f>'SECI Network'!L161</f>
        <v>397489</v>
      </c>
      <c r="M103" s="146">
        <f>'SECI Network'!M161</f>
        <v>430098</v>
      </c>
      <c r="N103" s="21">
        <f>SUM(B103:M103)</f>
        <v>5379115</v>
      </c>
      <c r="P103" s="22"/>
    </row>
    <row r="104" spans="1:16" s="29" customFormat="1">
      <c r="A104" s="27" t="s">
        <v>45</v>
      </c>
      <c r="B104" s="28">
        <f>B105-B101-B102</f>
        <v>10542.832399388659</v>
      </c>
      <c r="C104" s="28">
        <f t="shared" ref="C104:M104" si="29">C105-C101-C102</f>
        <v>8682.7294956698897</v>
      </c>
      <c r="D104" s="36">
        <f t="shared" si="29"/>
        <v>7718.4299541517976</v>
      </c>
      <c r="E104" s="36">
        <f t="shared" si="29"/>
        <v>7318.9694345389726</v>
      </c>
      <c r="F104" s="36">
        <f t="shared" si="29"/>
        <v>8255.6556291390443</v>
      </c>
      <c r="G104" s="36">
        <f t="shared" si="29"/>
        <v>8909.0646968925139</v>
      </c>
      <c r="H104" s="36">
        <f t="shared" si="29"/>
        <v>8838.928680590936</v>
      </c>
      <c r="I104" s="36">
        <f t="shared" si="29"/>
        <v>8809.7885888945311</v>
      </c>
      <c r="J104" s="36">
        <f t="shared" si="29"/>
        <v>8938.3932755985297</v>
      </c>
      <c r="K104" s="36">
        <f t="shared" si="29"/>
        <v>7775.5980641874485</v>
      </c>
      <c r="L104" s="36">
        <f t="shared" si="29"/>
        <v>7492.1512990320916</v>
      </c>
      <c r="M104" s="36">
        <f t="shared" si="29"/>
        <v>8106.7885888945311</v>
      </c>
      <c r="N104" s="21">
        <f>SUM(B104:M104)</f>
        <v>101389.33010697894</v>
      </c>
      <c r="P104" s="22"/>
    </row>
    <row r="105" spans="1:16" s="29" customFormat="1">
      <c r="A105" s="27" t="s">
        <v>50</v>
      </c>
      <c r="B105" s="28">
        <f>(B101/(1-0.0213)/(1-'Transmission Formula Rate (7)'!$B$27))+(B102/(1-'Transmission Formula Rate (7)'!$B$27))</f>
        <v>569882.83239938866</v>
      </c>
      <c r="C105" s="28">
        <f>(C101/(1-0.0213)/(1-'Transmission Formula Rate (7)'!$B$27))+(C102/(1-'Transmission Formula Rate (7)'!$B$27))</f>
        <v>469336.72949566989</v>
      </c>
      <c r="D105" s="28">
        <f>(D101/(1-0.0213)/(1-'Transmission Formula Rate (7)'!$B$27))+(D102/(1-'Transmission Formula Rate (7)'!$B$27))</f>
        <v>417212.4299541518</v>
      </c>
      <c r="E105" s="28">
        <f>(E101/(1-0.0213)/(1-'Transmission Formula Rate (7)'!$B$27))+(E102/(1-'Transmission Formula Rate (7)'!$B$27))</f>
        <v>395619.96943453897</v>
      </c>
      <c r="F105" s="28">
        <f>(F101/(1-0.0213)/(1-'Transmission Formula Rate (7)'!$B$27))+(F102/(1-'Transmission Formula Rate (7)'!$B$27))</f>
        <v>446251.65562913904</v>
      </c>
      <c r="G105" s="28">
        <f>(G101/(1-0.0213)/(1-'Transmission Formula Rate (7)'!$B$27))+(G102/(1-'Transmission Formula Rate (7)'!$B$27))</f>
        <v>481571.06469689251</v>
      </c>
      <c r="H105" s="28">
        <f>(H101/(1-0.0213)/(1-'Transmission Formula Rate (7)'!$B$27))+(H102/(1-'Transmission Formula Rate (7)'!$B$27))</f>
        <v>477779.92868059094</v>
      </c>
      <c r="I105" s="28">
        <f>(I101/(1-0.0213)/(1-'Transmission Formula Rate (7)'!$B$27))+(I102/(1-'Transmission Formula Rate (7)'!$B$27))</f>
        <v>476204.78858889453</v>
      </c>
      <c r="J105" s="28">
        <f>(J101/(1-0.0213)/(1-'Transmission Formula Rate (7)'!$B$27))+(J102/(1-'Transmission Formula Rate (7)'!$B$27))</f>
        <v>483156.39327559853</v>
      </c>
      <c r="K105" s="28">
        <f>(K101/(1-0.0213)/(1-'Transmission Formula Rate (7)'!$B$27))+(K102/(1-'Transmission Formula Rate (7)'!$B$27))</f>
        <v>420302.59806418745</v>
      </c>
      <c r="L105" s="28">
        <f>(L101/(1-0.0213)/(1-'Transmission Formula Rate (7)'!$B$27))+(L102/(1-'Transmission Formula Rate (7)'!$B$27))</f>
        <v>404981.15129903209</v>
      </c>
      <c r="M105" s="28">
        <f>(M101/(1-0.0213)/(1-'Transmission Formula Rate (7)'!$B$27))+(M102/(1-'Transmission Formula Rate (7)'!$B$27))</f>
        <v>438204.78858889453</v>
      </c>
      <c r="N105" s="21">
        <f>SUM(B105:M105)</f>
        <v>5480504.3301069802</v>
      </c>
      <c r="P105" s="22"/>
    </row>
    <row r="106" spans="1:16" s="20" customFormat="1">
      <c r="A106" s="27" t="s">
        <v>52</v>
      </c>
      <c r="B106" s="48">
        <f>B91</f>
        <v>1.35E-2</v>
      </c>
      <c r="C106" s="48">
        <f t="shared" ref="C106:M106" si="30">C91</f>
        <v>1.35E-2</v>
      </c>
      <c r="D106" s="48">
        <f t="shared" si="30"/>
        <v>1.35E-2</v>
      </c>
      <c r="E106" s="48">
        <f t="shared" si="30"/>
        <v>1.35E-2</v>
      </c>
      <c r="F106" s="48">
        <f t="shared" si="30"/>
        <v>1.35E-2</v>
      </c>
      <c r="G106" s="48">
        <f t="shared" si="30"/>
        <v>1.35E-2</v>
      </c>
      <c r="H106" s="48">
        <f t="shared" si="30"/>
        <v>1.35E-2</v>
      </c>
      <c r="I106" s="48">
        <f t="shared" si="30"/>
        <v>1.35E-2</v>
      </c>
      <c r="J106" s="48">
        <f t="shared" si="30"/>
        <v>1.35E-2</v>
      </c>
      <c r="K106" s="48">
        <f t="shared" si="30"/>
        <v>1.35E-2</v>
      </c>
      <c r="L106" s="48">
        <f t="shared" si="30"/>
        <v>1.35E-2</v>
      </c>
      <c r="M106" s="48">
        <f t="shared" si="30"/>
        <v>1.35E-2</v>
      </c>
      <c r="N106" s="21"/>
      <c r="P106" s="22"/>
    </row>
    <row r="107" spans="1:16" s="20" customFormat="1">
      <c r="A107" s="26" t="s">
        <v>53</v>
      </c>
      <c r="B107" s="49">
        <f>B92</f>
        <v>4.8179999999999996</v>
      </c>
      <c r="C107" s="49">
        <f t="shared" ref="C107:M107" si="31">C92</f>
        <v>4.8179999999999996</v>
      </c>
      <c r="D107" s="49">
        <f t="shared" si="31"/>
        <v>4.8179999999999996</v>
      </c>
      <c r="E107" s="49">
        <f t="shared" si="31"/>
        <v>4.8179999999999996</v>
      </c>
      <c r="F107" s="49">
        <f t="shared" si="31"/>
        <v>4.8179999999999996</v>
      </c>
      <c r="G107" s="49">
        <f t="shared" si="31"/>
        <v>4.8179999999999996</v>
      </c>
      <c r="H107" s="49">
        <f t="shared" si="31"/>
        <v>4.8179999999999996</v>
      </c>
      <c r="I107" s="49">
        <f t="shared" si="31"/>
        <v>4.8179999999999996</v>
      </c>
      <c r="J107" s="49">
        <f t="shared" si="31"/>
        <v>4.8179999999999996</v>
      </c>
      <c r="K107" s="49">
        <f t="shared" si="31"/>
        <v>4.8179999999999996</v>
      </c>
      <c r="L107" s="49">
        <f t="shared" si="31"/>
        <v>4.8179999999999996</v>
      </c>
      <c r="M107" s="49">
        <f t="shared" si="31"/>
        <v>4.8179999999999996</v>
      </c>
      <c r="P107" s="22"/>
    </row>
    <row r="108" spans="1:16">
      <c r="A108" s="26" t="s">
        <v>17</v>
      </c>
      <c r="B108" s="21">
        <f t="shared" ref="B108:M108" si="32">B105*B106*B107</f>
        <v>37066.889067753429</v>
      </c>
      <c r="C108" s="21">
        <f t="shared" si="32"/>
        <v>30527.068896586858</v>
      </c>
      <c r="D108" s="21">
        <f t="shared" si="32"/>
        <v>27136.748081507896</v>
      </c>
      <c r="E108" s="21">
        <f t="shared" si="32"/>
        <v>25732.309671930718</v>
      </c>
      <c r="F108" s="21">
        <f t="shared" si="32"/>
        <v>29025.546437086086</v>
      </c>
      <c r="G108" s="21">
        <f t="shared" si="32"/>
        <v>31322.826761079978</v>
      </c>
      <c r="H108" s="21">
        <f t="shared" si="32"/>
        <v>31076.239901171673</v>
      </c>
      <c r="I108" s="21">
        <f t="shared" si="32"/>
        <v>30973.788064187462</v>
      </c>
      <c r="J108" s="21">
        <f t="shared" si="32"/>
        <v>31425.941287824749</v>
      </c>
      <c r="K108" s="21">
        <f t="shared" si="32"/>
        <v>27337.74188588894</v>
      </c>
      <c r="L108" s="21">
        <f t="shared" si="32"/>
        <v>26341.189023942945</v>
      </c>
      <c r="M108" s="21">
        <f t="shared" si="32"/>
        <v>28502.154064187467</v>
      </c>
      <c r="N108" s="21">
        <f>SUM(B108:M108)</f>
        <v>356468.44314314815</v>
      </c>
    </row>
  </sheetData>
  <phoneticPr fontId="23" type="noConversion"/>
  <pageMargins left="0.38" right="0.2" top="0.73" bottom="0.46" header="0.51" footer="0.18"/>
  <pageSetup scale="90" pageOrder="overThenDown" orientation="landscape" r:id="rId1"/>
  <headerFooter alignWithMargins="0">
    <oddHeader>&amp;A</oddHeader>
    <oddFooter>&amp;Z&amp;F</oddFooter>
  </headerFooter>
  <rowBreaks count="5" manualBreakCount="5">
    <brk id="22" max="16383" man="1"/>
    <brk id="51" max="16383" man="1"/>
    <brk id="125" max="65535" man="1"/>
    <brk id="155" max="65535" man="1"/>
    <brk id="203" max="65535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B050"/>
  </sheetPr>
  <dimension ref="A1:P177"/>
  <sheetViews>
    <sheetView zoomScaleNormal="100" workbookViewId="0">
      <pane ySplit="8" topLeftCell="A9" activePane="bottomLeft" state="frozen"/>
      <selection activeCell="A3" sqref="A1:XFD1048576"/>
      <selection pane="bottomLeft" activeCell="A2" sqref="A1:A2"/>
    </sheetView>
  </sheetViews>
  <sheetFormatPr defaultColWidth="9" defaultRowHeight="12"/>
  <cols>
    <col min="1" max="1" width="26.21875" style="250" customWidth="1"/>
    <col min="2" max="2" width="8.44140625" style="22" customWidth="1"/>
    <col min="3" max="3" width="9.33203125" style="22" customWidth="1"/>
    <col min="4" max="4" width="10" style="22" customWidth="1"/>
    <col min="5" max="6" width="9.33203125" style="22" customWidth="1"/>
    <col min="7" max="7" width="8.77734375" style="22" customWidth="1"/>
    <col min="8" max="8" width="9.88671875" style="22" customWidth="1"/>
    <col min="9" max="9" width="8.6640625" style="22" customWidth="1"/>
    <col min="10" max="10" width="8.44140625" style="22" customWidth="1"/>
    <col min="11" max="11" width="8.6640625" style="22" customWidth="1"/>
    <col min="12" max="12" width="9.109375" style="22" customWidth="1"/>
    <col min="13" max="13" width="10.33203125" style="22" customWidth="1"/>
    <col min="14" max="14" width="9.77734375" style="22" customWidth="1"/>
    <col min="15" max="16384" width="9" style="22"/>
  </cols>
  <sheetData>
    <row r="1" spans="1:16" ht="13.2">
      <c r="A1" s="480" t="s">
        <v>510</v>
      </c>
    </row>
    <row r="2" spans="1:16" ht="13.2">
      <c r="A2" s="480" t="s">
        <v>473</v>
      </c>
    </row>
    <row r="4" spans="1:16" s="16" customFormat="1" ht="13.8">
      <c r="A4" s="250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6" customFormat="1" ht="13.8">
      <c r="A5" s="251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16" customFormat="1" ht="13.8">
      <c r="A6" s="252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</row>
    <row r="7" spans="1:16" s="16" customFormat="1" ht="13.8">
      <c r="A7" s="253"/>
    </row>
    <row r="8" spans="1:16" s="20" customFormat="1" ht="10.199999999999999">
      <c r="A8" s="254"/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11</v>
      </c>
      <c r="N8" s="24" t="s">
        <v>12</v>
      </c>
    </row>
    <row r="9" spans="1:16" s="20" customFormat="1" ht="10.199999999999999">
      <c r="A9" s="255">
        <v>2014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6" s="20" customFormat="1" ht="13.2">
      <c r="A10" s="253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6" s="20" customFormat="1" ht="10.199999999999999">
      <c r="A11" s="25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6" s="20" customFormat="1" ht="10.199999999999999">
      <c r="A12" s="254" t="s">
        <v>37</v>
      </c>
    </row>
    <row r="13" spans="1:16" s="20" customFormat="1" ht="10.199999999999999">
      <c r="A13" s="256" t="s">
        <v>48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1">
        <f>SUM(B13:M13)</f>
        <v>0</v>
      </c>
    </row>
    <row r="14" spans="1:16" s="20" customFormat="1" ht="10.199999999999999">
      <c r="A14" s="256" t="s">
        <v>49</v>
      </c>
      <c r="B14" s="35">
        <f>B15-B13</f>
        <v>552997.99999999977</v>
      </c>
      <c r="C14" s="35">
        <f t="shared" ref="C14:M14" si="0">C15-C13</f>
        <v>462315.99999999977</v>
      </c>
      <c r="D14" s="35">
        <f t="shared" si="0"/>
        <v>397681.00000000012</v>
      </c>
      <c r="E14" s="35">
        <f t="shared" si="0"/>
        <v>374618.00000000017</v>
      </c>
      <c r="F14" s="35">
        <f t="shared" si="0"/>
        <v>421063.00000000023</v>
      </c>
      <c r="G14" s="35">
        <f t="shared" si="0"/>
        <v>458192.99999999953</v>
      </c>
      <c r="H14" s="35">
        <f t="shared" si="0"/>
        <v>454653</v>
      </c>
      <c r="I14" s="35">
        <f t="shared" si="0"/>
        <v>458307.00000000012</v>
      </c>
      <c r="J14" s="35">
        <f t="shared" si="0"/>
        <v>427158.00000000006</v>
      </c>
      <c r="K14" s="35">
        <f t="shared" si="0"/>
        <v>395161.00000000006</v>
      </c>
      <c r="L14" s="35">
        <f t="shared" si="0"/>
        <v>339740.00000000041</v>
      </c>
      <c r="M14" s="35">
        <f t="shared" si="0"/>
        <v>463474.00000000041</v>
      </c>
      <c r="N14" s="21">
        <f>SUM(B14:M14)</f>
        <v>5205362</v>
      </c>
    </row>
    <row r="15" spans="1:16" s="29" customFormat="1" ht="10.199999999999999">
      <c r="A15" s="256" t="s">
        <v>47</v>
      </c>
      <c r="B15" s="146">
        <f>SECI_Network_Forecast!B13*1000</f>
        <v>552997.99999999977</v>
      </c>
      <c r="C15" s="146">
        <f>SECI_Network_Forecast!C13*1000</f>
        <v>462315.99999999977</v>
      </c>
      <c r="D15" s="146">
        <f>SECI_Network_Forecast!D13*1000</f>
        <v>397681.00000000012</v>
      </c>
      <c r="E15" s="146">
        <f>SECI_Network_Forecast!E13*1000</f>
        <v>374618.00000000017</v>
      </c>
      <c r="F15" s="146">
        <f>SECI_Network_Forecast!F13*1000</f>
        <v>421063.00000000023</v>
      </c>
      <c r="G15" s="146">
        <f>SECI_Network_Forecast!G13*1000</f>
        <v>458192.99999999953</v>
      </c>
      <c r="H15" s="146">
        <f>SECI_Network_Forecast!H13*1000</f>
        <v>454653</v>
      </c>
      <c r="I15" s="146">
        <f>SECI_Network_Forecast!I13*1000</f>
        <v>458307.00000000012</v>
      </c>
      <c r="J15" s="146">
        <f>SECI_Network_Forecast!J13*1000</f>
        <v>427158.00000000006</v>
      </c>
      <c r="K15" s="146">
        <f>SECI_Network_Forecast!K13*1000</f>
        <v>395161.00000000006</v>
      </c>
      <c r="L15" s="146">
        <f>SECI_Network_Forecast!L13*1000</f>
        <v>339740.00000000041</v>
      </c>
      <c r="M15" s="146">
        <f>SECI_Network_Forecast!M13*1000</f>
        <v>463474.00000000041</v>
      </c>
      <c r="N15" s="21">
        <f>SUM(B15:M15)</f>
        <v>5205362</v>
      </c>
    </row>
    <row r="16" spans="1:16" s="29" customFormat="1" ht="10.199999999999999">
      <c r="A16" s="256" t="s">
        <v>45</v>
      </c>
      <c r="B16" s="28">
        <f>B17-B13-B14</f>
        <v>10423.293937850161</v>
      </c>
      <c r="C16" s="28">
        <f t="shared" ref="C16:M16" si="1">C17-C13-C14</f>
        <v>8714.0560366785503</v>
      </c>
      <c r="D16" s="36">
        <f t="shared" si="1"/>
        <v>7495.7702496179263</v>
      </c>
      <c r="E16" s="36">
        <f t="shared" si="1"/>
        <v>7061.0626591951004</v>
      </c>
      <c r="F16" s="36">
        <f t="shared" si="1"/>
        <v>7936.4905756494845</v>
      </c>
      <c r="G16" s="36">
        <f t="shared" si="1"/>
        <v>8636.3428425878519</v>
      </c>
      <c r="H16" s="36">
        <f t="shared" si="1"/>
        <v>8569.6184411614668</v>
      </c>
      <c r="I16" s="36">
        <f t="shared" si="1"/>
        <v>8638.4915944982204</v>
      </c>
      <c r="J16" s="36">
        <f t="shared" si="1"/>
        <v>8051.3734080488794</v>
      </c>
      <c r="K16" s="36">
        <f t="shared" si="1"/>
        <v>7448.2715231787879</v>
      </c>
      <c r="L16" s="36">
        <f t="shared" si="1"/>
        <v>6403.6576668364578</v>
      </c>
      <c r="M16" s="36">
        <f t="shared" si="1"/>
        <v>8735.8828323993948</v>
      </c>
      <c r="N16" s="21">
        <f>SUM(B16:M16)</f>
        <v>98114.311767702282</v>
      </c>
    </row>
    <row r="17" spans="1:14" s="29" customFormat="1" ht="10.199999999999999">
      <c r="A17" s="256" t="s">
        <v>50</v>
      </c>
      <c r="B17" s="28">
        <f>(B13/(1-0.0213)/(1-'Transmission Formula Rate (7)'!$B$27))+(B14/(1-'Transmission Formula Rate (7)'!$B$27))</f>
        <v>563421.29393784993</v>
      </c>
      <c r="C17" s="28">
        <f>(C13/(1-0.0213)/(1-'Transmission Formula Rate (7)'!$B$27))+(C14/(1-'Transmission Formula Rate (7)'!$B$27))</f>
        <v>471030.05603667832</v>
      </c>
      <c r="D17" s="28">
        <f>(D13/(1-0.0213)/(1-'Transmission Formula Rate (7)'!$B$27))+(D14/(1-'Transmission Formula Rate (7)'!$B$27))</f>
        <v>405176.77024961804</v>
      </c>
      <c r="E17" s="28">
        <f>(E13/(1-0.0213)/(1-'Transmission Formula Rate (7)'!$B$27))+(E14/(1-'Transmission Formula Rate (7)'!$B$27))</f>
        <v>381679.06265919528</v>
      </c>
      <c r="F17" s="28">
        <f>(F13/(1-0.0213)/(1-'Transmission Formula Rate (7)'!$B$27))+(F14/(1-'Transmission Formula Rate (7)'!$B$27))</f>
        <v>428999.49057564972</v>
      </c>
      <c r="G17" s="28">
        <f>(G13/(1-0.0213)/(1-'Transmission Formula Rate (7)'!$B$27))+(G14/(1-'Transmission Formula Rate (7)'!$B$27))</f>
        <v>466829.34284258739</v>
      </c>
      <c r="H17" s="28">
        <f>(H13/(1-0.0213)/(1-'Transmission Formula Rate (7)'!$B$27))+(H14/(1-'Transmission Formula Rate (7)'!$B$27))</f>
        <v>463222.61844116147</v>
      </c>
      <c r="I17" s="28">
        <f>(I13/(1-0.0213)/(1-'Transmission Formula Rate (7)'!$B$27))+(I14/(1-'Transmission Formula Rate (7)'!$B$27))</f>
        <v>466945.49159449834</v>
      </c>
      <c r="J17" s="28">
        <f>(J13/(1-0.0213)/(1-'Transmission Formula Rate (7)'!$B$27))+(J14/(1-'Transmission Formula Rate (7)'!$B$27))</f>
        <v>435209.37340804894</v>
      </c>
      <c r="K17" s="28">
        <f>(K13/(1-0.0213)/(1-'Transmission Formula Rate (7)'!$B$27))+(K14/(1-'Transmission Formula Rate (7)'!$B$27))</f>
        <v>402609.27152317885</v>
      </c>
      <c r="L17" s="28">
        <f>(L13/(1-0.0213)/(1-'Transmission Formula Rate (7)'!$B$27))+(L14/(1-'Transmission Formula Rate (7)'!$B$27))</f>
        <v>346143.65766683687</v>
      </c>
      <c r="M17" s="28">
        <f>(M13/(1-0.0213)/(1-'Transmission Formula Rate (7)'!$B$27))+(M14/(1-'Transmission Formula Rate (7)'!$B$27))</f>
        <v>472209.8828323998</v>
      </c>
      <c r="N17" s="21">
        <f>SUM(B17:M17)</f>
        <v>5303476.311767702</v>
      </c>
    </row>
    <row r="18" spans="1:14" s="20" customFormat="1" ht="10.199999999999999">
      <c r="A18" s="254" t="s">
        <v>20</v>
      </c>
      <c r="B18" s="30">
        <f>'Transmission Formula Rate (7)'!B8</f>
        <v>1.59</v>
      </c>
      <c r="C18" s="30">
        <f>'Transmission Formula Rate (7)'!C8</f>
        <v>1.59</v>
      </c>
      <c r="D18" s="30">
        <f>'Transmission Formula Rate (7)'!D8</f>
        <v>1.59</v>
      </c>
      <c r="E18" s="30">
        <f>'Transmission Formula Rate (7)'!E8</f>
        <v>1.59</v>
      </c>
      <c r="F18" s="30">
        <f>'Transmission Formula Rate (7)'!F8</f>
        <v>1.59</v>
      </c>
      <c r="G18" s="30">
        <f>'Transmission Formula Rate (7)'!G8</f>
        <v>1.59</v>
      </c>
      <c r="H18" s="30">
        <f>'Transmission Formula Rate (7)'!H8</f>
        <v>1.59</v>
      </c>
      <c r="I18" s="30">
        <f>'Transmission Formula Rate (7)'!I8</f>
        <v>1.59</v>
      </c>
      <c r="J18" s="30">
        <f>'Transmission Formula Rate (7)'!J8</f>
        <v>1.59</v>
      </c>
      <c r="K18" s="30">
        <f>'Transmission Formula Rate (7)'!K8</f>
        <v>1.59</v>
      </c>
      <c r="L18" s="30">
        <f>'Transmission Formula Rate (7)'!L8</f>
        <v>1.59</v>
      </c>
      <c r="M18" s="30">
        <f>'Transmission Formula Rate (7)'!M8</f>
        <v>1.59</v>
      </c>
    </row>
    <row r="19" spans="1:14" s="20" customFormat="1" ht="10.199999999999999">
      <c r="A19" s="254" t="s">
        <v>17</v>
      </c>
      <c r="B19" s="199">
        <f>B17*B18</f>
        <v>895839.85736118141</v>
      </c>
      <c r="C19" s="199">
        <f t="shared" ref="C19:M19" si="2">C17*C18</f>
        <v>748937.78909831855</v>
      </c>
      <c r="D19" s="199">
        <f t="shared" si="2"/>
        <v>644231.06469689275</v>
      </c>
      <c r="E19" s="199">
        <f t="shared" si="2"/>
        <v>606869.70962812053</v>
      </c>
      <c r="F19" s="199">
        <f t="shared" si="2"/>
        <v>682109.19001528306</v>
      </c>
      <c r="G19" s="199">
        <f t="shared" si="2"/>
        <v>742258.65511971398</v>
      </c>
      <c r="H19" s="199">
        <f t="shared" si="2"/>
        <v>736523.96332144679</v>
      </c>
      <c r="I19" s="199">
        <f t="shared" si="2"/>
        <v>742443.33163525234</v>
      </c>
      <c r="J19" s="199">
        <f t="shared" si="2"/>
        <v>691982.90371879784</v>
      </c>
      <c r="K19" s="199">
        <f t="shared" si="2"/>
        <v>640148.74172185443</v>
      </c>
      <c r="L19" s="199">
        <f t="shared" si="2"/>
        <v>550368.4156902706</v>
      </c>
      <c r="M19" s="199">
        <f t="shared" si="2"/>
        <v>750813.71370351571</v>
      </c>
      <c r="N19" s="199">
        <f>SUM(B19:M19)</f>
        <v>8432527.3357106466</v>
      </c>
    </row>
    <row r="20" spans="1:14" s="20" customFormat="1" ht="10.199999999999999">
      <c r="A20" s="257"/>
    </row>
    <row r="21" spans="1:14" s="20" customFormat="1" ht="10.199999999999999">
      <c r="A21" s="254" t="s">
        <v>141</v>
      </c>
    </row>
    <row r="22" spans="1:14" s="20" customFormat="1" ht="10.199999999999999">
      <c r="A22" s="256" t="str">
        <f>A17</f>
        <v xml:space="preserve">       SECI Load</v>
      </c>
      <c r="B22" s="28">
        <f>B17</f>
        <v>563421.29393784993</v>
      </c>
      <c r="C22" s="28">
        <f t="shared" ref="C22:M22" si="3">C17</f>
        <v>471030.05603667832</v>
      </c>
      <c r="D22" s="28">
        <f t="shared" si="3"/>
        <v>405176.77024961804</v>
      </c>
      <c r="E22" s="28">
        <f t="shared" si="3"/>
        <v>381679.06265919528</v>
      </c>
      <c r="F22" s="28">
        <f t="shared" si="3"/>
        <v>428999.49057564972</v>
      </c>
      <c r="G22" s="28">
        <f t="shared" si="3"/>
        <v>466829.34284258739</v>
      </c>
      <c r="H22" s="28">
        <f t="shared" si="3"/>
        <v>463222.61844116147</v>
      </c>
      <c r="I22" s="28">
        <f t="shared" si="3"/>
        <v>466945.49159449834</v>
      </c>
      <c r="J22" s="28">
        <f t="shared" si="3"/>
        <v>435209.37340804894</v>
      </c>
      <c r="K22" s="28">
        <f t="shared" si="3"/>
        <v>402609.27152317885</v>
      </c>
      <c r="L22" s="28">
        <f t="shared" si="3"/>
        <v>346143.65766683687</v>
      </c>
      <c r="M22" s="28">
        <f t="shared" si="3"/>
        <v>472209.8828323998</v>
      </c>
      <c r="N22" s="21">
        <f>SUM(B22:M22)</f>
        <v>5303476.311767702</v>
      </c>
    </row>
    <row r="23" spans="1:14" s="20" customFormat="1" ht="10.199999999999999">
      <c r="A23" s="254" t="s">
        <v>149</v>
      </c>
      <c r="B23" s="32">
        <f>'charges (1 &amp; 2)'!D30</f>
        <v>1.274E-2</v>
      </c>
      <c r="C23" s="32">
        <f>B23</f>
        <v>1.274E-2</v>
      </c>
      <c r="D23" s="32">
        <f t="shared" ref="D23:M23" si="4">C23</f>
        <v>1.274E-2</v>
      </c>
      <c r="E23" s="32">
        <f t="shared" si="4"/>
        <v>1.274E-2</v>
      </c>
      <c r="F23" s="32">
        <f t="shared" si="4"/>
        <v>1.274E-2</v>
      </c>
      <c r="G23" s="32">
        <f t="shared" si="4"/>
        <v>1.274E-2</v>
      </c>
      <c r="H23" s="32">
        <f t="shared" si="4"/>
        <v>1.274E-2</v>
      </c>
      <c r="I23" s="32">
        <f t="shared" si="4"/>
        <v>1.274E-2</v>
      </c>
      <c r="J23" s="32">
        <f t="shared" si="4"/>
        <v>1.274E-2</v>
      </c>
      <c r="K23" s="32">
        <f t="shared" si="4"/>
        <v>1.274E-2</v>
      </c>
      <c r="L23" s="32">
        <f t="shared" si="4"/>
        <v>1.274E-2</v>
      </c>
      <c r="M23" s="32">
        <f t="shared" si="4"/>
        <v>1.274E-2</v>
      </c>
    </row>
    <row r="24" spans="1:14" s="20" customFormat="1" ht="10.199999999999999">
      <c r="A24" s="254" t="s">
        <v>17</v>
      </c>
      <c r="B24" s="199">
        <f t="shared" ref="B24:M24" si="5">B22*B23</f>
        <v>7177.9872847682082</v>
      </c>
      <c r="C24" s="199">
        <f t="shared" si="5"/>
        <v>6000.9229139072813</v>
      </c>
      <c r="D24" s="199">
        <f t="shared" si="5"/>
        <v>5161.9520529801339</v>
      </c>
      <c r="E24" s="199">
        <f t="shared" si="5"/>
        <v>4862.5912582781475</v>
      </c>
      <c r="F24" s="199">
        <f t="shared" si="5"/>
        <v>5465.4535099337772</v>
      </c>
      <c r="G24" s="199">
        <f t="shared" si="5"/>
        <v>5947.4058278145631</v>
      </c>
      <c r="H24" s="199">
        <f t="shared" si="5"/>
        <v>5901.4561589403966</v>
      </c>
      <c r="I24" s="199">
        <f t="shared" si="5"/>
        <v>5948.8855629139089</v>
      </c>
      <c r="J24" s="199">
        <f t="shared" si="5"/>
        <v>5544.5674172185436</v>
      </c>
      <c r="K24" s="199">
        <f t="shared" si="5"/>
        <v>5129.242119205298</v>
      </c>
      <c r="L24" s="199">
        <f t="shared" si="5"/>
        <v>4409.8701986755013</v>
      </c>
      <c r="M24" s="199">
        <f t="shared" si="5"/>
        <v>6015.9539072847729</v>
      </c>
      <c r="N24" s="199">
        <f>SUM(B24:M24)</f>
        <v>67566.288211920546</v>
      </c>
    </row>
    <row r="25" spans="1:14" s="20" customFormat="1" ht="10.199999999999999">
      <c r="A25" s="257"/>
    </row>
    <row r="26" spans="1:14" s="20" customFormat="1" ht="10.199999999999999">
      <c r="A26" s="254" t="s">
        <v>38</v>
      </c>
    </row>
    <row r="27" spans="1:14" s="29" customFormat="1" ht="10.199999999999999">
      <c r="A27" s="256" t="str">
        <f>A17</f>
        <v xml:space="preserve">       SECI Load</v>
      </c>
      <c r="B27" s="28">
        <f>B17</f>
        <v>563421.29393784993</v>
      </c>
      <c r="C27" s="28">
        <f t="shared" ref="C27:M27" si="6">C17</f>
        <v>471030.05603667832</v>
      </c>
      <c r="D27" s="28">
        <f t="shared" si="6"/>
        <v>405176.77024961804</v>
      </c>
      <c r="E27" s="28">
        <f t="shared" si="6"/>
        <v>381679.06265919528</v>
      </c>
      <c r="F27" s="28">
        <f t="shared" si="6"/>
        <v>428999.49057564972</v>
      </c>
      <c r="G27" s="28">
        <f t="shared" si="6"/>
        <v>466829.34284258739</v>
      </c>
      <c r="H27" s="28">
        <f t="shared" si="6"/>
        <v>463222.61844116147</v>
      </c>
      <c r="I27" s="28">
        <f t="shared" si="6"/>
        <v>466945.49159449834</v>
      </c>
      <c r="J27" s="28">
        <f t="shared" si="6"/>
        <v>435209.37340804894</v>
      </c>
      <c r="K27" s="28">
        <f t="shared" si="6"/>
        <v>402609.27152317885</v>
      </c>
      <c r="L27" s="28">
        <f t="shared" si="6"/>
        <v>346143.65766683687</v>
      </c>
      <c r="M27" s="28">
        <f t="shared" si="6"/>
        <v>472209.8828323998</v>
      </c>
      <c r="N27" s="21">
        <f>SUM(B27:M27)</f>
        <v>5303476.311767702</v>
      </c>
    </row>
    <row r="28" spans="1:14" s="20" customFormat="1" ht="10.199999999999999">
      <c r="A28" s="254" t="s">
        <v>150</v>
      </c>
      <c r="B28" s="32">
        <f>'charges (1 &amp; 2)'!D29</f>
        <v>0.02</v>
      </c>
      <c r="C28" s="32">
        <f>B28</f>
        <v>0.02</v>
      </c>
      <c r="D28" s="32">
        <f t="shared" ref="D28:M28" si="7">C28</f>
        <v>0.02</v>
      </c>
      <c r="E28" s="32">
        <f t="shared" si="7"/>
        <v>0.02</v>
      </c>
      <c r="F28" s="32">
        <f t="shared" si="7"/>
        <v>0.02</v>
      </c>
      <c r="G28" s="32">
        <f t="shared" si="7"/>
        <v>0.02</v>
      </c>
      <c r="H28" s="32">
        <f t="shared" si="7"/>
        <v>0.02</v>
      </c>
      <c r="I28" s="32">
        <f t="shared" si="7"/>
        <v>0.02</v>
      </c>
      <c r="J28" s="32">
        <f t="shared" si="7"/>
        <v>0.02</v>
      </c>
      <c r="K28" s="32">
        <f t="shared" si="7"/>
        <v>0.02</v>
      </c>
      <c r="L28" s="32">
        <f t="shared" si="7"/>
        <v>0.02</v>
      </c>
      <c r="M28" s="32">
        <f t="shared" si="7"/>
        <v>0.02</v>
      </c>
    </row>
    <row r="29" spans="1:14" s="20" customFormat="1" ht="10.199999999999999">
      <c r="A29" s="254" t="s">
        <v>17</v>
      </c>
      <c r="B29" s="199">
        <f t="shared" ref="B29:M29" si="8">B27*B28</f>
        <v>11268.425878756998</v>
      </c>
      <c r="C29" s="199">
        <f t="shared" si="8"/>
        <v>9420.6011207335669</v>
      </c>
      <c r="D29" s="199">
        <f t="shared" si="8"/>
        <v>8103.5354049923608</v>
      </c>
      <c r="E29" s="199">
        <f t="shared" si="8"/>
        <v>7633.5812531839056</v>
      </c>
      <c r="F29" s="199">
        <f t="shared" si="8"/>
        <v>8579.9898115129945</v>
      </c>
      <c r="G29" s="199">
        <f t="shared" si="8"/>
        <v>9336.5868568517471</v>
      </c>
      <c r="H29" s="199">
        <f t="shared" si="8"/>
        <v>9264.4523688232293</v>
      </c>
      <c r="I29" s="199">
        <f t="shared" si="8"/>
        <v>9338.9098318899669</v>
      </c>
      <c r="J29" s="199">
        <f t="shared" si="8"/>
        <v>8704.1874681609788</v>
      </c>
      <c r="K29" s="199">
        <f t="shared" si="8"/>
        <v>8052.1854304635772</v>
      </c>
      <c r="L29" s="199">
        <f t="shared" si="8"/>
        <v>6922.8731533367372</v>
      </c>
      <c r="M29" s="199">
        <f t="shared" si="8"/>
        <v>9444.1976566479971</v>
      </c>
      <c r="N29" s="199">
        <f>SUM(B29:M29)</f>
        <v>106069.52623535406</v>
      </c>
    </row>
    <row r="30" spans="1:14" s="20" customFormat="1" ht="10.199999999999999">
      <c r="A30" s="254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</row>
    <row r="31" spans="1:14" s="20" customFormat="1" ht="10.199999999999999">
      <c r="A31" s="254" t="s">
        <v>25</v>
      </c>
      <c r="B31" s="199">
        <f>B19+B29+B24</f>
        <v>914286.27052470669</v>
      </c>
      <c r="C31" s="199">
        <f t="shared" ref="C31:M31" si="9">C19+C29+C24</f>
        <v>764359.31313295942</v>
      </c>
      <c r="D31" s="199">
        <f t="shared" si="9"/>
        <v>657496.55215486523</v>
      </c>
      <c r="E31" s="199">
        <f t="shared" si="9"/>
        <v>619365.88213958254</v>
      </c>
      <c r="F31" s="199">
        <f t="shared" si="9"/>
        <v>696154.63333672984</v>
      </c>
      <c r="G31" s="199">
        <f t="shared" si="9"/>
        <v>757542.64780438028</v>
      </c>
      <c r="H31" s="199">
        <f t="shared" si="9"/>
        <v>751689.87184921047</v>
      </c>
      <c r="I31" s="199">
        <f t="shared" si="9"/>
        <v>757731.12703005632</v>
      </c>
      <c r="J31" s="199">
        <f t="shared" si="9"/>
        <v>706231.65860417741</v>
      </c>
      <c r="K31" s="199">
        <f t="shared" si="9"/>
        <v>653330.16927152325</v>
      </c>
      <c r="L31" s="199">
        <f t="shared" si="9"/>
        <v>561701.15904228284</v>
      </c>
      <c r="M31" s="199">
        <f t="shared" si="9"/>
        <v>766273.86526744848</v>
      </c>
      <c r="N31" s="199">
        <f>SUM(B31:M31)</f>
        <v>8606163.1501579229</v>
      </c>
    </row>
    <row r="32" spans="1:14" s="20" customFormat="1" ht="10.199999999999999">
      <c r="A32" s="254"/>
      <c r="B32" s="24" t="s">
        <v>0</v>
      </c>
      <c r="C32" s="24" t="s">
        <v>1</v>
      </c>
      <c r="D32" s="24" t="s">
        <v>2</v>
      </c>
      <c r="E32" s="24" t="s">
        <v>3</v>
      </c>
      <c r="F32" s="24" t="s">
        <v>4</v>
      </c>
      <c r="G32" s="24" t="s">
        <v>5</v>
      </c>
      <c r="H32" s="24" t="s">
        <v>6</v>
      </c>
      <c r="I32" s="24" t="s">
        <v>7</v>
      </c>
      <c r="J32" s="24" t="s">
        <v>8</v>
      </c>
      <c r="K32" s="24" t="s">
        <v>9</v>
      </c>
      <c r="L32" s="24" t="s">
        <v>10</v>
      </c>
      <c r="M32" s="24" t="s">
        <v>11</v>
      </c>
      <c r="N32" s="24" t="s">
        <v>12</v>
      </c>
    </row>
    <row r="33" spans="1:14" s="20" customFormat="1" ht="10.199999999999999">
      <c r="A33" s="255">
        <f>A9+1</f>
        <v>2015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s="20" customFormat="1" ht="13.2">
      <c r="A34" s="25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s="20" customFormat="1" ht="10.199999999999999">
      <c r="A35" s="25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s="20" customFormat="1" ht="10.199999999999999">
      <c r="A36" s="254" t="s">
        <v>37</v>
      </c>
    </row>
    <row r="37" spans="1:14" s="20" customFormat="1" ht="10.199999999999999">
      <c r="A37" s="256" t="s">
        <v>48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1">
        <f>SUM(B37:M37)</f>
        <v>0</v>
      </c>
    </row>
    <row r="38" spans="1:14" s="20" customFormat="1" ht="10.199999999999999">
      <c r="A38" s="256" t="s">
        <v>49</v>
      </c>
      <c r="B38" s="35">
        <f t="shared" ref="B38:M38" si="10">B39-B37</f>
        <v>566819.99999999977</v>
      </c>
      <c r="C38" s="35">
        <f t="shared" si="10"/>
        <v>462315.99999999977</v>
      </c>
      <c r="D38" s="35">
        <f t="shared" si="10"/>
        <v>397681.00000000012</v>
      </c>
      <c r="E38" s="35">
        <f t="shared" si="10"/>
        <v>374618.00000000017</v>
      </c>
      <c r="F38" s="35">
        <f t="shared" si="10"/>
        <v>421063.00000000023</v>
      </c>
      <c r="G38" s="35">
        <f t="shared" si="10"/>
        <v>458192.99999999953</v>
      </c>
      <c r="H38" s="35">
        <f t="shared" si="10"/>
        <v>454653</v>
      </c>
      <c r="I38" s="35">
        <f t="shared" si="10"/>
        <v>458307.00000000012</v>
      </c>
      <c r="J38" s="35">
        <f t="shared" si="10"/>
        <v>427158.00000000006</v>
      </c>
      <c r="K38" s="35">
        <f t="shared" si="10"/>
        <v>395161.00000000006</v>
      </c>
      <c r="L38" s="35">
        <f t="shared" si="10"/>
        <v>339740.00000000041</v>
      </c>
      <c r="M38" s="35">
        <f t="shared" si="10"/>
        <v>463474.00000000041</v>
      </c>
      <c r="N38" s="21">
        <f>SUM(B38:M38)</f>
        <v>5219184</v>
      </c>
    </row>
    <row r="39" spans="1:14" s="29" customFormat="1" ht="10.199999999999999">
      <c r="A39" s="256" t="s">
        <v>47</v>
      </c>
      <c r="B39" s="146">
        <f>SECI_Network_Forecast!B14*1000</f>
        <v>566819.99999999977</v>
      </c>
      <c r="C39" s="146">
        <f>SECI_Network_Forecast!C14*1000</f>
        <v>462315.99999999977</v>
      </c>
      <c r="D39" s="146">
        <f>SECI_Network_Forecast!D14*1000</f>
        <v>397681.00000000012</v>
      </c>
      <c r="E39" s="146">
        <f>SECI_Network_Forecast!E14*1000</f>
        <v>374618.00000000017</v>
      </c>
      <c r="F39" s="146">
        <f>SECI_Network_Forecast!F14*1000</f>
        <v>421063.00000000023</v>
      </c>
      <c r="G39" s="146">
        <f>SECI_Network_Forecast!G14*1000</f>
        <v>458192.99999999953</v>
      </c>
      <c r="H39" s="146">
        <f>SECI_Network_Forecast!H14*1000</f>
        <v>454653</v>
      </c>
      <c r="I39" s="146">
        <f>SECI_Network_Forecast!I14*1000</f>
        <v>458307.00000000012</v>
      </c>
      <c r="J39" s="146">
        <f>SECI_Network_Forecast!J14*1000</f>
        <v>427158.00000000006</v>
      </c>
      <c r="K39" s="146">
        <f>SECI_Network_Forecast!K14*1000</f>
        <v>395161.00000000006</v>
      </c>
      <c r="L39" s="146">
        <f>SECI_Network_Forecast!L14*1000</f>
        <v>339740.00000000041</v>
      </c>
      <c r="M39" s="146">
        <f>SECI_Network_Forecast!M14*1000</f>
        <v>463474.00000000041</v>
      </c>
      <c r="N39" s="21">
        <f>SUM(B39:M39)</f>
        <v>5219184</v>
      </c>
    </row>
    <row r="40" spans="1:14" s="29" customFormat="1" ht="10.199999999999999">
      <c r="A40" s="256" t="s">
        <v>45</v>
      </c>
      <c r="B40" s="28">
        <f t="shared" ref="B40:M40" si="11">B41-B37-B38</f>
        <v>10683.820682628546</v>
      </c>
      <c r="C40" s="28">
        <f t="shared" si="11"/>
        <v>8714.0560366785503</v>
      </c>
      <c r="D40" s="36">
        <f t="shared" si="11"/>
        <v>7495.7702496179263</v>
      </c>
      <c r="E40" s="36">
        <f t="shared" si="11"/>
        <v>7061.0626591951004</v>
      </c>
      <c r="F40" s="36">
        <f t="shared" si="11"/>
        <v>7936.4905756494845</v>
      </c>
      <c r="G40" s="36">
        <f t="shared" si="11"/>
        <v>8636.3428425878519</v>
      </c>
      <c r="H40" s="36">
        <f t="shared" si="11"/>
        <v>8569.6184411614668</v>
      </c>
      <c r="I40" s="36">
        <f t="shared" si="11"/>
        <v>8638.4915944982204</v>
      </c>
      <c r="J40" s="36">
        <f t="shared" si="11"/>
        <v>8051.3734080488794</v>
      </c>
      <c r="K40" s="36">
        <f t="shared" si="11"/>
        <v>7448.2715231787879</v>
      </c>
      <c r="L40" s="36">
        <f t="shared" si="11"/>
        <v>6403.6576668364578</v>
      </c>
      <c r="M40" s="36">
        <f t="shared" si="11"/>
        <v>8735.8828323993948</v>
      </c>
      <c r="N40" s="21">
        <f>SUM(B40:M40)</f>
        <v>98374.838512480666</v>
      </c>
    </row>
    <row r="41" spans="1:14" s="29" customFormat="1" ht="10.199999999999999">
      <c r="A41" s="256" t="s">
        <v>50</v>
      </c>
      <c r="B41" s="28">
        <f>(B37/(1-0.0213)/(1-'Transmission Formula Rate (7)'!$B$27))+(B38/(1-'Transmission Formula Rate (7)'!$B$27))</f>
        <v>577503.82068262831</v>
      </c>
      <c r="C41" s="28">
        <f>(C37/(1-0.0213)/(1-'Transmission Formula Rate (7)'!$B$27))+(C38/(1-'Transmission Formula Rate (7)'!$B$27))</f>
        <v>471030.05603667832</v>
      </c>
      <c r="D41" s="28">
        <f>(D37/(1-0.0213)/(1-'Transmission Formula Rate (7)'!$B$27))+(D38/(1-'Transmission Formula Rate (7)'!$B$27))</f>
        <v>405176.77024961804</v>
      </c>
      <c r="E41" s="28">
        <f>(E37/(1-0.0213)/(1-'Transmission Formula Rate (7)'!$B$27))+(E38/(1-'Transmission Formula Rate (7)'!$B$27))</f>
        <v>381679.06265919528</v>
      </c>
      <c r="F41" s="28">
        <f>(F37/(1-0.0213)/(1-'Transmission Formula Rate (7)'!$B$27))+(F38/(1-'Transmission Formula Rate (7)'!$B$27))</f>
        <v>428999.49057564972</v>
      </c>
      <c r="G41" s="28">
        <f>(G37/(1-0.0213)/(1-'Transmission Formula Rate (7)'!$B$27))+(G38/(1-'Transmission Formula Rate (7)'!$B$27))</f>
        <v>466829.34284258739</v>
      </c>
      <c r="H41" s="28">
        <f>(H37/(1-0.0213)/(1-'Transmission Formula Rate (7)'!$B$27))+(H38/(1-'Transmission Formula Rate (7)'!$B$27))</f>
        <v>463222.61844116147</v>
      </c>
      <c r="I41" s="28">
        <f>(I37/(1-0.0213)/(1-'Transmission Formula Rate (7)'!$B$27))+(I38/(1-'Transmission Formula Rate (7)'!$B$27))</f>
        <v>466945.49159449834</v>
      </c>
      <c r="J41" s="28">
        <f>(J37/(1-0.0213)/(1-'Transmission Formula Rate (7)'!$B$27))+(J38/(1-'Transmission Formula Rate (7)'!$B$27))</f>
        <v>435209.37340804894</v>
      </c>
      <c r="K41" s="28">
        <f>(K37/(1-0.0213)/(1-'Transmission Formula Rate (7)'!$B$27))+(K38/(1-'Transmission Formula Rate (7)'!$B$27))</f>
        <v>402609.27152317885</v>
      </c>
      <c r="L41" s="28">
        <f>(L37/(1-0.0213)/(1-'Transmission Formula Rate (7)'!$B$27))+(L38/(1-'Transmission Formula Rate (7)'!$B$27))</f>
        <v>346143.65766683687</v>
      </c>
      <c r="M41" s="28">
        <f>(M37/(1-0.0213)/(1-'Transmission Formula Rate (7)'!$B$27))+(M38/(1-'Transmission Formula Rate (7)'!$B$27))</f>
        <v>472209.8828323998</v>
      </c>
      <c r="N41" s="21">
        <f>SUM(B41:M41)</f>
        <v>5317558.8385124812</v>
      </c>
    </row>
    <row r="42" spans="1:14" s="20" customFormat="1" ht="10.199999999999999">
      <c r="A42" s="254" t="s">
        <v>20</v>
      </c>
      <c r="B42" s="30">
        <f>'Transmission Formula Rate (7)'!B10</f>
        <v>1.59</v>
      </c>
      <c r="C42" s="30">
        <f>'Transmission Formula Rate (7)'!C10</f>
        <v>1.59</v>
      </c>
      <c r="D42" s="30">
        <f>'Transmission Formula Rate (7)'!D10</f>
        <v>1.59</v>
      </c>
      <c r="E42" s="30">
        <f>'Transmission Formula Rate (7)'!E10</f>
        <v>1.59</v>
      </c>
      <c r="F42" s="30">
        <f>'Transmission Formula Rate (7)'!F10</f>
        <v>1.59</v>
      </c>
      <c r="G42" s="30">
        <f>'Transmission Formula Rate (7)'!G10</f>
        <v>1.59</v>
      </c>
      <c r="H42" s="30">
        <f>'Transmission Formula Rate (7)'!H10</f>
        <v>1.59</v>
      </c>
      <c r="I42" s="30">
        <f>'Transmission Formula Rate (7)'!I10</f>
        <v>1.59</v>
      </c>
      <c r="J42" s="30">
        <f>'Transmission Formula Rate (7)'!J10</f>
        <v>1.59</v>
      </c>
      <c r="K42" s="30">
        <f>'Transmission Formula Rate (7)'!K10</f>
        <v>1.59</v>
      </c>
      <c r="L42" s="30">
        <f>'Transmission Formula Rate (7)'!L10</f>
        <v>1.59</v>
      </c>
      <c r="M42" s="30">
        <f>'Transmission Formula Rate (7)'!M10</f>
        <v>1.59</v>
      </c>
    </row>
    <row r="43" spans="1:14" s="20" customFormat="1" ht="10.199999999999999">
      <c r="A43" s="254" t="s">
        <v>17</v>
      </c>
      <c r="B43" s="199">
        <f>B41*B42</f>
        <v>918231.07488537906</v>
      </c>
      <c r="C43" s="199">
        <f t="shared" ref="C43:M43" si="12">C41*C42</f>
        <v>748937.78909831855</v>
      </c>
      <c r="D43" s="199">
        <f t="shared" si="12"/>
        <v>644231.06469689275</v>
      </c>
      <c r="E43" s="199">
        <f t="shared" si="12"/>
        <v>606869.70962812053</v>
      </c>
      <c r="F43" s="199">
        <f t="shared" si="12"/>
        <v>682109.19001528306</v>
      </c>
      <c r="G43" s="199">
        <f t="shared" si="12"/>
        <v>742258.65511971398</v>
      </c>
      <c r="H43" s="199">
        <f t="shared" si="12"/>
        <v>736523.96332144679</v>
      </c>
      <c r="I43" s="199">
        <f t="shared" si="12"/>
        <v>742443.33163525234</v>
      </c>
      <c r="J43" s="199">
        <f t="shared" si="12"/>
        <v>691982.90371879784</v>
      </c>
      <c r="K43" s="199">
        <f t="shared" si="12"/>
        <v>640148.74172185443</v>
      </c>
      <c r="L43" s="199">
        <f t="shared" si="12"/>
        <v>550368.4156902706</v>
      </c>
      <c r="M43" s="199">
        <f t="shared" si="12"/>
        <v>750813.71370351571</v>
      </c>
      <c r="N43" s="199">
        <f>SUM(B43:M43)</f>
        <v>8454918.5532348454</v>
      </c>
    </row>
    <row r="44" spans="1:14" s="20" customFormat="1" ht="10.199999999999999">
      <c r="A44" s="25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s="20" customFormat="1" ht="10.199999999999999">
      <c r="A45" s="254" t="s">
        <v>141</v>
      </c>
    </row>
    <row r="46" spans="1:14" s="20" customFormat="1" ht="10.199999999999999">
      <c r="A46" s="256" t="str">
        <f>A41</f>
        <v xml:space="preserve">       SECI Load</v>
      </c>
      <c r="B46" s="28">
        <f>B41</f>
        <v>577503.82068262831</v>
      </c>
      <c r="C46" s="28">
        <f t="shared" ref="C46:M46" si="13">C41</f>
        <v>471030.05603667832</v>
      </c>
      <c r="D46" s="28">
        <f t="shared" si="13"/>
        <v>405176.77024961804</v>
      </c>
      <c r="E46" s="28">
        <f t="shared" si="13"/>
        <v>381679.06265919528</v>
      </c>
      <c r="F46" s="28">
        <f t="shared" si="13"/>
        <v>428999.49057564972</v>
      </c>
      <c r="G46" s="28">
        <f t="shared" si="13"/>
        <v>466829.34284258739</v>
      </c>
      <c r="H46" s="28">
        <f t="shared" si="13"/>
        <v>463222.61844116147</v>
      </c>
      <c r="I46" s="28">
        <f t="shared" si="13"/>
        <v>466945.49159449834</v>
      </c>
      <c r="J46" s="28">
        <f t="shared" si="13"/>
        <v>435209.37340804894</v>
      </c>
      <c r="K46" s="28">
        <f t="shared" si="13"/>
        <v>402609.27152317885</v>
      </c>
      <c r="L46" s="28">
        <f t="shared" si="13"/>
        <v>346143.65766683687</v>
      </c>
      <c r="M46" s="28">
        <f t="shared" si="13"/>
        <v>472209.8828323998</v>
      </c>
      <c r="N46" s="21">
        <f>SUM(B46:M46)</f>
        <v>5317558.8385124812</v>
      </c>
    </row>
    <row r="47" spans="1:14" s="20" customFormat="1" ht="10.199999999999999">
      <c r="A47" s="254" t="s">
        <v>149</v>
      </c>
      <c r="B47" s="32">
        <f>'charges (1 &amp; 2)'!E30</f>
        <v>1.274E-2</v>
      </c>
      <c r="C47" s="32">
        <f>B47</f>
        <v>1.274E-2</v>
      </c>
      <c r="D47" s="32">
        <f t="shared" ref="D47:M47" si="14">C47</f>
        <v>1.274E-2</v>
      </c>
      <c r="E47" s="32">
        <f t="shared" si="14"/>
        <v>1.274E-2</v>
      </c>
      <c r="F47" s="32">
        <f t="shared" si="14"/>
        <v>1.274E-2</v>
      </c>
      <c r="G47" s="32">
        <f t="shared" si="14"/>
        <v>1.274E-2</v>
      </c>
      <c r="H47" s="32">
        <f t="shared" si="14"/>
        <v>1.274E-2</v>
      </c>
      <c r="I47" s="32">
        <f t="shared" si="14"/>
        <v>1.274E-2</v>
      </c>
      <c r="J47" s="32">
        <f t="shared" si="14"/>
        <v>1.274E-2</v>
      </c>
      <c r="K47" s="32">
        <f t="shared" si="14"/>
        <v>1.274E-2</v>
      </c>
      <c r="L47" s="32">
        <f t="shared" si="14"/>
        <v>1.274E-2</v>
      </c>
      <c r="M47" s="32">
        <f t="shared" si="14"/>
        <v>1.274E-2</v>
      </c>
    </row>
    <row r="48" spans="1:14" s="20" customFormat="1" ht="10.199999999999999">
      <c r="A48" s="254" t="s">
        <v>17</v>
      </c>
      <c r="B48" s="199">
        <f t="shared" ref="B48:M48" si="15">B46*B47</f>
        <v>7357.3986754966845</v>
      </c>
      <c r="C48" s="199">
        <f t="shared" si="15"/>
        <v>6000.9229139072813</v>
      </c>
      <c r="D48" s="199">
        <f t="shared" si="15"/>
        <v>5161.9520529801339</v>
      </c>
      <c r="E48" s="199">
        <f t="shared" si="15"/>
        <v>4862.5912582781475</v>
      </c>
      <c r="F48" s="199">
        <f t="shared" si="15"/>
        <v>5465.4535099337772</v>
      </c>
      <c r="G48" s="199">
        <f t="shared" si="15"/>
        <v>5947.4058278145631</v>
      </c>
      <c r="H48" s="199">
        <f t="shared" si="15"/>
        <v>5901.4561589403966</v>
      </c>
      <c r="I48" s="199">
        <f t="shared" si="15"/>
        <v>5948.8855629139089</v>
      </c>
      <c r="J48" s="199">
        <f t="shared" si="15"/>
        <v>5544.5674172185436</v>
      </c>
      <c r="K48" s="199">
        <f t="shared" si="15"/>
        <v>5129.242119205298</v>
      </c>
      <c r="L48" s="199">
        <f t="shared" si="15"/>
        <v>4409.8701986755013</v>
      </c>
      <c r="M48" s="199">
        <f t="shared" si="15"/>
        <v>6015.9539072847729</v>
      </c>
      <c r="N48" s="199">
        <f>SUM(B48:M48)</f>
        <v>67745.699602649009</v>
      </c>
    </row>
    <row r="49" spans="1:14" s="20" customFormat="1" ht="10.199999999999999">
      <c r="A49" s="257"/>
    </row>
    <row r="50" spans="1:14" s="20" customFormat="1" ht="10.199999999999999">
      <c r="A50" s="254" t="s">
        <v>38</v>
      </c>
    </row>
    <row r="51" spans="1:14" s="29" customFormat="1" ht="10.199999999999999">
      <c r="A51" s="256" t="str">
        <f>A41</f>
        <v xml:space="preserve">       SECI Load</v>
      </c>
      <c r="B51" s="28">
        <f>B41</f>
        <v>577503.82068262831</v>
      </c>
      <c r="C51" s="28">
        <f t="shared" ref="C51:M51" si="16">C41</f>
        <v>471030.05603667832</v>
      </c>
      <c r="D51" s="28">
        <f t="shared" si="16"/>
        <v>405176.77024961804</v>
      </c>
      <c r="E51" s="28">
        <f t="shared" si="16"/>
        <v>381679.06265919528</v>
      </c>
      <c r="F51" s="28">
        <f t="shared" si="16"/>
        <v>428999.49057564972</v>
      </c>
      <c r="G51" s="28">
        <f t="shared" si="16"/>
        <v>466829.34284258739</v>
      </c>
      <c r="H51" s="28">
        <f t="shared" si="16"/>
        <v>463222.61844116147</v>
      </c>
      <c r="I51" s="28">
        <f t="shared" si="16"/>
        <v>466945.49159449834</v>
      </c>
      <c r="J51" s="28">
        <f t="shared" si="16"/>
        <v>435209.37340804894</v>
      </c>
      <c r="K51" s="28">
        <f t="shared" si="16"/>
        <v>402609.27152317885</v>
      </c>
      <c r="L51" s="28">
        <f t="shared" si="16"/>
        <v>346143.65766683687</v>
      </c>
      <c r="M51" s="28">
        <f t="shared" si="16"/>
        <v>472209.8828323998</v>
      </c>
      <c r="N51" s="21">
        <f>SUM(B51:M51)</f>
        <v>5317558.8385124812</v>
      </c>
    </row>
    <row r="52" spans="1:14" s="20" customFormat="1" ht="10.199999999999999">
      <c r="A52" s="254" t="s">
        <v>150</v>
      </c>
      <c r="B52" s="32">
        <f>'charges (1 &amp; 2)'!E29</f>
        <v>0.02</v>
      </c>
      <c r="C52" s="32">
        <f>B52</f>
        <v>0.02</v>
      </c>
      <c r="D52" s="32">
        <f t="shared" ref="D52:M52" si="17">C52</f>
        <v>0.02</v>
      </c>
      <c r="E52" s="32">
        <f t="shared" si="17"/>
        <v>0.02</v>
      </c>
      <c r="F52" s="32">
        <f t="shared" si="17"/>
        <v>0.02</v>
      </c>
      <c r="G52" s="32">
        <f t="shared" si="17"/>
        <v>0.02</v>
      </c>
      <c r="H52" s="32">
        <f t="shared" si="17"/>
        <v>0.02</v>
      </c>
      <c r="I52" s="32">
        <f t="shared" si="17"/>
        <v>0.02</v>
      </c>
      <c r="J52" s="32">
        <f t="shared" si="17"/>
        <v>0.02</v>
      </c>
      <c r="K52" s="32">
        <f t="shared" si="17"/>
        <v>0.02</v>
      </c>
      <c r="L52" s="32">
        <f t="shared" si="17"/>
        <v>0.02</v>
      </c>
      <c r="M52" s="32">
        <f t="shared" si="17"/>
        <v>0.02</v>
      </c>
    </row>
    <row r="53" spans="1:14" s="20" customFormat="1" ht="10.199999999999999">
      <c r="A53" s="254" t="s">
        <v>17</v>
      </c>
      <c r="B53" s="199">
        <f t="shared" ref="B53:M53" si="18">B51*B52</f>
        <v>11550.076413652567</v>
      </c>
      <c r="C53" s="199">
        <f t="shared" si="18"/>
        <v>9420.6011207335669</v>
      </c>
      <c r="D53" s="199">
        <f t="shared" si="18"/>
        <v>8103.5354049923608</v>
      </c>
      <c r="E53" s="199">
        <f t="shared" si="18"/>
        <v>7633.5812531839056</v>
      </c>
      <c r="F53" s="199">
        <f t="shared" si="18"/>
        <v>8579.9898115129945</v>
      </c>
      <c r="G53" s="199">
        <f t="shared" si="18"/>
        <v>9336.5868568517471</v>
      </c>
      <c r="H53" s="199">
        <f t="shared" si="18"/>
        <v>9264.4523688232293</v>
      </c>
      <c r="I53" s="199">
        <f t="shared" si="18"/>
        <v>9338.9098318899669</v>
      </c>
      <c r="J53" s="199">
        <f t="shared" si="18"/>
        <v>8704.1874681609788</v>
      </c>
      <c r="K53" s="199">
        <f t="shared" si="18"/>
        <v>8052.1854304635772</v>
      </c>
      <c r="L53" s="199">
        <f t="shared" si="18"/>
        <v>6922.8731533367372</v>
      </c>
      <c r="M53" s="199">
        <f t="shared" si="18"/>
        <v>9444.1976566479971</v>
      </c>
      <c r="N53" s="199">
        <f>SUM(B53:M53)</f>
        <v>106351.17677024963</v>
      </c>
    </row>
    <row r="54" spans="1:14" s="20" customFormat="1" ht="10.199999999999999">
      <c r="A54" s="254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0"/>
    </row>
    <row r="55" spans="1:14" s="20" customFormat="1" ht="10.199999999999999">
      <c r="A55" s="254" t="s">
        <v>25</v>
      </c>
      <c r="B55" s="199">
        <f>B43+B53+B48</f>
        <v>937138.54997452826</v>
      </c>
      <c r="C55" s="199">
        <f t="shared" ref="C55:M55" si="19">C43+C53+C48</f>
        <v>764359.31313295942</v>
      </c>
      <c r="D55" s="199">
        <f t="shared" si="19"/>
        <v>657496.55215486523</v>
      </c>
      <c r="E55" s="199">
        <f t="shared" si="19"/>
        <v>619365.88213958254</v>
      </c>
      <c r="F55" s="199">
        <f t="shared" si="19"/>
        <v>696154.63333672984</v>
      </c>
      <c r="G55" s="199">
        <f t="shared" si="19"/>
        <v>757542.64780438028</v>
      </c>
      <c r="H55" s="199">
        <f t="shared" si="19"/>
        <v>751689.87184921047</v>
      </c>
      <c r="I55" s="199">
        <f t="shared" si="19"/>
        <v>757731.12703005632</v>
      </c>
      <c r="J55" s="199">
        <f t="shared" si="19"/>
        <v>706231.65860417741</v>
      </c>
      <c r="K55" s="199">
        <f t="shared" si="19"/>
        <v>653330.16927152325</v>
      </c>
      <c r="L55" s="199">
        <f t="shared" si="19"/>
        <v>561701.15904228284</v>
      </c>
      <c r="M55" s="199">
        <f t="shared" si="19"/>
        <v>766273.86526744848</v>
      </c>
      <c r="N55" s="199">
        <f>SUM(B55:M55)</f>
        <v>8629015.4296077434</v>
      </c>
    </row>
    <row r="56" spans="1:14" s="20" customFormat="1" ht="10.199999999999999">
      <c r="A56" s="257"/>
    </row>
    <row r="57" spans="1:14" s="20" customFormat="1" ht="10.199999999999999">
      <c r="A57" s="254"/>
      <c r="B57" s="24" t="s">
        <v>0</v>
      </c>
      <c r="C57" s="24" t="s">
        <v>1</v>
      </c>
      <c r="D57" s="24" t="s">
        <v>2</v>
      </c>
      <c r="E57" s="24" t="s">
        <v>3</v>
      </c>
      <c r="F57" s="24" t="s">
        <v>4</v>
      </c>
      <c r="G57" s="24" t="s">
        <v>5</v>
      </c>
      <c r="H57" s="24" t="s">
        <v>6</v>
      </c>
      <c r="I57" s="24" t="s">
        <v>7</v>
      </c>
      <c r="J57" s="24" t="s">
        <v>8</v>
      </c>
      <c r="K57" s="24" t="s">
        <v>9</v>
      </c>
      <c r="L57" s="24" t="s">
        <v>10</v>
      </c>
      <c r="M57" s="24" t="s">
        <v>11</v>
      </c>
      <c r="N57" s="24" t="s">
        <v>12</v>
      </c>
    </row>
    <row r="58" spans="1:14" s="20" customFormat="1" ht="10.199999999999999">
      <c r="A58" s="255">
        <f>+A33+1</f>
        <v>2016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s="20" customFormat="1" ht="10.199999999999999">
      <c r="A59" s="25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s="20" customFormat="1" ht="10.199999999999999">
      <c r="A60" s="254" t="s">
        <v>37</v>
      </c>
    </row>
    <row r="61" spans="1:14" s="20" customFormat="1" ht="10.199999999999999">
      <c r="A61" s="256" t="s">
        <v>48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1">
        <f>SUM(B61:M61)</f>
        <v>0</v>
      </c>
    </row>
    <row r="62" spans="1:14" s="20" customFormat="1" ht="10.199999999999999">
      <c r="A62" s="256" t="s">
        <v>49</v>
      </c>
      <c r="B62" s="35">
        <f>B63-B61</f>
        <v>521466</v>
      </c>
      <c r="C62" s="35">
        <f t="shared" ref="C62:M62" si="20">C63-C61</f>
        <v>427422</v>
      </c>
      <c r="D62" s="35">
        <f t="shared" si="20"/>
        <v>381260</v>
      </c>
      <c r="E62" s="35">
        <f t="shared" si="20"/>
        <v>360521</v>
      </c>
      <c r="F62" s="35">
        <f t="shared" si="20"/>
        <v>409183</v>
      </c>
      <c r="G62" s="35">
        <f t="shared" si="20"/>
        <v>442770</v>
      </c>
      <c r="H62" s="35">
        <f t="shared" si="20"/>
        <v>439071</v>
      </c>
      <c r="I62" s="35">
        <f t="shared" si="20"/>
        <v>438159</v>
      </c>
      <c r="J62" s="35">
        <f t="shared" si="20"/>
        <v>443170</v>
      </c>
      <c r="K62" s="35">
        <f t="shared" si="20"/>
        <v>384147</v>
      </c>
      <c r="L62" s="35">
        <f t="shared" si="20"/>
        <v>371047</v>
      </c>
      <c r="M62" s="35">
        <f t="shared" si="20"/>
        <v>401928</v>
      </c>
      <c r="N62" s="21">
        <f>SUM(B62:M62)</f>
        <v>5020144</v>
      </c>
    </row>
    <row r="63" spans="1:14" s="29" customFormat="1" ht="10.199999999999999">
      <c r="A63" s="256" t="s">
        <v>47</v>
      </c>
      <c r="B63" s="146">
        <f>SECI_Network_Forecast!B15*1000</f>
        <v>521466</v>
      </c>
      <c r="C63" s="146">
        <f>SECI_Network_Forecast!C15*1000</f>
        <v>427422</v>
      </c>
      <c r="D63" s="146">
        <f>SECI_Network_Forecast!D15*1000</f>
        <v>381260</v>
      </c>
      <c r="E63" s="146">
        <f>SECI_Network_Forecast!E15*1000</f>
        <v>360521</v>
      </c>
      <c r="F63" s="146">
        <f>SECI_Network_Forecast!F15*1000</f>
        <v>409183</v>
      </c>
      <c r="G63" s="146">
        <f>SECI_Network_Forecast!G15*1000</f>
        <v>442770</v>
      </c>
      <c r="H63" s="146">
        <f>SECI_Network_Forecast!H15*1000</f>
        <v>439071</v>
      </c>
      <c r="I63" s="146">
        <f>SECI_Network_Forecast!I15*1000</f>
        <v>438159</v>
      </c>
      <c r="J63" s="146">
        <f>SECI_Network_Forecast!J15*1000</f>
        <v>443170</v>
      </c>
      <c r="K63" s="146">
        <f>SECI_Network_Forecast!K15*1000</f>
        <v>384147</v>
      </c>
      <c r="L63" s="146">
        <f>SECI_Network_Forecast!L15*1000</f>
        <v>371047</v>
      </c>
      <c r="M63" s="146">
        <f>SECI_Network_Forecast!M15*1000</f>
        <v>401928</v>
      </c>
      <c r="N63" s="21">
        <f>SUM(B63:M63)</f>
        <v>5020144</v>
      </c>
    </row>
    <row r="64" spans="1:14" s="29" customFormat="1" ht="10.199999999999999">
      <c r="A64" s="256" t="s">
        <v>45</v>
      </c>
      <c r="B64" s="28">
        <f>B65-B61-B62</f>
        <v>9828.9566989302402</v>
      </c>
      <c r="C64" s="28">
        <f t="shared" ref="C64:M64" si="21">C65-C61-C62</f>
        <v>8056.349465104402</v>
      </c>
      <c r="D64" s="36">
        <f t="shared" si="21"/>
        <v>7186.2557310239063</v>
      </c>
      <c r="E64" s="36">
        <f t="shared" si="21"/>
        <v>6795.3525216504931</v>
      </c>
      <c r="F64" s="36">
        <f t="shared" si="21"/>
        <v>7712.568008150789</v>
      </c>
      <c r="G64" s="36">
        <f t="shared" si="21"/>
        <v>8345.639327559853</v>
      </c>
      <c r="H64" s="36">
        <f t="shared" si="21"/>
        <v>8275.9179826795589</v>
      </c>
      <c r="I64" s="36">
        <f t="shared" si="21"/>
        <v>8258.7279673968442</v>
      </c>
      <c r="J64" s="36">
        <f t="shared" si="21"/>
        <v>8353.178807947028</v>
      </c>
      <c r="K64" s="36">
        <f t="shared" si="21"/>
        <v>7240.6719307182939</v>
      </c>
      <c r="L64" s="36">
        <f t="shared" si="21"/>
        <v>6993.7539480386768</v>
      </c>
      <c r="M64" s="36">
        <f t="shared" si="21"/>
        <v>7575.8206826286041</v>
      </c>
      <c r="N64" s="21">
        <f>SUM(B64:M64)</f>
        <v>94623.193071828689</v>
      </c>
    </row>
    <row r="65" spans="1:14" s="29" customFormat="1" ht="10.199999999999999">
      <c r="A65" s="256" t="s">
        <v>50</v>
      </c>
      <c r="B65" s="28">
        <f>(B61/(1-0.0213)/(1-'Transmission Formula Rate (7)'!$B$27))+(B62/(1-'Transmission Formula Rate (7)'!$B$27))</f>
        <v>531294.95669893024</v>
      </c>
      <c r="C65" s="28">
        <f>(C61/(1-0.0213)/(1-'Transmission Formula Rate (7)'!$B$27))+(C62/(1-'Transmission Formula Rate (7)'!$B$27))</f>
        <v>435478.3494651044</v>
      </c>
      <c r="D65" s="28">
        <f>(D61/(1-0.0213)/(1-'Transmission Formula Rate (7)'!$B$27))+(D62/(1-'Transmission Formula Rate (7)'!$B$27))</f>
        <v>388446.25573102391</v>
      </c>
      <c r="E65" s="28">
        <f>(E61/(1-0.0213)/(1-'Transmission Formula Rate (7)'!$B$27))+(E62/(1-'Transmission Formula Rate (7)'!$B$27))</f>
        <v>367316.35252165049</v>
      </c>
      <c r="F65" s="28">
        <f>(F61/(1-0.0213)/(1-'Transmission Formula Rate (7)'!$B$27))+(F62/(1-'Transmission Formula Rate (7)'!$B$27))</f>
        <v>416895.56800815079</v>
      </c>
      <c r="G65" s="28">
        <f>(G61/(1-0.0213)/(1-'Transmission Formula Rate (7)'!$B$27))+(G62/(1-'Transmission Formula Rate (7)'!$B$27))</f>
        <v>451115.63932755985</v>
      </c>
      <c r="H65" s="28">
        <f>(H61/(1-0.0213)/(1-'Transmission Formula Rate (7)'!$B$27))+(H62/(1-'Transmission Formula Rate (7)'!$B$27))</f>
        <v>447346.91798267956</v>
      </c>
      <c r="I65" s="28">
        <f>(I61/(1-0.0213)/(1-'Transmission Formula Rate (7)'!$B$27))+(I62/(1-'Transmission Formula Rate (7)'!$B$27))</f>
        <v>446417.72796739684</v>
      </c>
      <c r="J65" s="28">
        <f>(J61/(1-0.0213)/(1-'Transmission Formula Rate (7)'!$B$27))+(J62/(1-'Transmission Formula Rate (7)'!$B$27))</f>
        <v>451523.17880794703</v>
      </c>
      <c r="K65" s="28">
        <f>(K61/(1-0.0213)/(1-'Transmission Formula Rate (7)'!$B$27))+(K62/(1-'Transmission Formula Rate (7)'!$B$27))</f>
        <v>391387.67193071829</v>
      </c>
      <c r="L65" s="28">
        <f>(L61/(1-0.0213)/(1-'Transmission Formula Rate (7)'!$B$27))+(L62/(1-'Transmission Formula Rate (7)'!$B$27))</f>
        <v>378040.75394803868</v>
      </c>
      <c r="M65" s="28">
        <f>(M61/(1-0.0213)/(1-'Transmission Formula Rate (7)'!$B$27))+(M62/(1-'Transmission Formula Rate (7)'!$B$27))</f>
        <v>409503.8206826286</v>
      </c>
      <c r="N65" s="21">
        <f>SUM(B65:M65)</f>
        <v>5114767.1930718292</v>
      </c>
    </row>
    <row r="66" spans="1:14" s="20" customFormat="1" ht="10.199999999999999">
      <c r="A66" s="254" t="s">
        <v>20</v>
      </c>
      <c r="B66" s="30">
        <f>'Transmission Formula Rate (7)'!B12</f>
        <v>1.59</v>
      </c>
      <c r="C66" s="30">
        <f>'Transmission Formula Rate (7)'!C12</f>
        <v>1.59</v>
      </c>
      <c r="D66" s="30">
        <f>'Transmission Formula Rate (7)'!D12</f>
        <v>1.59</v>
      </c>
      <c r="E66" s="30">
        <f>'Transmission Formula Rate (7)'!E12</f>
        <v>1.59</v>
      </c>
      <c r="F66" s="30">
        <f>'Transmission Formula Rate (7)'!F12</f>
        <v>1.59</v>
      </c>
      <c r="G66" s="30">
        <f>'Transmission Formula Rate (7)'!G12</f>
        <v>1.59</v>
      </c>
      <c r="H66" s="30">
        <f>'Transmission Formula Rate (7)'!H12</f>
        <v>1.59</v>
      </c>
      <c r="I66" s="30">
        <f>'Transmission Formula Rate (7)'!I12</f>
        <v>1.59</v>
      </c>
      <c r="J66" s="30">
        <f>'Transmission Formula Rate (7)'!J12</f>
        <v>1.59</v>
      </c>
      <c r="K66" s="30">
        <f>'Transmission Formula Rate (7)'!K12</f>
        <v>1.59</v>
      </c>
      <c r="L66" s="30">
        <f>'Transmission Formula Rate (7)'!L12</f>
        <v>1.59</v>
      </c>
      <c r="M66" s="30">
        <f>'Transmission Formula Rate (7)'!M12</f>
        <v>1.59</v>
      </c>
    </row>
    <row r="67" spans="1:14" s="20" customFormat="1" ht="10.199999999999999">
      <c r="A67" s="254" t="s">
        <v>17</v>
      </c>
      <c r="B67" s="199">
        <f>B65*B66</f>
        <v>844758.98115129909</v>
      </c>
      <c r="C67" s="199">
        <f t="shared" ref="C67:M67" si="22">C65*C66</f>
        <v>692410.57564951607</v>
      </c>
      <c r="D67" s="199">
        <f t="shared" si="22"/>
        <v>617629.54661232803</v>
      </c>
      <c r="E67" s="199">
        <f t="shared" si="22"/>
        <v>584033.00050942437</v>
      </c>
      <c r="F67" s="199">
        <f t="shared" si="22"/>
        <v>662863.95313295978</v>
      </c>
      <c r="G67" s="199">
        <f t="shared" si="22"/>
        <v>717273.86653082015</v>
      </c>
      <c r="H67" s="199">
        <f t="shared" si="22"/>
        <v>711281.59959246055</v>
      </c>
      <c r="I67" s="199">
        <f t="shared" si="22"/>
        <v>709804.18746816099</v>
      </c>
      <c r="J67" s="199">
        <f t="shared" si="22"/>
        <v>717921.85430463578</v>
      </c>
      <c r="K67" s="199">
        <f t="shared" si="22"/>
        <v>622306.39836984209</v>
      </c>
      <c r="L67" s="199">
        <f t="shared" si="22"/>
        <v>601084.79877738154</v>
      </c>
      <c r="M67" s="199">
        <f t="shared" si="22"/>
        <v>651111.07488537952</v>
      </c>
      <c r="N67" s="199">
        <f>SUM(B67:M67)</f>
        <v>8132479.8369842088</v>
      </c>
    </row>
    <row r="68" spans="1:14" s="20" customFormat="1" ht="10.199999999999999">
      <c r="A68" s="254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s="20" customFormat="1" ht="10.199999999999999">
      <c r="A69" s="254" t="s">
        <v>141</v>
      </c>
    </row>
    <row r="70" spans="1:14" s="20" customFormat="1" ht="10.199999999999999">
      <c r="A70" s="256" t="str">
        <f>A65</f>
        <v xml:space="preserve">       SECI Load</v>
      </c>
      <c r="B70" s="28">
        <f>B65</f>
        <v>531294.95669893024</v>
      </c>
      <c r="C70" s="28">
        <f t="shared" ref="C70:M70" si="23">C65</f>
        <v>435478.3494651044</v>
      </c>
      <c r="D70" s="28">
        <f t="shared" si="23"/>
        <v>388446.25573102391</v>
      </c>
      <c r="E70" s="28">
        <f t="shared" si="23"/>
        <v>367316.35252165049</v>
      </c>
      <c r="F70" s="28">
        <f t="shared" si="23"/>
        <v>416895.56800815079</v>
      </c>
      <c r="G70" s="28">
        <f t="shared" si="23"/>
        <v>451115.63932755985</v>
      </c>
      <c r="H70" s="28">
        <f t="shared" si="23"/>
        <v>447346.91798267956</v>
      </c>
      <c r="I70" s="28">
        <f t="shared" si="23"/>
        <v>446417.72796739684</v>
      </c>
      <c r="J70" s="28">
        <f t="shared" si="23"/>
        <v>451523.17880794703</v>
      </c>
      <c r="K70" s="28">
        <f t="shared" si="23"/>
        <v>391387.67193071829</v>
      </c>
      <c r="L70" s="28">
        <f t="shared" si="23"/>
        <v>378040.75394803868</v>
      </c>
      <c r="M70" s="28">
        <f t="shared" si="23"/>
        <v>409503.8206826286</v>
      </c>
      <c r="N70" s="21">
        <f>SUM(B70:M70)</f>
        <v>5114767.1930718292</v>
      </c>
    </row>
    <row r="71" spans="1:14" s="20" customFormat="1" ht="10.199999999999999">
      <c r="A71" s="254" t="s">
        <v>149</v>
      </c>
      <c r="B71" s="32">
        <f>'charges (1 &amp; 2)'!F30</f>
        <v>1.274E-2</v>
      </c>
      <c r="C71" s="32">
        <f>B71</f>
        <v>1.274E-2</v>
      </c>
      <c r="D71" s="32">
        <f t="shared" ref="D71:M71" si="24">C71</f>
        <v>1.274E-2</v>
      </c>
      <c r="E71" s="32">
        <f t="shared" si="24"/>
        <v>1.274E-2</v>
      </c>
      <c r="F71" s="32">
        <f t="shared" si="24"/>
        <v>1.274E-2</v>
      </c>
      <c r="G71" s="32">
        <f t="shared" si="24"/>
        <v>1.274E-2</v>
      </c>
      <c r="H71" s="32">
        <f t="shared" si="24"/>
        <v>1.274E-2</v>
      </c>
      <c r="I71" s="32">
        <f t="shared" si="24"/>
        <v>1.274E-2</v>
      </c>
      <c r="J71" s="32">
        <f t="shared" si="24"/>
        <v>1.274E-2</v>
      </c>
      <c r="K71" s="32">
        <f t="shared" si="24"/>
        <v>1.274E-2</v>
      </c>
      <c r="L71" s="32">
        <f t="shared" si="24"/>
        <v>1.274E-2</v>
      </c>
      <c r="M71" s="32">
        <f t="shared" si="24"/>
        <v>1.274E-2</v>
      </c>
    </row>
    <row r="72" spans="1:14" s="20" customFormat="1" ht="10.199999999999999">
      <c r="A72" s="254" t="s">
        <v>17</v>
      </c>
      <c r="B72" s="199">
        <f t="shared" ref="B72:M72" si="25">B70*B71</f>
        <v>6768.6977483443707</v>
      </c>
      <c r="C72" s="199">
        <f t="shared" si="25"/>
        <v>5547.9941721854302</v>
      </c>
      <c r="D72" s="199">
        <f t="shared" si="25"/>
        <v>4948.8052980132443</v>
      </c>
      <c r="E72" s="199">
        <f t="shared" si="25"/>
        <v>4679.6103311258275</v>
      </c>
      <c r="F72" s="199">
        <f t="shared" si="25"/>
        <v>5311.2495364238412</v>
      </c>
      <c r="G72" s="199">
        <f t="shared" si="25"/>
        <v>5747.2132450331119</v>
      </c>
      <c r="H72" s="199">
        <f t="shared" si="25"/>
        <v>5699.199735099337</v>
      </c>
      <c r="I72" s="199">
        <f t="shared" si="25"/>
        <v>5687.3618543046359</v>
      </c>
      <c r="J72" s="199">
        <f t="shared" si="25"/>
        <v>5752.4052980132446</v>
      </c>
      <c r="K72" s="199">
        <f t="shared" si="25"/>
        <v>4986.2789403973511</v>
      </c>
      <c r="L72" s="199">
        <f t="shared" si="25"/>
        <v>4816.2392052980122</v>
      </c>
      <c r="M72" s="199">
        <f t="shared" si="25"/>
        <v>5217.0786754966884</v>
      </c>
      <c r="N72" s="199">
        <f>SUM(B72:M72)</f>
        <v>65162.134039735094</v>
      </c>
    </row>
    <row r="73" spans="1:14" s="20" customFormat="1" ht="10.199999999999999">
      <c r="A73" s="257"/>
    </row>
    <row r="74" spans="1:14" s="20" customFormat="1" ht="10.199999999999999">
      <c r="A74" s="254" t="s">
        <v>38</v>
      </c>
    </row>
    <row r="75" spans="1:14" s="29" customFormat="1" ht="10.199999999999999">
      <c r="A75" s="256" t="str">
        <f>A65</f>
        <v xml:space="preserve">       SECI Load</v>
      </c>
      <c r="B75" s="28">
        <f>B65</f>
        <v>531294.95669893024</v>
      </c>
      <c r="C75" s="28">
        <f t="shared" ref="C75:M75" si="26">C65</f>
        <v>435478.3494651044</v>
      </c>
      <c r="D75" s="28">
        <f t="shared" si="26"/>
        <v>388446.25573102391</v>
      </c>
      <c r="E75" s="28">
        <f t="shared" si="26"/>
        <v>367316.35252165049</v>
      </c>
      <c r="F75" s="28">
        <f t="shared" si="26"/>
        <v>416895.56800815079</v>
      </c>
      <c r="G75" s="28">
        <f t="shared" si="26"/>
        <v>451115.63932755985</v>
      </c>
      <c r="H75" s="28">
        <f t="shared" si="26"/>
        <v>447346.91798267956</v>
      </c>
      <c r="I75" s="28">
        <f t="shared" si="26"/>
        <v>446417.72796739684</v>
      </c>
      <c r="J75" s="28">
        <f t="shared" si="26"/>
        <v>451523.17880794703</v>
      </c>
      <c r="K75" s="28">
        <f t="shared" si="26"/>
        <v>391387.67193071829</v>
      </c>
      <c r="L75" s="28">
        <f t="shared" si="26"/>
        <v>378040.75394803868</v>
      </c>
      <c r="M75" s="28">
        <f t="shared" si="26"/>
        <v>409503.8206826286</v>
      </c>
      <c r="N75" s="21">
        <f>SUM(B75:M75)</f>
        <v>5114767.1930718292</v>
      </c>
    </row>
    <row r="76" spans="1:14" s="20" customFormat="1" ht="10.199999999999999">
      <c r="A76" s="254" t="s">
        <v>150</v>
      </c>
      <c r="B76" s="32">
        <f>'charges (1 &amp; 2)'!F29</f>
        <v>0.02</v>
      </c>
      <c r="C76" s="32">
        <f>B76</f>
        <v>0.02</v>
      </c>
      <c r="D76" s="32">
        <f t="shared" ref="D76:M76" si="27">C76</f>
        <v>0.02</v>
      </c>
      <c r="E76" s="32">
        <f t="shared" si="27"/>
        <v>0.02</v>
      </c>
      <c r="F76" s="32">
        <f t="shared" si="27"/>
        <v>0.02</v>
      </c>
      <c r="G76" s="32">
        <f t="shared" si="27"/>
        <v>0.02</v>
      </c>
      <c r="H76" s="32">
        <f t="shared" si="27"/>
        <v>0.02</v>
      </c>
      <c r="I76" s="32">
        <f t="shared" si="27"/>
        <v>0.02</v>
      </c>
      <c r="J76" s="32">
        <f t="shared" si="27"/>
        <v>0.02</v>
      </c>
      <c r="K76" s="32">
        <f t="shared" si="27"/>
        <v>0.02</v>
      </c>
      <c r="L76" s="32">
        <f t="shared" si="27"/>
        <v>0.02</v>
      </c>
      <c r="M76" s="32">
        <f t="shared" si="27"/>
        <v>0.02</v>
      </c>
    </row>
    <row r="77" spans="1:14" s="20" customFormat="1" ht="10.199999999999999">
      <c r="A77" s="254" t="s">
        <v>17</v>
      </c>
      <c r="B77" s="199">
        <f t="shared" ref="B77:M77" si="28">B75*B76</f>
        <v>10625.899133978604</v>
      </c>
      <c r="C77" s="199">
        <f t="shared" si="28"/>
        <v>8709.5669893020877</v>
      </c>
      <c r="D77" s="199">
        <f t="shared" si="28"/>
        <v>7768.9251146204779</v>
      </c>
      <c r="E77" s="199">
        <f t="shared" si="28"/>
        <v>7346.3270504330103</v>
      </c>
      <c r="F77" s="199">
        <f t="shared" si="28"/>
        <v>8337.9113601630161</v>
      </c>
      <c r="G77" s="199">
        <f t="shared" si="28"/>
        <v>9022.3127865511979</v>
      </c>
      <c r="H77" s="199">
        <f t="shared" si="28"/>
        <v>8946.9383596535918</v>
      </c>
      <c r="I77" s="199">
        <f t="shared" si="28"/>
        <v>8928.3545593479375</v>
      </c>
      <c r="J77" s="199">
        <f t="shared" si="28"/>
        <v>9030.4635761589416</v>
      </c>
      <c r="K77" s="199">
        <f t="shared" si="28"/>
        <v>7827.7534386143661</v>
      </c>
      <c r="L77" s="199">
        <f t="shared" si="28"/>
        <v>7560.8150789607735</v>
      </c>
      <c r="M77" s="199">
        <f t="shared" si="28"/>
        <v>8190.0764136525722</v>
      </c>
      <c r="N77" s="199">
        <f>SUM(B77:M77)</f>
        <v>102295.34386143657</v>
      </c>
    </row>
    <row r="78" spans="1:14" s="20" customFormat="1" ht="10.199999999999999">
      <c r="A78" s="254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</row>
    <row r="79" spans="1:14" s="20" customFormat="1" ht="10.199999999999999">
      <c r="A79" s="254" t="s">
        <v>25</v>
      </c>
      <c r="B79" s="199">
        <f>B67+B77+B72</f>
        <v>862153.57803362212</v>
      </c>
      <c r="C79" s="199">
        <f t="shared" ref="C79:M79" si="29">C67+C77+C72</f>
        <v>706668.13681100355</v>
      </c>
      <c r="D79" s="199">
        <f t="shared" si="29"/>
        <v>630347.27702496178</v>
      </c>
      <c r="E79" s="199">
        <f t="shared" si="29"/>
        <v>596058.93789098319</v>
      </c>
      <c r="F79" s="199">
        <f t="shared" si="29"/>
        <v>676513.11402954662</v>
      </c>
      <c r="G79" s="199">
        <f t="shared" si="29"/>
        <v>732043.39256240451</v>
      </c>
      <c r="H79" s="199">
        <f t="shared" si="29"/>
        <v>725927.73768721346</v>
      </c>
      <c r="I79" s="199">
        <f t="shared" si="29"/>
        <v>724419.90388181363</v>
      </c>
      <c r="J79" s="199">
        <f t="shared" si="29"/>
        <v>732704.723178808</v>
      </c>
      <c r="K79" s="199">
        <f t="shared" si="29"/>
        <v>635120.43074885372</v>
      </c>
      <c r="L79" s="199">
        <f t="shared" si="29"/>
        <v>613461.85306164029</v>
      </c>
      <c r="M79" s="199">
        <f t="shared" si="29"/>
        <v>664518.22997452889</v>
      </c>
      <c r="N79" s="199">
        <f>SUM(B79:M79)</f>
        <v>8299937.3148853797</v>
      </c>
    </row>
    <row r="80" spans="1:14">
      <c r="B80" s="24" t="s">
        <v>0</v>
      </c>
      <c r="C80" s="24" t="s">
        <v>1</v>
      </c>
      <c r="D80" s="24" t="s">
        <v>2</v>
      </c>
      <c r="E80" s="24" t="s">
        <v>3</v>
      </c>
      <c r="F80" s="24" t="s">
        <v>4</v>
      </c>
      <c r="G80" s="24" t="s">
        <v>5</v>
      </c>
      <c r="H80" s="24" t="s">
        <v>6</v>
      </c>
      <c r="I80" s="24" t="s">
        <v>7</v>
      </c>
      <c r="J80" s="24" t="s">
        <v>8</v>
      </c>
      <c r="K80" s="24" t="s">
        <v>9</v>
      </c>
      <c r="L80" s="24" t="s">
        <v>10</v>
      </c>
      <c r="M80" s="24" t="s">
        <v>11</v>
      </c>
      <c r="N80" s="24" t="s">
        <v>12</v>
      </c>
    </row>
    <row r="81" spans="1:14">
      <c r="A81" s="255">
        <f>+A58+1</f>
        <v>2017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1:14" ht="13.2">
      <c r="A82" s="253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25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</row>
    <row r="84" spans="1:14">
      <c r="A84" s="254" t="s">
        <v>37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256" t="s">
        <v>48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1">
        <f>SUM(B85:M85)</f>
        <v>0</v>
      </c>
    </row>
    <row r="86" spans="1:14">
      <c r="A86" s="256" t="s">
        <v>49</v>
      </c>
      <c r="B86" s="35">
        <f t="shared" ref="B86:M86" si="30">B87-B85</f>
        <v>531216</v>
      </c>
      <c r="C86" s="35">
        <f t="shared" si="30"/>
        <v>421803</v>
      </c>
      <c r="D86" s="35">
        <f t="shared" si="30"/>
        <v>388042</v>
      </c>
      <c r="E86" s="35">
        <f t="shared" si="30"/>
        <v>367173</v>
      </c>
      <c r="F86" s="35">
        <f t="shared" si="30"/>
        <v>415663</v>
      </c>
      <c r="G86" s="35">
        <f t="shared" si="30"/>
        <v>449990</v>
      </c>
      <c r="H86" s="35">
        <f t="shared" si="30"/>
        <v>446398</v>
      </c>
      <c r="I86" s="35">
        <f t="shared" si="30"/>
        <v>445351</v>
      </c>
      <c r="J86" s="35">
        <f t="shared" si="30"/>
        <v>450611</v>
      </c>
      <c r="K86" s="35">
        <f t="shared" si="30"/>
        <v>390875</v>
      </c>
      <c r="L86" s="35">
        <f t="shared" si="30"/>
        <v>377082</v>
      </c>
      <c r="M86" s="35">
        <f t="shared" si="30"/>
        <v>408350</v>
      </c>
      <c r="N86" s="21">
        <f>SUM(B86:M86)</f>
        <v>5092554</v>
      </c>
    </row>
    <row r="87" spans="1:14">
      <c r="A87" s="256" t="s">
        <v>47</v>
      </c>
      <c r="B87" s="146">
        <f>SECI_Network_Forecast!B16*1000</f>
        <v>531216</v>
      </c>
      <c r="C87" s="146">
        <f>SECI_Network_Forecast!C16*1000</f>
        <v>421803</v>
      </c>
      <c r="D87" s="146">
        <f>SECI_Network_Forecast!D16*1000</f>
        <v>388042</v>
      </c>
      <c r="E87" s="146">
        <f>SECI_Network_Forecast!E16*1000</f>
        <v>367173</v>
      </c>
      <c r="F87" s="146">
        <f>SECI_Network_Forecast!F16*1000</f>
        <v>415663</v>
      </c>
      <c r="G87" s="146">
        <f>SECI_Network_Forecast!G16*1000</f>
        <v>449990</v>
      </c>
      <c r="H87" s="146">
        <f>SECI_Network_Forecast!H16*1000</f>
        <v>446398</v>
      </c>
      <c r="I87" s="146">
        <f>SECI_Network_Forecast!I16*1000</f>
        <v>445351</v>
      </c>
      <c r="J87" s="146">
        <f>SECI_Network_Forecast!J16*1000</f>
        <v>450611</v>
      </c>
      <c r="K87" s="146">
        <f>SECI_Network_Forecast!K16*1000</f>
        <v>390875</v>
      </c>
      <c r="L87" s="146">
        <f>SECI_Network_Forecast!L16*1000</f>
        <v>377082</v>
      </c>
      <c r="M87" s="146">
        <f>SECI_Network_Forecast!M16*1000</f>
        <v>408350</v>
      </c>
      <c r="N87" s="21">
        <f>SUM(B87:M87)</f>
        <v>5092554</v>
      </c>
    </row>
    <row r="88" spans="1:14">
      <c r="A88" s="256" t="s">
        <v>45</v>
      </c>
      <c r="B88" s="28">
        <f t="shared" ref="B88:M88" si="31">B89-B85-B86</f>
        <v>10012.731533367303</v>
      </c>
      <c r="C88" s="28">
        <f t="shared" si="31"/>
        <v>7950.4386143657612</v>
      </c>
      <c r="D88" s="36">
        <f t="shared" si="31"/>
        <v>7314.0876209882554</v>
      </c>
      <c r="E88" s="36">
        <f t="shared" si="31"/>
        <v>6920.7340804890264</v>
      </c>
      <c r="F88" s="36">
        <f t="shared" si="31"/>
        <v>7834.7075904228259</v>
      </c>
      <c r="G88" s="36">
        <f t="shared" si="31"/>
        <v>8481.7269485481083</v>
      </c>
      <c r="H88" s="36">
        <f t="shared" si="31"/>
        <v>8414.0224146714318</v>
      </c>
      <c r="I88" s="36">
        <f t="shared" si="31"/>
        <v>8394.2878247579793</v>
      </c>
      <c r="J88" s="36">
        <f t="shared" si="31"/>
        <v>8493.431991849211</v>
      </c>
      <c r="K88" s="36">
        <f t="shared" si="31"/>
        <v>7367.4859908303479</v>
      </c>
      <c r="L88" s="36">
        <f t="shared" si="31"/>
        <v>7107.5058583799982</v>
      </c>
      <c r="M88" s="36">
        <f t="shared" si="31"/>
        <v>7696.8670402445132</v>
      </c>
      <c r="N88" s="21">
        <f>SUM(B88:M88)</f>
        <v>95988.027508914762</v>
      </c>
    </row>
    <row r="89" spans="1:14">
      <c r="A89" s="256" t="s">
        <v>50</v>
      </c>
      <c r="B89" s="28">
        <f>(B85/(1-0.0213)/(1-'Transmission Formula Rate (7)'!$B$27))+(B86/(1-'Transmission Formula Rate (7)'!$B$27))</f>
        <v>541228.7315333673</v>
      </c>
      <c r="C89" s="28">
        <f>(C85/(1-0.0213)/(1-'Transmission Formula Rate (7)'!$B$27))+(C86/(1-'Transmission Formula Rate (7)'!$B$27))</f>
        <v>429753.43861436576</v>
      </c>
      <c r="D89" s="28">
        <f>(D85/(1-0.0213)/(1-'Transmission Formula Rate (7)'!$B$27))+(D86/(1-'Transmission Formula Rate (7)'!$B$27))</f>
        <v>395356.08762098826</v>
      </c>
      <c r="E89" s="28">
        <f>(E85/(1-0.0213)/(1-'Transmission Formula Rate (7)'!$B$27))+(E86/(1-'Transmission Formula Rate (7)'!$B$27))</f>
        <v>374093.73408048903</v>
      </c>
      <c r="F89" s="28">
        <f>(F85/(1-0.0213)/(1-'Transmission Formula Rate (7)'!$B$27))+(F86/(1-'Transmission Formula Rate (7)'!$B$27))</f>
        <v>423497.70759042283</v>
      </c>
      <c r="G89" s="28">
        <f>(G85/(1-0.0213)/(1-'Transmission Formula Rate (7)'!$B$27))+(G86/(1-'Transmission Formula Rate (7)'!$B$27))</f>
        <v>458471.72694854811</v>
      </c>
      <c r="H89" s="28">
        <f>(H85/(1-0.0213)/(1-'Transmission Formula Rate (7)'!$B$27))+(H86/(1-'Transmission Formula Rate (7)'!$B$27))</f>
        <v>454812.02241467143</v>
      </c>
      <c r="I89" s="28">
        <f>(I85/(1-0.0213)/(1-'Transmission Formula Rate (7)'!$B$27))+(I86/(1-'Transmission Formula Rate (7)'!$B$27))</f>
        <v>453745.28782475798</v>
      </c>
      <c r="J89" s="28">
        <f>(J85/(1-0.0213)/(1-'Transmission Formula Rate (7)'!$B$27))+(J86/(1-'Transmission Formula Rate (7)'!$B$27))</f>
        <v>459104.43199184921</v>
      </c>
      <c r="K89" s="28">
        <f>(K85/(1-0.0213)/(1-'Transmission Formula Rate (7)'!$B$27))+(K86/(1-'Transmission Formula Rate (7)'!$B$27))</f>
        <v>398242.48599083035</v>
      </c>
      <c r="L89" s="28">
        <f>(L85/(1-0.0213)/(1-'Transmission Formula Rate (7)'!$B$27))+(L86/(1-'Transmission Formula Rate (7)'!$B$27))</f>
        <v>384189.50585838</v>
      </c>
      <c r="M89" s="28">
        <f>(M85/(1-0.0213)/(1-'Transmission Formula Rate (7)'!$B$27))+(M86/(1-'Transmission Formula Rate (7)'!$B$27))</f>
        <v>416046.86704024451</v>
      </c>
      <c r="N89" s="21">
        <f>SUM(B89:M89)</f>
        <v>5188542.0275089154</v>
      </c>
    </row>
    <row r="90" spans="1:14">
      <c r="A90" s="254" t="s">
        <v>20</v>
      </c>
      <c r="B90" s="30">
        <f>'Transmission Formula Rate (7)'!B14</f>
        <v>1.59</v>
      </c>
      <c r="C90" s="30">
        <f>'Transmission Formula Rate (7)'!C14</f>
        <v>1.59</v>
      </c>
      <c r="D90" s="30">
        <f>'Transmission Formula Rate (7)'!D14</f>
        <v>1.59</v>
      </c>
      <c r="E90" s="30">
        <f>'Transmission Formula Rate (7)'!E14</f>
        <v>1.59</v>
      </c>
      <c r="F90" s="30">
        <f>'Transmission Formula Rate (7)'!F14</f>
        <v>1.59</v>
      </c>
      <c r="G90" s="30">
        <f>'Transmission Formula Rate (7)'!G14</f>
        <v>1.59</v>
      </c>
      <c r="H90" s="30">
        <f>'Transmission Formula Rate (7)'!H14</f>
        <v>1.59</v>
      </c>
      <c r="I90" s="30">
        <f>'Transmission Formula Rate (7)'!I14</f>
        <v>1.59</v>
      </c>
      <c r="J90" s="30">
        <f>'Transmission Formula Rate (7)'!J14</f>
        <v>1.59</v>
      </c>
      <c r="K90" s="30">
        <f>'Transmission Formula Rate (7)'!K14</f>
        <v>1.59</v>
      </c>
      <c r="L90" s="30">
        <f>'Transmission Formula Rate (7)'!L14</f>
        <v>1.59</v>
      </c>
      <c r="M90" s="30">
        <f>'Transmission Formula Rate (7)'!M14</f>
        <v>1.59</v>
      </c>
      <c r="N90" s="20"/>
    </row>
    <row r="91" spans="1:14">
      <c r="A91" s="254" t="s">
        <v>17</v>
      </c>
      <c r="B91" s="199">
        <f>B89*B90</f>
        <v>860553.6831380541</v>
      </c>
      <c r="C91" s="199">
        <f t="shared" ref="C91:M91" si="32">C89*C90</f>
        <v>683307.96739684162</v>
      </c>
      <c r="D91" s="199">
        <f t="shared" si="32"/>
        <v>628616.17931737134</v>
      </c>
      <c r="E91" s="199">
        <f t="shared" si="32"/>
        <v>594809.03718797758</v>
      </c>
      <c r="F91" s="199">
        <f t="shared" si="32"/>
        <v>673361.35506877233</v>
      </c>
      <c r="G91" s="199">
        <f t="shared" si="32"/>
        <v>728970.04584819148</v>
      </c>
      <c r="H91" s="199">
        <f t="shared" si="32"/>
        <v>723151.11563932756</v>
      </c>
      <c r="I91" s="199">
        <f t="shared" si="32"/>
        <v>721455.00764136517</v>
      </c>
      <c r="J91" s="199">
        <f t="shared" si="32"/>
        <v>729976.04686704034</v>
      </c>
      <c r="K91" s="199">
        <f t="shared" si="32"/>
        <v>633205.55272542033</v>
      </c>
      <c r="L91" s="199">
        <f t="shared" si="32"/>
        <v>610861.31431482418</v>
      </c>
      <c r="M91" s="199">
        <f t="shared" si="32"/>
        <v>661514.51859398885</v>
      </c>
      <c r="N91" s="199">
        <f>SUM(B91:M91)</f>
        <v>8249781.8237391748</v>
      </c>
    </row>
    <row r="92" spans="1:14">
      <c r="A92" s="254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</row>
    <row r="93" spans="1:14">
      <c r="A93" s="254" t="s">
        <v>141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256" t="str">
        <f>A89</f>
        <v xml:space="preserve">       SECI Load</v>
      </c>
      <c r="B94" s="28">
        <f>B89</f>
        <v>541228.7315333673</v>
      </c>
      <c r="C94" s="28">
        <f t="shared" ref="C94:M94" si="33">C89</f>
        <v>429753.43861436576</v>
      </c>
      <c r="D94" s="28">
        <f t="shared" si="33"/>
        <v>395356.08762098826</v>
      </c>
      <c r="E94" s="28">
        <f t="shared" si="33"/>
        <v>374093.73408048903</v>
      </c>
      <c r="F94" s="28">
        <f t="shared" si="33"/>
        <v>423497.70759042283</v>
      </c>
      <c r="G94" s="28">
        <f t="shared" si="33"/>
        <v>458471.72694854811</v>
      </c>
      <c r="H94" s="28">
        <f t="shared" si="33"/>
        <v>454812.02241467143</v>
      </c>
      <c r="I94" s="28">
        <f t="shared" si="33"/>
        <v>453745.28782475798</v>
      </c>
      <c r="J94" s="28">
        <f t="shared" si="33"/>
        <v>459104.43199184921</v>
      </c>
      <c r="K94" s="28">
        <f t="shared" si="33"/>
        <v>398242.48599083035</v>
      </c>
      <c r="L94" s="28">
        <f t="shared" si="33"/>
        <v>384189.50585838</v>
      </c>
      <c r="M94" s="28">
        <f t="shared" si="33"/>
        <v>416046.86704024451</v>
      </c>
      <c r="N94" s="21">
        <f>SUM(B94:M94)</f>
        <v>5188542.0275089154</v>
      </c>
    </row>
    <row r="95" spans="1:14">
      <c r="A95" s="254" t="s">
        <v>149</v>
      </c>
      <c r="B95" s="32">
        <f>'charges (1 &amp; 2)'!G30</f>
        <v>1.274E-2</v>
      </c>
      <c r="C95" s="32">
        <f>B95</f>
        <v>1.274E-2</v>
      </c>
      <c r="D95" s="32">
        <f t="shared" ref="D95:M95" si="34">C95</f>
        <v>1.274E-2</v>
      </c>
      <c r="E95" s="32">
        <f t="shared" si="34"/>
        <v>1.274E-2</v>
      </c>
      <c r="F95" s="32">
        <f t="shared" si="34"/>
        <v>1.274E-2</v>
      </c>
      <c r="G95" s="32">
        <f t="shared" si="34"/>
        <v>1.274E-2</v>
      </c>
      <c r="H95" s="32">
        <f t="shared" si="34"/>
        <v>1.274E-2</v>
      </c>
      <c r="I95" s="32">
        <f t="shared" si="34"/>
        <v>1.274E-2</v>
      </c>
      <c r="J95" s="32">
        <f t="shared" si="34"/>
        <v>1.274E-2</v>
      </c>
      <c r="K95" s="32">
        <f t="shared" si="34"/>
        <v>1.274E-2</v>
      </c>
      <c r="L95" s="32">
        <f t="shared" si="34"/>
        <v>1.274E-2</v>
      </c>
      <c r="M95" s="32">
        <f t="shared" si="34"/>
        <v>1.274E-2</v>
      </c>
      <c r="N95" s="20"/>
    </row>
    <row r="96" spans="1:14">
      <c r="A96" s="254" t="s">
        <v>17</v>
      </c>
      <c r="B96" s="199">
        <f t="shared" ref="B96:M96" si="35">B94*B95</f>
        <v>6895.2540397350995</v>
      </c>
      <c r="C96" s="199">
        <f t="shared" si="35"/>
        <v>5475.0588079470199</v>
      </c>
      <c r="D96" s="199">
        <f t="shared" si="35"/>
        <v>5036.8365562913905</v>
      </c>
      <c r="E96" s="199">
        <f t="shared" si="35"/>
        <v>4765.9541721854303</v>
      </c>
      <c r="F96" s="199">
        <f t="shared" si="35"/>
        <v>5395.3607947019864</v>
      </c>
      <c r="G96" s="199">
        <f t="shared" si="35"/>
        <v>5840.9298013245025</v>
      </c>
      <c r="H96" s="199">
        <f t="shared" si="35"/>
        <v>5794.3051655629142</v>
      </c>
      <c r="I96" s="199">
        <f t="shared" si="35"/>
        <v>5780.7149668874163</v>
      </c>
      <c r="J96" s="199">
        <f t="shared" si="35"/>
        <v>5848.9904635761586</v>
      </c>
      <c r="K96" s="199">
        <f t="shared" si="35"/>
        <v>5073.6092715231789</v>
      </c>
      <c r="L96" s="199">
        <f t="shared" si="35"/>
        <v>4894.5743046357611</v>
      </c>
      <c r="M96" s="199">
        <f t="shared" si="35"/>
        <v>5300.4370860927147</v>
      </c>
      <c r="N96" s="199">
        <f>SUM(B96:M96)</f>
        <v>66102.02543046356</v>
      </c>
    </row>
    <row r="97" spans="1:14">
      <c r="A97" s="257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254" t="s">
        <v>38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>
      <c r="A99" s="256" t="str">
        <f>A89</f>
        <v xml:space="preserve">       SECI Load</v>
      </c>
      <c r="B99" s="28">
        <f>B89</f>
        <v>541228.7315333673</v>
      </c>
      <c r="C99" s="28">
        <f t="shared" ref="C99:M99" si="36">C89</f>
        <v>429753.43861436576</v>
      </c>
      <c r="D99" s="28">
        <f t="shared" si="36"/>
        <v>395356.08762098826</v>
      </c>
      <c r="E99" s="28">
        <f t="shared" si="36"/>
        <v>374093.73408048903</v>
      </c>
      <c r="F99" s="28">
        <f t="shared" si="36"/>
        <v>423497.70759042283</v>
      </c>
      <c r="G99" s="28">
        <f t="shared" si="36"/>
        <v>458471.72694854811</v>
      </c>
      <c r="H99" s="28">
        <f t="shared" si="36"/>
        <v>454812.02241467143</v>
      </c>
      <c r="I99" s="28">
        <f t="shared" si="36"/>
        <v>453745.28782475798</v>
      </c>
      <c r="J99" s="28">
        <f t="shared" si="36"/>
        <v>459104.43199184921</v>
      </c>
      <c r="K99" s="28">
        <f t="shared" si="36"/>
        <v>398242.48599083035</v>
      </c>
      <c r="L99" s="28">
        <f t="shared" si="36"/>
        <v>384189.50585838</v>
      </c>
      <c r="M99" s="28">
        <f t="shared" si="36"/>
        <v>416046.86704024451</v>
      </c>
      <c r="N99" s="21">
        <f>SUM(B99:M99)</f>
        <v>5188542.0275089154</v>
      </c>
    </row>
    <row r="100" spans="1:14">
      <c r="A100" s="254" t="s">
        <v>150</v>
      </c>
      <c r="B100" s="32">
        <f>'charges (1 &amp; 2)'!G29</f>
        <v>0.02</v>
      </c>
      <c r="C100" s="32">
        <f>B100</f>
        <v>0.02</v>
      </c>
      <c r="D100" s="32">
        <f t="shared" ref="D100:M100" si="37">C100</f>
        <v>0.02</v>
      </c>
      <c r="E100" s="32">
        <f t="shared" si="37"/>
        <v>0.02</v>
      </c>
      <c r="F100" s="32">
        <f t="shared" si="37"/>
        <v>0.02</v>
      </c>
      <c r="G100" s="32">
        <f t="shared" si="37"/>
        <v>0.02</v>
      </c>
      <c r="H100" s="32">
        <f t="shared" si="37"/>
        <v>0.02</v>
      </c>
      <c r="I100" s="32">
        <f t="shared" si="37"/>
        <v>0.02</v>
      </c>
      <c r="J100" s="32">
        <f t="shared" si="37"/>
        <v>0.02</v>
      </c>
      <c r="K100" s="32">
        <f t="shared" si="37"/>
        <v>0.02</v>
      </c>
      <c r="L100" s="32">
        <f t="shared" si="37"/>
        <v>0.02</v>
      </c>
      <c r="M100" s="32">
        <f t="shared" si="37"/>
        <v>0.02</v>
      </c>
      <c r="N100" s="20"/>
    </row>
    <row r="101" spans="1:14">
      <c r="A101" s="254" t="s">
        <v>17</v>
      </c>
      <c r="B101" s="199">
        <f t="shared" ref="B101:M101" si="38">B99*B100</f>
        <v>10824.574630667346</v>
      </c>
      <c r="C101" s="199">
        <f t="shared" si="38"/>
        <v>8595.0687722873154</v>
      </c>
      <c r="D101" s="199">
        <f t="shared" si="38"/>
        <v>7907.1217524197655</v>
      </c>
      <c r="E101" s="199">
        <f t="shared" si="38"/>
        <v>7481.874681609781</v>
      </c>
      <c r="F101" s="199">
        <f t="shared" si="38"/>
        <v>8469.954151808457</v>
      </c>
      <c r="G101" s="199">
        <f t="shared" si="38"/>
        <v>9169.4345389709615</v>
      </c>
      <c r="H101" s="199">
        <f t="shared" si="38"/>
        <v>9096.2404482934289</v>
      </c>
      <c r="I101" s="199">
        <f t="shared" si="38"/>
        <v>9074.9057564951599</v>
      </c>
      <c r="J101" s="199">
        <f t="shared" si="38"/>
        <v>9182.0886398369839</v>
      </c>
      <c r="K101" s="199">
        <f t="shared" si="38"/>
        <v>7964.8497198166069</v>
      </c>
      <c r="L101" s="199">
        <f t="shared" si="38"/>
        <v>7683.7901171676003</v>
      </c>
      <c r="M101" s="199">
        <f t="shared" si="38"/>
        <v>8320.9373408048905</v>
      </c>
      <c r="N101" s="199">
        <f>SUM(B101:M101)</f>
        <v>103770.84055017828</v>
      </c>
    </row>
    <row r="102" spans="1:14">
      <c r="A102" s="254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</row>
    <row r="103" spans="1:14">
      <c r="A103" s="254" t="s">
        <v>25</v>
      </c>
      <c r="B103" s="199">
        <f>B91+B101+B96</f>
        <v>878273.5118084565</v>
      </c>
      <c r="C103" s="199">
        <f t="shared" ref="C103:M103" si="39">C91+C101+C96</f>
        <v>697378.09497707593</v>
      </c>
      <c r="D103" s="199">
        <f t="shared" si="39"/>
        <v>641560.13762608252</v>
      </c>
      <c r="E103" s="199">
        <f t="shared" si="39"/>
        <v>607056.86604177277</v>
      </c>
      <c r="F103" s="199">
        <f t="shared" si="39"/>
        <v>687226.6700152827</v>
      </c>
      <c r="G103" s="199">
        <f t="shared" si="39"/>
        <v>743980.41018848692</v>
      </c>
      <c r="H103" s="199">
        <f t="shared" si="39"/>
        <v>738041.66125318385</v>
      </c>
      <c r="I103" s="199">
        <f t="shared" si="39"/>
        <v>736310.62836474774</v>
      </c>
      <c r="J103" s="199">
        <f t="shared" si="39"/>
        <v>745007.12597045349</v>
      </c>
      <c r="K103" s="199">
        <f t="shared" si="39"/>
        <v>646244.01171676011</v>
      </c>
      <c r="L103" s="199">
        <f t="shared" si="39"/>
        <v>623439.67873662757</v>
      </c>
      <c r="M103" s="199">
        <f t="shared" si="39"/>
        <v>675135.89302088635</v>
      </c>
      <c r="N103" s="199">
        <f>SUM(B103:M103)</f>
        <v>8419654.6897198167</v>
      </c>
    </row>
    <row r="105" spans="1:14">
      <c r="B105" s="24" t="s">
        <v>0</v>
      </c>
      <c r="C105" s="24" t="s">
        <v>1</v>
      </c>
      <c r="D105" s="24" t="s">
        <v>2</v>
      </c>
      <c r="E105" s="24" t="s">
        <v>3</v>
      </c>
      <c r="F105" s="24" t="s">
        <v>4</v>
      </c>
      <c r="G105" s="24" t="s">
        <v>5</v>
      </c>
      <c r="H105" s="24" t="s">
        <v>6</v>
      </c>
      <c r="I105" s="24" t="s">
        <v>7</v>
      </c>
      <c r="J105" s="24" t="s">
        <v>8</v>
      </c>
      <c r="K105" s="24" t="s">
        <v>9</v>
      </c>
      <c r="L105" s="24" t="s">
        <v>10</v>
      </c>
      <c r="M105" s="24" t="s">
        <v>11</v>
      </c>
      <c r="N105" s="24" t="s">
        <v>12</v>
      </c>
    </row>
    <row r="106" spans="1:14">
      <c r="A106" s="255">
        <f>+A81+1</f>
        <v>2018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1:14" ht="6.75" customHeight="1">
      <c r="A107" s="25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</row>
    <row r="108" spans="1:14">
      <c r="A108" s="254" t="s">
        <v>37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256" t="s">
        <v>48</v>
      </c>
      <c r="B109" s="28">
        <v>0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1">
        <f>SUM(B109:M109)</f>
        <v>0</v>
      </c>
    </row>
    <row r="110" spans="1:14">
      <c r="A110" s="256" t="s">
        <v>49</v>
      </c>
      <c r="B110" s="35">
        <f t="shared" ref="B110:M110" si="40">B111-B109</f>
        <v>545059</v>
      </c>
      <c r="C110" s="35">
        <f t="shared" si="40"/>
        <v>434335</v>
      </c>
      <c r="D110" s="35">
        <f t="shared" si="40"/>
        <v>399322</v>
      </c>
      <c r="E110" s="35">
        <f t="shared" si="40"/>
        <v>378072</v>
      </c>
      <c r="F110" s="35">
        <f t="shared" si="40"/>
        <v>426788</v>
      </c>
      <c r="G110" s="35">
        <f t="shared" si="40"/>
        <v>458515</v>
      </c>
      <c r="H110" s="35">
        <f t="shared" si="40"/>
        <v>454939</v>
      </c>
      <c r="I110" s="35">
        <f t="shared" si="40"/>
        <v>453511</v>
      </c>
      <c r="J110" s="35">
        <f t="shared" si="40"/>
        <v>459480</v>
      </c>
      <c r="K110" s="35">
        <f t="shared" si="40"/>
        <v>399421</v>
      </c>
      <c r="L110" s="35">
        <f t="shared" si="40"/>
        <v>385009</v>
      </c>
      <c r="M110" s="35">
        <f t="shared" si="40"/>
        <v>416522</v>
      </c>
      <c r="N110" s="21">
        <f>SUM(B110:M110)</f>
        <v>5210973</v>
      </c>
    </row>
    <row r="111" spans="1:14">
      <c r="A111" s="256" t="s">
        <v>47</v>
      </c>
      <c r="B111" s="146">
        <f>SECI_Network_Forecast!B17*1000</f>
        <v>545059</v>
      </c>
      <c r="C111" s="146">
        <f>SECI_Network_Forecast!C17*1000</f>
        <v>434335</v>
      </c>
      <c r="D111" s="146">
        <f>SECI_Network_Forecast!D17*1000</f>
        <v>399322</v>
      </c>
      <c r="E111" s="146">
        <f>SECI_Network_Forecast!E17*1000</f>
        <v>378072</v>
      </c>
      <c r="F111" s="146">
        <f>SECI_Network_Forecast!F17*1000</f>
        <v>426788</v>
      </c>
      <c r="G111" s="146">
        <f>SECI_Network_Forecast!G17*1000</f>
        <v>458515</v>
      </c>
      <c r="H111" s="146">
        <f>SECI_Network_Forecast!H17*1000</f>
        <v>454939</v>
      </c>
      <c r="I111" s="146">
        <f>SECI_Network_Forecast!I17*1000</f>
        <v>453511</v>
      </c>
      <c r="J111" s="146">
        <f>SECI_Network_Forecast!J17*1000</f>
        <v>459480</v>
      </c>
      <c r="K111" s="146">
        <f>SECI_Network_Forecast!K17*1000</f>
        <v>399421</v>
      </c>
      <c r="L111" s="146">
        <f>SECI_Network_Forecast!L17*1000</f>
        <v>385009</v>
      </c>
      <c r="M111" s="146">
        <f>SECI_Network_Forecast!M17*1000</f>
        <v>416522</v>
      </c>
      <c r="N111" s="21">
        <f>SUM(B111:M111)</f>
        <v>5210973</v>
      </c>
    </row>
    <row r="112" spans="1:14">
      <c r="A112" s="256" t="s">
        <v>45</v>
      </c>
      <c r="B112" s="28">
        <f t="shared" ref="B112:M112" si="41">B113-B109-B110</f>
        <v>10273.654100866057</v>
      </c>
      <c r="C112" s="28">
        <f t="shared" si="41"/>
        <v>8186.6505348955397</v>
      </c>
      <c r="D112" s="36">
        <f t="shared" si="41"/>
        <v>7526.7009679062758</v>
      </c>
      <c r="E112" s="36">
        <f t="shared" si="41"/>
        <v>7126.1660723382374</v>
      </c>
      <c r="F112" s="36">
        <f t="shared" si="41"/>
        <v>8044.3993886907701</v>
      </c>
      <c r="G112" s="36">
        <f t="shared" si="41"/>
        <v>8642.4121242995025</v>
      </c>
      <c r="H112" s="36">
        <f t="shared" si="41"/>
        <v>8575.0091696382733</v>
      </c>
      <c r="I112" s="36">
        <f t="shared" si="41"/>
        <v>8548.0932246561279</v>
      </c>
      <c r="J112" s="36">
        <f t="shared" si="41"/>
        <v>8660.6011207335396</v>
      </c>
      <c r="K112" s="36">
        <f t="shared" si="41"/>
        <v>7528.5669893020531</v>
      </c>
      <c r="L112" s="36">
        <f t="shared" si="41"/>
        <v>7256.9195109526045</v>
      </c>
      <c r="M112" s="36">
        <f t="shared" si="41"/>
        <v>7850.8986245542183</v>
      </c>
      <c r="N112" s="21">
        <f>SUM(B112:M112)</f>
        <v>98220.071828833199</v>
      </c>
    </row>
    <row r="113" spans="1:14">
      <c r="A113" s="256" t="s">
        <v>50</v>
      </c>
      <c r="B113" s="28">
        <f>(B109/(1-0.0213)/(1-'Transmission Formula Rate (7)'!$B$27))+(B110/(1-'Transmission Formula Rate (7)'!$B$27))</f>
        <v>555332.65410086606</v>
      </c>
      <c r="C113" s="28">
        <f>(C109/(1-0.0213)/(1-'Transmission Formula Rate (7)'!$B$27))+(C110/(1-'Transmission Formula Rate (7)'!$B$27))</f>
        <v>442521.65053489554</v>
      </c>
      <c r="D113" s="28">
        <f>(D109/(1-0.0213)/(1-'Transmission Formula Rate (7)'!$B$27))+(D110/(1-'Transmission Formula Rate (7)'!$B$27))</f>
        <v>406848.70096790628</v>
      </c>
      <c r="E113" s="28">
        <f>(E109/(1-0.0213)/(1-'Transmission Formula Rate (7)'!$B$27))+(E110/(1-'Transmission Formula Rate (7)'!$B$27))</f>
        <v>385198.16607233824</v>
      </c>
      <c r="F113" s="28">
        <f>(F109/(1-0.0213)/(1-'Transmission Formula Rate (7)'!$B$27))+(F110/(1-'Transmission Formula Rate (7)'!$B$27))</f>
        <v>434832.39938869077</v>
      </c>
      <c r="G113" s="28">
        <f>(G109/(1-0.0213)/(1-'Transmission Formula Rate (7)'!$B$27))+(G110/(1-'Transmission Formula Rate (7)'!$B$27))</f>
        <v>467157.4121242995</v>
      </c>
      <c r="H113" s="28">
        <f>(H109/(1-0.0213)/(1-'Transmission Formula Rate (7)'!$B$27))+(H110/(1-'Transmission Formula Rate (7)'!$B$27))</f>
        <v>463514.00916963827</v>
      </c>
      <c r="I113" s="28">
        <f>(I109/(1-0.0213)/(1-'Transmission Formula Rate (7)'!$B$27))+(I110/(1-'Transmission Formula Rate (7)'!$B$27))</f>
        <v>462059.09322465613</v>
      </c>
      <c r="J113" s="28">
        <f>(J109/(1-0.0213)/(1-'Transmission Formula Rate (7)'!$B$27))+(J110/(1-'Transmission Formula Rate (7)'!$B$27))</f>
        <v>468140.60112073354</v>
      </c>
      <c r="K113" s="28">
        <f>(K109/(1-0.0213)/(1-'Transmission Formula Rate (7)'!$B$27))+(K110/(1-'Transmission Formula Rate (7)'!$B$27))</f>
        <v>406949.56698930205</v>
      </c>
      <c r="L113" s="28">
        <f>(L109/(1-0.0213)/(1-'Transmission Formula Rate (7)'!$B$27))+(L110/(1-'Transmission Formula Rate (7)'!$B$27))</f>
        <v>392265.9195109526</v>
      </c>
      <c r="M113" s="28">
        <f>(M109/(1-0.0213)/(1-'Transmission Formula Rate (7)'!$B$27))+(M110/(1-'Transmission Formula Rate (7)'!$B$27))</f>
        <v>424372.89862455422</v>
      </c>
      <c r="N113" s="21">
        <f>SUM(B113:M113)</f>
        <v>5309193.0718288328</v>
      </c>
    </row>
    <row r="114" spans="1:14">
      <c r="A114" s="254" t="s">
        <v>20</v>
      </c>
      <c r="B114" s="30">
        <f>'Transmission Formula Rate (7)'!B16</f>
        <v>1.59</v>
      </c>
      <c r="C114" s="30">
        <f>'Transmission Formula Rate (7)'!C16</f>
        <v>1.59</v>
      </c>
      <c r="D114" s="30">
        <f>'Transmission Formula Rate (7)'!D16</f>
        <v>1.59</v>
      </c>
      <c r="E114" s="30">
        <f>'Transmission Formula Rate (7)'!E16</f>
        <v>1.59</v>
      </c>
      <c r="F114" s="30">
        <f>'Transmission Formula Rate (7)'!F16</f>
        <v>1.59</v>
      </c>
      <c r="G114" s="30">
        <f>'Transmission Formula Rate (7)'!G16</f>
        <v>1.59</v>
      </c>
      <c r="H114" s="30">
        <f>'Transmission Formula Rate (7)'!H16</f>
        <v>1.59</v>
      </c>
      <c r="I114" s="30">
        <f>'Transmission Formula Rate (7)'!I16</f>
        <v>1.59</v>
      </c>
      <c r="J114" s="30">
        <f>'Transmission Formula Rate (7)'!J16</f>
        <v>1.59</v>
      </c>
      <c r="K114" s="30">
        <f>'Transmission Formula Rate (7)'!K16</f>
        <v>1.59</v>
      </c>
      <c r="L114" s="30">
        <f>'Transmission Formula Rate (7)'!L16</f>
        <v>1.59</v>
      </c>
      <c r="M114" s="30">
        <f>'Transmission Formula Rate (7)'!M16</f>
        <v>1.59</v>
      </c>
      <c r="N114" s="20"/>
    </row>
    <row r="115" spans="1:14">
      <c r="A115" s="254" t="s">
        <v>17</v>
      </c>
      <c r="B115" s="199">
        <f t="shared" ref="B115:M115" si="42">B113*B114</f>
        <v>882978.92002037703</v>
      </c>
      <c r="C115" s="199">
        <f t="shared" si="42"/>
        <v>703609.42435048393</v>
      </c>
      <c r="D115" s="199">
        <f t="shared" si="42"/>
        <v>646889.43453897105</v>
      </c>
      <c r="E115" s="199">
        <f t="shared" si="42"/>
        <v>612465.0840550178</v>
      </c>
      <c r="F115" s="199">
        <f t="shared" si="42"/>
        <v>691383.51502801839</v>
      </c>
      <c r="G115" s="199">
        <f t="shared" si="42"/>
        <v>742780.28527763626</v>
      </c>
      <c r="H115" s="199">
        <f t="shared" si="42"/>
        <v>736987.27457972488</v>
      </c>
      <c r="I115" s="199">
        <f t="shared" si="42"/>
        <v>734673.95822720323</v>
      </c>
      <c r="J115" s="199">
        <f t="shared" si="42"/>
        <v>744343.55578196631</v>
      </c>
      <c r="K115" s="199">
        <f t="shared" si="42"/>
        <v>647049.81151299027</v>
      </c>
      <c r="L115" s="199">
        <f t="shared" si="42"/>
        <v>623702.81202241464</v>
      </c>
      <c r="M115" s="199">
        <f t="shared" si="42"/>
        <v>674752.90881304129</v>
      </c>
      <c r="N115" s="199">
        <f>SUM(B115:M115)</f>
        <v>8441616.9842078462</v>
      </c>
    </row>
    <row r="116" spans="1:14">
      <c r="A116" s="254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</row>
    <row r="117" spans="1:14">
      <c r="A117" s="254" t="s">
        <v>141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>
      <c r="A118" s="256" t="str">
        <f>A113</f>
        <v xml:space="preserve">       SECI Load</v>
      </c>
      <c r="B118" s="28">
        <f>B113</f>
        <v>555332.65410086606</v>
      </c>
      <c r="C118" s="28">
        <f t="shared" ref="C118:M118" si="43">C113</f>
        <v>442521.65053489554</v>
      </c>
      <c r="D118" s="28">
        <f t="shared" si="43"/>
        <v>406848.70096790628</v>
      </c>
      <c r="E118" s="28">
        <f t="shared" si="43"/>
        <v>385198.16607233824</v>
      </c>
      <c r="F118" s="28">
        <f t="shared" si="43"/>
        <v>434832.39938869077</v>
      </c>
      <c r="G118" s="28">
        <f t="shared" si="43"/>
        <v>467157.4121242995</v>
      </c>
      <c r="H118" s="28">
        <f t="shared" si="43"/>
        <v>463514.00916963827</v>
      </c>
      <c r="I118" s="28">
        <f t="shared" si="43"/>
        <v>462059.09322465613</v>
      </c>
      <c r="J118" s="28">
        <f t="shared" si="43"/>
        <v>468140.60112073354</v>
      </c>
      <c r="K118" s="28">
        <f t="shared" si="43"/>
        <v>406949.56698930205</v>
      </c>
      <c r="L118" s="28">
        <f t="shared" si="43"/>
        <v>392265.9195109526</v>
      </c>
      <c r="M118" s="28">
        <f t="shared" si="43"/>
        <v>424372.89862455422</v>
      </c>
      <c r="N118" s="21">
        <f>SUM(B118:M118)</f>
        <v>5309193.0718288328</v>
      </c>
    </row>
    <row r="119" spans="1:14">
      <c r="A119" s="254" t="s">
        <v>149</v>
      </c>
      <c r="B119" s="32">
        <f>'charges (1 &amp; 2)'!H30</f>
        <v>1.274E-2</v>
      </c>
      <c r="C119" s="32">
        <f>B119</f>
        <v>1.274E-2</v>
      </c>
      <c r="D119" s="32">
        <f t="shared" ref="D119:M119" si="44">C119</f>
        <v>1.274E-2</v>
      </c>
      <c r="E119" s="32">
        <f t="shared" si="44"/>
        <v>1.274E-2</v>
      </c>
      <c r="F119" s="32">
        <f t="shared" si="44"/>
        <v>1.274E-2</v>
      </c>
      <c r="G119" s="32">
        <f t="shared" si="44"/>
        <v>1.274E-2</v>
      </c>
      <c r="H119" s="32">
        <f t="shared" si="44"/>
        <v>1.274E-2</v>
      </c>
      <c r="I119" s="32">
        <f t="shared" si="44"/>
        <v>1.274E-2</v>
      </c>
      <c r="J119" s="32">
        <f t="shared" si="44"/>
        <v>1.274E-2</v>
      </c>
      <c r="K119" s="32">
        <f t="shared" si="44"/>
        <v>1.274E-2</v>
      </c>
      <c r="L119" s="32">
        <f t="shared" si="44"/>
        <v>1.274E-2</v>
      </c>
      <c r="M119" s="32">
        <f t="shared" si="44"/>
        <v>1.274E-2</v>
      </c>
      <c r="N119" s="20"/>
    </row>
    <row r="120" spans="1:14">
      <c r="A120" s="254" t="s">
        <v>17</v>
      </c>
      <c r="B120" s="199">
        <f t="shared" ref="B120:M120" si="45">B118*B119</f>
        <v>7074.9380132450333</v>
      </c>
      <c r="C120" s="199">
        <f t="shared" si="45"/>
        <v>5637.7258278145691</v>
      </c>
      <c r="D120" s="199">
        <f t="shared" si="45"/>
        <v>5183.2524503311261</v>
      </c>
      <c r="E120" s="199">
        <f t="shared" si="45"/>
        <v>4907.4246357615893</v>
      </c>
      <c r="F120" s="199">
        <f t="shared" si="45"/>
        <v>5539.7647682119205</v>
      </c>
      <c r="G120" s="199">
        <f t="shared" si="45"/>
        <v>5951.5854304635759</v>
      </c>
      <c r="H120" s="199">
        <f t="shared" si="45"/>
        <v>5905.1684768211917</v>
      </c>
      <c r="I120" s="199">
        <f t="shared" si="45"/>
        <v>5886.6328476821191</v>
      </c>
      <c r="J120" s="199">
        <f t="shared" si="45"/>
        <v>5964.1112582781452</v>
      </c>
      <c r="K120" s="199">
        <f t="shared" si="45"/>
        <v>5184.537483443708</v>
      </c>
      <c r="L120" s="199">
        <f t="shared" si="45"/>
        <v>4997.4678145695361</v>
      </c>
      <c r="M120" s="199">
        <f t="shared" si="45"/>
        <v>5406.510728476821</v>
      </c>
      <c r="N120" s="199">
        <f>SUM(B120:M120)</f>
        <v>67639.119735099332</v>
      </c>
    </row>
    <row r="121" spans="1:14" ht="6.75" customHeight="1">
      <c r="A121" s="257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>
      <c r="A122" s="254" t="s">
        <v>38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>
      <c r="A123" s="256" t="str">
        <f>A113</f>
        <v xml:space="preserve">       SECI Load</v>
      </c>
      <c r="B123" s="28">
        <f>B113</f>
        <v>555332.65410086606</v>
      </c>
      <c r="C123" s="28">
        <f t="shared" ref="C123:M123" si="46">C113</f>
        <v>442521.65053489554</v>
      </c>
      <c r="D123" s="28">
        <f t="shared" si="46"/>
        <v>406848.70096790628</v>
      </c>
      <c r="E123" s="28">
        <f t="shared" si="46"/>
        <v>385198.16607233824</v>
      </c>
      <c r="F123" s="28">
        <f t="shared" si="46"/>
        <v>434832.39938869077</v>
      </c>
      <c r="G123" s="28">
        <f t="shared" si="46"/>
        <v>467157.4121242995</v>
      </c>
      <c r="H123" s="28">
        <f t="shared" si="46"/>
        <v>463514.00916963827</v>
      </c>
      <c r="I123" s="28">
        <f t="shared" si="46"/>
        <v>462059.09322465613</v>
      </c>
      <c r="J123" s="28">
        <f t="shared" si="46"/>
        <v>468140.60112073354</v>
      </c>
      <c r="K123" s="28">
        <f t="shared" si="46"/>
        <v>406949.56698930205</v>
      </c>
      <c r="L123" s="28">
        <f t="shared" si="46"/>
        <v>392265.9195109526</v>
      </c>
      <c r="M123" s="28">
        <f t="shared" si="46"/>
        <v>424372.89862455422</v>
      </c>
      <c r="N123" s="21">
        <f>SUM(B123:M123)</f>
        <v>5309193.0718288328</v>
      </c>
    </row>
    <row r="124" spans="1:14">
      <c r="A124" s="254" t="s">
        <v>150</v>
      </c>
      <c r="B124" s="32">
        <f>'charges (1 &amp; 2)'!H29</f>
        <v>0.02</v>
      </c>
      <c r="C124" s="32">
        <f>B124</f>
        <v>0.02</v>
      </c>
      <c r="D124" s="32">
        <f t="shared" ref="D124:M124" si="47">C124</f>
        <v>0.02</v>
      </c>
      <c r="E124" s="32">
        <f t="shared" si="47"/>
        <v>0.02</v>
      </c>
      <c r="F124" s="32">
        <f t="shared" si="47"/>
        <v>0.02</v>
      </c>
      <c r="G124" s="32">
        <f t="shared" si="47"/>
        <v>0.02</v>
      </c>
      <c r="H124" s="32">
        <f t="shared" si="47"/>
        <v>0.02</v>
      </c>
      <c r="I124" s="32">
        <f t="shared" si="47"/>
        <v>0.02</v>
      </c>
      <c r="J124" s="32">
        <f t="shared" si="47"/>
        <v>0.02</v>
      </c>
      <c r="K124" s="32">
        <f t="shared" si="47"/>
        <v>0.02</v>
      </c>
      <c r="L124" s="32">
        <f t="shared" si="47"/>
        <v>0.02</v>
      </c>
      <c r="M124" s="32">
        <f t="shared" si="47"/>
        <v>0.02</v>
      </c>
      <c r="N124" s="20"/>
    </row>
    <row r="125" spans="1:14">
      <c r="A125" s="254" t="s">
        <v>17</v>
      </c>
      <c r="B125" s="199">
        <f t="shared" ref="B125:M125" si="48">B123*B124</f>
        <v>11106.653082017321</v>
      </c>
      <c r="C125" s="199">
        <f t="shared" si="48"/>
        <v>8850.4330106979105</v>
      </c>
      <c r="D125" s="199">
        <f t="shared" si="48"/>
        <v>8136.9740193581256</v>
      </c>
      <c r="E125" s="199">
        <f t="shared" si="48"/>
        <v>7703.9633214467649</v>
      </c>
      <c r="F125" s="199">
        <f t="shared" si="48"/>
        <v>8696.6479877738147</v>
      </c>
      <c r="G125" s="199">
        <f t="shared" si="48"/>
        <v>9343.1482424859896</v>
      </c>
      <c r="H125" s="199">
        <f t="shared" si="48"/>
        <v>9270.280183392766</v>
      </c>
      <c r="I125" s="199">
        <f t="shared" si="48"/>
        <v>9241.1818644931227</v>
      </c>
      <c r="J125" s="199">
        <f t="shared" si="48"/>
        <v>9362.8120224146714</v>
      </c>
      <c r="K125" s="199">
        <f t="shared" si="48"/>
        <v>8138.991339786041</v>
      </c>
      <c r="L125" s="199">
        <f t="shared" si="48"/>
        <v>7845.3183902190522</v>
      </c>
      <c r="M125" s="199">
        <f t="shared" si="48"/>
        <v>8487.4579724910836</v>
      </c>
      <c r="N125" s="199">
        <f>SUM(B125:M125)</f>
        <v>106183.86143657666</v>
      </c>
    </row>
    <row r="126" spans="1:14" ht="6" customHeight="1">
      <c r="A126" s="254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</row>
    <row r="127" spans="1:14">
      <c r="A127" s="254" t="s">
        <v>25</v>
      </c>
      <c r="B127" s="199">
        <f>B115+B125+B120</f>
        <v>901160.51111563935</v>
      </c>
      <c r="C127" s="199">
        <f t="shared" ref="C127:M127" si="49">C115+C125+C120</f>
        <v>718097.58318899642</v>
      </c>
      <c r="D127" s="199">
        <f t="shared" si="49"/>
        <v>660209.66100866033</v>
      </c>
      <c r="E127" s="199">
        <f t="shared" si="49"/>
        <v>625076.47201222612</v>
      </c>
      <c r="F127" s="199">
        <f t="shared" si="49"/>
        <v>705619.92778400402</v>
      </c>
      <c r="G127" s="199">
        <f t="shared" si="49"/>
        <v>758075.01895058574</v>
      </c>
      <c r="H127" s="199">
        <f t="shared" si="49"/>
        <v>752162.72323993884</v>
      </c>
      <c r="I127" s="199">
        <f t="shared" si="49"/>
        <v>749801.77293937851</v>
      </c>
      <c r="J127" s="199">
        <f t="shared" si="49"/>
        <v>759670.47906265908</v>
      </c>
      <c r="K127" s="199">
        <f t="shared" si="49"/>
        <v>660373.34033622011</v>
      </c>
      <c r="L127" s="199">
        <f t="shared" si="49"/>
        <v>636545.59822720313</v>
      </c>
      <c r="M127" s="199">
        <f t="shared" si="49"/>
        <v>688646.87751400913</v>
      </c>
      <c r="N127" s="199">
        <f>SUM(B127:M127)</f>
        <v>8615439.9653795194</v>
      </c>
    </row>
    <row r="130" spans="1:14">
      <c r="B130" s="24" t="s">
        <v>0</v>
      </c>
      <c r="C130" s="24" t="s">
        <v>1</v>
      </c>
      <c r="D130" s="24" t="s">
        <v>2</v>
      </c>
      <c r="E130" s="24" t="s">
        <v>3</v>
      </c>
      <c r="F130" s="24" t="s">
        <v>4</v>
      </c>
      <c r="G130" s="24" t="s">
        <v>5</v>
      </c>
      <c r="H130" s="24" t="s">
        <v>6</v>
      </c>
      <c r="I130" s="24" t="s">
        <v>7</v>
      </c>
      <c r="J130" s="24" t="s">
        <v>8</v>
      </c>
      <c r="K130" s="24" t="s">
        <v>9</v>
      </c>
      <c r="L130" s="24" t="s">
        <v>10</v>
      </c>
      <c r="M130" s="24" t="s">
        <v>11</v>
      </c>
      <c r="N130" s="24" t="s">
        <v>12</v>
      </c>
    </row>
    <row r="131" spans="1:14">
      <c r="A131" s="255">
        <f>+A106+1</f>
        <v>2019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>
      <c r="A132" s="25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</row>
    <row r="133" spans="1:14">
      <c r="A133" s="254" t="s">
        <v>37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>
      <c r="A134" s="256" t="s">
        <v>48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1">
        <f>SUM(B134:M134)</f>
        <v>0</v>
      </c>
    </row>
    <row r="135" spans="1:14">
      <c r="A135" s="256" t="s">
        <v>49</v>
      </c>
      <c r="B135" s="35">
        <f t="shared" ref="B135:M135" si="50">B136-B134</f>
        <v>550644</v>
      </c>
      <c r="C135" s="35">
        <f t="shared" si="50"/>
        <v>438917</v>
      </c>
      <c r="D135" s="35">
        <f t="shared" si="50"/>
        <v>403138</v>
      </c>
      <c r="E135" s="35">
        <f t="shared" si="50"/>
        <v>382060</v>
      </c>
      <c r="F135" s="35">
        <f t="shared" si="50"/>
        <v>431170</v>
      </c>
      <c r="G135" s="35">
        <f t="shared" si="50"/>
        <v>465687</v>
      </c>
      <c r="H135" s="35">
        <f t="shared" si="50"/>
        <v>462081</v>
      </c>
      <c r="I135" s="35">
        <f t="shared" si="50"/>
        <v>460591</v>
      </c>
      <c r="J135" s="35">
        <f t="shared" si="50"/>
        <v>467001</v>
      </c>
      <c r="K135" s="35">
        <f t="shared" si="50"/>
        <v>406071</v>
      </c>
      <c r="L135" s="35">
        <f t="shared" si="50"/>
        <v>391357</v>
      </c>
      <c r="M135" s="35">
        <f t="shared" si="50"/>
        <v>423458</v>
      </c>
      <c r="N135" s="21">
        <f>SUM(B135:M135)</f>
        <v>5282175</v>
      </c>
    </row>
    <row r="136" spans="1:14">
      <c r="A136" s="256" t="s">
        <v>47</v>
      </c>
      <c r="B136" s="146">
        <f>SECI_Network_Forecast!B18*1000</f>
        <v>550644</v>
      </c>
      <c r="C136" s="146">
        <f>SECI_Network_Forecast!C18*1000</f>
        <v>438917</v>
      </c>
      <c r="D136" s="146">
        <f>SECI_Network_Forecast!D18*1000</f>
        <v>403138</v>
      </c>
      <c r="E136" s="146">
        <f>SECI_Network_Forecast!E18*1000</f>
        <v>382060</v>
      </c>
      <c r="F136" s="146">
        <f>SECI_Network_Forecast!F18*1000</f>
        <v>431170</v>
      </c>
      <c r="G136" s="146">
        <f>SECI_Network_Forecast!G18*1000</f>
        <v>465687</v>
      </c>
      <c r="H136" s="146">
        <f>SECI_Network_Forecast!H18*1000</f>
        <v>462081</v>
      </c>
      <c r="I136" s="146">
        <f>SECI_Network_Forecast!I18*1000</f>
        <v>460591</v>
      </c>
      <c r="J136" s="146">
        <f>SECI_Network_Forecast!J18*1000</f>
        <v>467001</v>
      </c>
      <c r="K136" s="146">
        <f>SECI_Network_Forecast!K18*1000</f>
        <v>406071</v>
      </c>
      <c r="L136" s="146">
        <f>SECI_Network_Forecast!L18*1000</f>
        <v>391357</v>
      </c>
      <c r="M136" s="146">
        <f>SECI_Network_Forecast!M18*1000</f>
        <v>423458</v>
      </c>
      <c r="N136" s="21">
        <f>SUM(B136:M136)</f>
        <v>5282175</v>
      </c>
    </row>
    <row r="137" spans="1:14">
      <c r="A137" s="256" t="s">
        <v>45</v>
      </c>
      <c r="B137" s="28">
        <f t="shared" ref="B137:M137" si="51">B138-B134-B135</f>
        <v>10378.924095771741</v>
      </c>
      <c r="C137" s="28">
        <f t="shared" si="51"/>
        <v>8273.0152827305137</v>
      </c>
      <c r="D137" s="36">
        <f t="shared" si="51"/>
        <v>7598.6276107997983</v>
      </c>
      <c r="E137" s="36">
        <f t="shared" si="51"/>
        <v>7201.3346917982562</v>
      </c>
      <c r="F137" s="36">
        <f t="shared" si="51"/>
        <v>8126.9943963321275</v>
      </c>
      <c r="G137" s="36">
        <f t="shared" si="51"/>
        <v>8777.5950076413574</v>
      </c>
      <c r="H137" s="36">
        <f t="shared" si="51"/>
        <v>8709.6265919510624</v>
      </c>
      <c r="I137" s="36">
        <f t="shared" si="51"/>
        <v>8681.5420275088982</v>
      </c>
      <c r="J137" s="36">
        <f t="shared" si="51"/>
        <v>8802.3622007131926</v>
      </c>
      <c r="K137" s="36">
        <f t="shared" si="51"/>
        <v>7653.9108507386409</v>
      </c>
      <c r="L137" s="36">
        <f t="shared" si="51"/>
        <v>7376.5710646968801</v>
      </c>
      <c r="M137" s="36">
        <f t="shared" si="51"/>
        <v>7981.6332144676126</v>
      </c>
      <c r="N137" s="21">
        <f>SUM(B137:M137)</f>
        <v>99562.137035150081</v>
      </c>
    </row>
    <row r="138" spans="1:14">
      <c r="A138" s="256" t="s">
        <v>50</v>
      </c>
      <c r="B138" s="28">
        <f>(B134/(1-0.0213)/(1-'Transmission Formula Rate (7)'!$B$27))+(B135/(1-'Transmission Formula Rate (7)'!$B$27))</f>
        <v>561022.92409577174</v>
      </c>
      <c r="C138" s="28">
        <f>(C134/(1-0.0213)/(1-'Transmission Formula Rate (7)'!$B$27))+(C135/(1-'Transmission Formula Rate (7)'!$B$27))</f>
        <v>447190.01528273051</v>
      </c>
      <c r="D138" s="28">
        <f>(D134/(1-0.0213)/(1-'Transmission Formula Rate (7)'!$B$27))+(D135/(1-'Transmission Formula Rate (7)'!$B$27))</f>
        <v>410736.6276107998</v>
      </c>
      <c r="E138" s="28">
        <f>(E134/(1-0.0213)/(1-'Transmission Formula Rate (7)'!$B$27))+(E135/(1-'Transmission Formula Rate (7)'!$B$27))</f>
        <v>389261.33469179826</v>
      </c>
      <c r="F138" s="28">
        <f>(F134/(1-0.0213)/(1-'Transmission Formula Rate (7)'!$B$27))+(F135/(1-'Transmission Formula Rate (7)'!$B$27))</f>
        <v>439296.99439633213</v>
      </c>
      <c r="G138" s="28">
        <f>(G134/(1-0.0213)/(1-'Transmission Formula Rate (7)'!$B$27))+(G135/(1-'Transmission Formula Rate (7)'!$B$27))</f>
        <v>474464.59500764136</v>
      </c>
      <c r="H138" s="28">
        <f>(H134/(1-0.0213)/(1-'Transmission Formula Rate (7)'!$B$27))+(H135/(1-'Transmission Formula Rate (7)'!$B$27))</f>
        <v>470790.62659195106</v>
      </c>
      <c r="I138" s="28">
        <f>(I134/(1-0.0213)/(1-'Transmission Formula Rate (7)'!$B$27))+(I135/(1-'Transmission Formula Rate (7)'!$B$27))</f>
        <v>469272.5420275089</v>
      </c>
      <c r="J138" s="28">
        <f>(J134/(1-0.0213)/(1-'Transmission Formula Rate (7)'!$B$27))+(J135/(1-'Transmission Formula Rate (7)'!$B$27))</f>
        <v>475803.36220071319</v>
      </c>
      <c r="K138" s="28">
        <f>(K134/(1-0.0213)/(1-'Transmission Formula Rate (7)'!$B$27))+(K135/(1-'Transmission Formula Rate (7)'!$B$27))</f>
        <v>413724.91085073864</v>
      </c>
      <c r="L138" s="28">
        <f>(L134/(1-0.0213)/(1-'Transmission Formula Rate (7)'!$B$27))+(L135/(1-'Transmission Formula Rate (7)'!$B$27))</f>
        <v>398733.57106469688</v>
      </c>
      <c r="M138" s="28">
        <f>(M134/(1-0.0213)/(1-'Transmission Formula Rate (7)'!$B$27))+(M135/(1-'Transmission Formula Rate (7)'!$B$27))</f>
        <v>431439.63321446761</v>
      </c>
      <c r="N138" s="21">
        <f>SUM(B138:M138)</f>
        <v>5381737.1370351501</v>
      </c>
    </row>
    <row r="139" spans="1:14">
      <c r="A139" s="254" t="s">
        <v>20</v>
      </c>
      <c r="B139" s="30">
        <f>'Transmission Formula Rate (7)'!B20</f>
        <v>1.59</v>
      </c>
      <c r="C139" s="30">
        <f>'Transmission Formula Rate (7)'!C20</f>
        <v>1.59</v>
      </c>
      <c r="D139" s="30">
        <f>'Transmission Formula Rate (7)'!D20</f>
        <v>1.59</v>
      </c>
      <c r="E139" s="30">
        <f>'Transmission Formula Rate (7)'!E20</f>
        <v>1.59</v>
      </c>
      <c r="F139" s="30">
        <f>'Transmission Formula Rate (7)'!F20</f>
        <v>1.59</v>
      </c>
      <c r="G139" s="30">
        <f>'Transmission Formula Rate (7)'!G20</f>
        <v>1.59</v>
      </c>
      <c r="H139" s="30">
        <f>'Transmission Formula Rate (7)'!H20</f>
        <v>1.59</v>
      </c>
      <c r="I139" s="30">
        <f>'Transmission Formula Rate (7)'!I20</f>
        <v>1.59</v>
      </c>
      <c r="J139" s="30">
        <f>'Transmission Formula Rate (7)'!J20</f>
        <v>1.59</v>
      </c>
      <c r="K139" s="30">
        <f>'Transmission Formula Rate (7)'!K20</f>
        <v>1.59</v>
      </c>
      <c r="L139" s="30">
        <f>'Transmission Formula Rate (7)'!L20</f>
        <v>1.59</v>
      </c>
      <c r="M139" s="30">
        <f>'Transmission Formula Rate (7)'!M20</f>
        <v>1.59</v>
      </c>
      <c r="N139" s="20"/>
    </row>
    <row r="140" spans="1:14">
      <c r="A140" s="254" t="s">
        <v>17</v>
      </c>
      <c r="B140" s="199">
        <f>B138*B139</f>
        <v>892026.44931227714</v>
      </c>
      <c r="C140" s="199">
        <f t="shared" ref="C140:M140" si="52">C138*C139</f>
        <v>711032.12429954158</v>
      </c>
      <c r="D140" s="199">
        <f t="shared" si="52"/>
        <v>653071.23790117167</v>
      </c>
      <c r="E140" s="199">
        <f t="shared" si="52"/>
        <v>618925.52215995931</v>
      </c>
      <c r="F140" s="199">
        <f t="shared" si="52"/>
        <v>698482.22109016811</v>
      </c>
      <c r="G140" s="199">
        <f t="shared" si="52"/>
        <v>754398.70606214984</v>
      </c>
      <c r="H140" s="199">
        <f t="shared" si="52"/>
        <v>748557.09628120228</v>
      </c>
      <c r="I140" s="199">
        <f t="shared" si="52"/>
        <v>746143.34182373923</v>
      </c>
      <c r="J140" s="199">
        <f t="shared" si="52"/>
        <v>756527.34589913406</v>
      </c>
      <c r="K140" s="199">
        <f t="shared" si="52"/>
        <v>657822.60825267446</v>
      </c>
      <c r="L140" s="199">
        <f t="shared" si="52"/>
        <v>633986.37799286807</v>
      </c>
      <c r="M140" s="199">
        <f t="shared" si="52"/>
        <v>685989.01681100356</v>
      </c>
      <c r="N140" s="199">
        <f>SUM(B140:M140)</f>
        <v>8556962.0478858892</v>
      </c>
    </row>
    <row r="141" spans="1:14">
      <c r="A141" s="254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>
      <c r="A142" s="254" t="s">
        <v>141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>
      <c r="A143" s="256" t="str">
        <f>A138</f>
        <v xml:space="preserve">       SECI Load</v>
      </c>
      <c r="B143" s="28">
        <f>B138</f>
        <v>561022.92409577174</v>
      </c>
      <c r="C143" s="28">
        <f t="shared" ref="C143:M143" si="53">C138</f>
        <v>447190.01528273051</v>
      </c>
      <c r="D143" s="28">
        <f t="shared" si="53"/>
        <v>410736.6276107998</v>
      </c>
      <c r="E143" s="28">
        <f t="shared" si="53"/>
        <v>389261.33469179826</v>
      </c>
      <c r="F143" s="28">
        <f t="shared" si="53"/>
        <v>439296.99439633213</v>
      </c>
      <c r="G143" s="28">
        <f t="shared" si="53"/>
        <v>474464.59500764136</v>
      </c>
      <c r="H143" s="28">
        <f t="shared" si="53"/>
        <v>470790.62659195106</v>
      </c>
      <c r="I143" s="28">
        <f t="shared" si="53"/>
        <v>469272.5420275089</v>
      </c>
      <c r="J143" s="28">
        <f t="shared" si="53"/>
        <v>475803.36220071319</v>
      </c>
      <c r="K143" s="28">
        <f t="shared" si="53"/>
        <v>413724.91085073864</v>
      </c>
      <c r="L143" s="28">
        <f t="shared" si="53"/>
        <v>398733.57106469688</v>
      </c>
      <c r="M143" s="28">
        <f t="shared" si="53"/>
        <v>431439.63321446761</v>
      </c>
      <c r="N143" s="21">
        <f>SUM(B143:M143)</f>
        <v>5381737.1370351501</v>
      </c>
    </row>
    <row r="144" spans="1:14">
      <c r="A144" s="254" t="s">
        <v>149</v>
      </c>
      <c r="B144" s="32">
        <f>'charges (1 &amp; 2)'!H30</f>
        <v>1.274E-2</v>
      </c>
      <c r="C144" s="32">
        <f>B144</f>
        <v>1.274E-2</v>
      </c>
      <c r="D144" s="32">
        <f t="shared" ref="D144" si="54">C144</f>
        <v>1.274E-2</v>
      </c>
      <c r="E144" s="32">
        <f t="shared" ref="E144" si="55">D144</f>
        <v>1.274E-2</v>
      </c>
      <c r="F144" s="32">
        <f t="shared" ref="F144" si="56">E144</f>
        <v>1.274E-2</v>
      </c>
      <c r="G144" s="32">
        <f t="shared" ref="G144" si="57">F144</f>
        <v>1.274E-2</v>
      </c>
      <c r="H144" s="32">
        <f t="shared" ref="H144" si="58">G144</f>
        <v>1.274E-2</v>
      </c>
      <c r="I144" s="32">
        <f t="shared" ref="I144" si="59">H144</f>
        <v>1.274E-2</v>
      </c>
      <c r="J144" s="32">
        <f t="shared" ref="J144" si="60">I144</f>
        <v>1.274E-2</v>
      </c>
      <c r="K144" s="32">
        <f t="shared" ref="K144" si="61">J144</f>
        <v>1.274E-2</v>
      </c>
      <c r="L144" s="32">
        <f t="shared" ref="L144" si="62">K144</f>
        <v>1.274E-2</v>
      </c>
      <c r="M144" s="32">
        <f t="shared" ref="M144" si="63">L144</f>
        <v>1.274E-2</v>
      </c>
      <c r="N144" s="20"/>
    </row>
    <row r="145" spans="1:14">
      <c r="A145" s="254" t="s">
        <v>17</v>
      </c>
      <c r="B145" s="199">
        <f>B143*B144</f>
        <v>7147.4320529801316</v>
      </c>
      <c r="C145" s="199">
        <f t="shared" ref="C145:M145" si="64">C143*C144</f>
        <v>5697.2007947019865</v>
      </c>
      <c r="D145" s="199">
        <f t="shared" si="64"/>
        <v>5232.784635761589</v>
      </c>
      <c r="E145" s="199">
        <f t="shared" si="64"/>
        <v>4959.1894039735098</v>
      </c>
      <c r="F145" s="199">
        <f t="shared" si="64"/>
        <v>5596.643708609271</v>
      </c>
      <c r="G145" s="199">
        <f t="shared" si="64"/>
        <v>6044.6789403973507</v>
      </c>
      <c r="H145" s="199">
        <f t="shared" si="64"/>
        <v>5997.872582781456</v>
      </c>
      <c r="I145" s="199">
        <f t="shared" si="64"/>
        <v>5978.532185430463</v>
      </c>
      <c r="J145" s="199">
        <f t="shared" si="64"/>
        <v>6061.7348344370857</v>
      </c>
      <c r="K145" s="199">
        <f t="shared" si="64"/>
        <v>5270.8553642384104</v>
      </c>
      <c r="L145" s="199">
        <f t="shared" si="64"/>
        <v>5079.8656953642385</v>
      </c>
      <c r="M145" s="199">
        <f t="shared" si="64"/>
        <v>5496.5409271523176</v>
      </c>
      <c r="N145" s="199">
        <f>SUM(B145:M145)</f>
        <v>68563.331125827812</v>
      </c>
    </row>
    <row r="146" spans="1:14">
      <c r="A146" s="257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>
      <c r="A147" s="254" t="s">
        <v>38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>
      <c r="A148" s="256" t="str">
        <f>A138</f>
        <v xml:space="preserve">       SECI Load</v>
      </c>
      <c r="B148" s="28">
        <f>B138</f>
        <v>561022.92409577174</v>
      </c>
      <c r="C148" s="28">
        <f t="shared" ref="C148:M148" si="65">C138</f>
        <v>447190.01528273051</v>
      </c>
      <c r="D148" s="28">
        <f t="shared" si="65"/>
        <v>410736.6276107998</v>
      </c>
      <c r="E148" s="28">
        <f t="shared" si="65"/>
        <v>389261.33469179826</v>
      </c>
      <c r="F148" s="28">
        <f t="shared" si="65"/>
        <v>439296.99439633213</v>
      </c>
      <c r="G148" s="28">
        <f t="shared" si="65"/>
        <v>474464.59500764136</v>
      </c>
      <c r="H148" s="28">
        <f t="shared" si="65"/>
        <v>470790.62659195106</v>
      </c>
      <c r="I148" s="28">
        <f t="shared" si="65"/>
        <v>469272.5420275089</v>
      </c>
      <c r="J148" s="28">
        <f t="shared" si="65"/>
        <v>475803.36220071319</v>
      </c>
      <c r="K148" s="28">
        <f t="shared" si="65"/>
        <v>413724.91085073864</v>
      </c>
      <c r="L148" s="28">
        <f t="shared" si="65"/>
        <v>398733.57106469688</v>
      </c>
      <c r="M148" s="28">
        <f t="shared" si="65"/>
        <v>431439.63321446761</v>
      </c>
      <c r="N148" s="21">
        <f>SUM(B148:M148)</f>
        <v>5381737.1370351501</v>
      </c>
    </row>
    <row r="149" spans="1:14">
      <c r="A149" s="254" t="s">
        <v>150</v>
      </c>
      <c r="B149" s="32">
        <f>'charges (1 &amp; 2)'!H29</f>
        <v>0.02</v>
      </c>
      <c r="C149" s="32">
        <f>B149</f>
        <v>0.02</v>
      </c>
      <c r="D149" s="32">
        <f t="shared" ref="D149" si="66">C149</f>
        <v>0.02</v>
      </c>
      <c r="E149" s="32">
        <f t="shared" ref="E149" si="67">D149</f>
        <v>0.02</v>
      </c>
      <c r="F149" s="32">
        <f t="shared" ref="F149" si="68">E149</f>
        <v>0.02</v>
      </c>
      <c r="G149" s="32">
        <f t="shared" ref="G149" si="69">F149</f>
        <v>0.02</v>
      </c>
      <c r="H149" s="32">
        <f t="shared" ref="H149" si="70">G149</f>
        <v>0.02</v>
      </c>
      <c r="I149" s="32">
        <f t="shared" ref="I149" si="71">H149</f>
        <v>0.02</v>
      </c>
      <c r="J149" s="32">
        <f t="shared" ref="J149" si="72">I149</f>
        <v>0.02</v>
      </c>
      <c r="K149" s="32">
        <f t="shared" ref="K149" si="73">J149</f>
        <v>0.02</v>
      </c>
      <c r="L149" s="32">
        <f t="shared" ref="L149" si="74">K149</f>
        <v>0.02</v>
      </c>
      <c r="M149" s="32">
        <f t="shared" ref="M149" si="75">L149</f>
        <v>0.02</v>
      </c>
      <c r="N149" s="20"/>
    </row>
    <row r="150" spans="1:14">
      <c r="A150" s="254" t="s">
        <v>17</v>
      </c>
      <c r="B150" s="199">
        <f t="shared" ref="B150:M150" si="76">B148*B149</f>
        <v>11220.458481915435</v>
      </c>
      <c r="C150" s="199">
        <f t="shared" si="76"/>
        <v>8943.8003056546113</v>
      </c>
      <c r="D150" s="199">
        <f t="shared" si="76"/>
        <v>8214.7325522159954</v>
      </c>
      <c r="E150" s="199">
        <f t="shared" si="76"/>
        <v>7785.2266938359653</v>
      </c>
      <c r="F150" s="199">
        <f t="shared" si="76"/>
        <v>8785.9398879266428</v>
      </c>
      <c r="G150" s="199">
        <f t="shared" si="76"/>
        <v>9489.291900152828</v>
      </c>
      <c r="H150" s="199">
        <f t="shared" si="76"/>
        <v>9415.8125318390212</v>
      </c>
      <c r="I150" s="199">
        <f t="shared" si="76"/>
        <v>9385.4508405501783</v>
      </c>
      <c r="J150" s="199">
        <f t="shared" si="76"/>
        <v>9516.0672440142644</v>
      </c>
      <c r="K150" s="199">
        <f t="shared" si="76"/>
        <v>8274.4982170147723</v>
      </c>
      <c r="L150" s="199">
        <f t="shared" si="76"/>
        <v>7974.6714212939378</v>
      </c>
      <c r="M150" s="199">
        <f t="shared" si="76"/>
        <v>8628.7926642893526</v>
      </c>
      <c r="N150" s="199">
        <f>SUM(B150:M150)</f>
        <v>107634.74274070302</v>
      </c>
    </row>
    <row r="151" spans="1:14">
      <c r="A151" s="254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</row>
    <row r="152" spans="1:14">
      <c r="A152" s="254" t="s">
        <v>25</v>
      </c>
      <c r="B152" s="199">
        <f>B140+B150+B145</f>
        <v>910394.33984717273</v>
      </c>
      <c r="C152" s="199">
        <f t="shared" ref="C152:M152" si="77">C140+C150+C145</f>
        <v>725673.12539989816</v>
      </c>
      <c r="D152" s="199">
        <f t="shared" si="77"/>
        <v>666518.75508914934</v>
      </c>
      <c r="E152" s="199">
        <f t="shared" si="77"/>
        <v>631669.93825776875</v>
      </c>
      <c r="F152" s="199">
        <f t="shared" si="77"/>
        <v>712864.80468670407</v>
      </c>
      <c r="G152" s="199">
        <f t="shared" si="77"/>
        <v>769932.67690269998</v>
      </c>
      <c r="H152" s="199">
        <f t="shared" si="77"/>
        <v>763970.78139582276</v>
      </c>
      <c r="I152" s="199">
        <f t="shared" si="77"/>
        <v>761507.32484971976</v>
      </c>
      <c r="J152" s="199">
        <f t="shared" si="77"/>
        <v>772105.14797758544</v>
      </c>
      <c r="K152" s="199">
        <f t="shared" si="77"/>
        <v>671367.96183392766</v>
      </c>
      <c r="L152" s="199">
        <f t="shared" si="77"/>
        <v>647040.91510952625</v>
      </c>
      <c r="M152" s="199">
        <f t="shared" si="77"/>
        <v>700114.35040244518</v>
      </c>
      <c r="N152" s="199">
        <f>SUM(B152:M152)</f>
        <v>8733160.1217524204</v>
      </c>
    </row>
    <row r="155" spans="1:14">
      <c r="B155" s="24" t="s">
        <v>0</v>
      </c>
      <c r="C155" s="24" t="s">
        <v>1</v>
      </c>
      <c r="D155" s="24" t="s">
        <v>2</v>
      </c>
      <c r="E155" s="24" t="s">
        <v>3</v>
      </c>
      <c r="F155" s="24" t="s">
        <v>4</v>
      </c>
      <c r="G155" s="24" t="s">
        <v>5</v>
      </c>
      <c r="H155" s="24" t="s">
        <v>6</v>
      </c>
      <c r="I155" s="24" t="s">
        <v>7</v>
      </c>
      <c r="J155" s="24" t="s">
        <v>8</v>
      </c>
      <c r="K155" s="24" t="s">
        <v>9</v>
      </c>
      <c r="L155" s="24" t="s">
        <v>10</v>
      </c>
      <c r="M155" s="24" t="s">
        <v>11</v>
      </c>
      <c r="N155" s="24" t="s">
        <v>12</v>
      </c>
    </row>
    <row r="156" spans="1:14">
      <c r="A156" s="255">
        <f>+A131+1</f>
        <v>2020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>
      <c r="A157" s="253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</row>
    <row r="158" spans="1:14">
      <c r="A158" s="254" t="s">
        <v>37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>
      <c r="A159" s="256" t="s">
        <v>48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1">
        <f>SUM(B159:M159)</f>
        <v>0</v>
      </c>
    </row>
    <row r="160" spans="1:14">
      <c r="A160" s="256" t="s">
        <v>49</v>
      </c>
      <c r="B160" s="35">
        <f t="shared" ref="B160:M160" si="78">B161-B159</f>
        <v>559340</v>
      </c>
      <c r="C160" s="35">
        <f t="shared" si="78"/>
        <v>460654</v>
      </c>
      <c r="D160" s="35">
        <f t="shared" si="78"/>
        <v>409494</v>
      </c>
      <c r="E160" s="35">
        <f t="shared" si="78"/>
        <v>388301</v>
      </c>
      <c r="F160" s="35">
        <f t="shared" si="78"/>
        <v>437996</v>
      </c>
      <c r="G160" s="35">
        <f t="shared" si="78"/>
        <v>472662</v>
      </c>
      <c r="H160" s="35">
        <f t="shared" si="78"/>
        <v>468941</v>
      </c>
      <c r="I160" s="35">
        <f t="shared" si="78"/>
        <v>467395</v>
      </c>
      <c r="J160" s="35">
        <f t="shared" si="78"/>
        <v>474218</v>
      </c>
      <c r="K160" s="35">
        <f t="shared" si="78"/>
        <v>412527</v>
      </c>
      <c r="L160" s="35">
        <f t="shared" si="78"/>
        <v>397489</v>
      </c>
      <c r="M160" s="35">
        <f t="shared" si="78"/>
        <v>430098</v>
      </c>
      <c r="N160" s="21">
        <f>SUM(B160:M160)</f>
        <v>5379115</v>
      </c>
    </row>
    <row r="161" spans="1:14">
      <c r="A161" s="256" t="s">
        <v>47</v>
      </c>
      <c r="B161" s="146">
        <f>SECI_Network_Forecast!B19*1000</f>
        <v>559340</v>
      </c>
      <c r="C161" s="146">
        <f>SECI_Network_Forecast!C19*1000</f>
        <v>460654</v>
      </c>
      <c r="D161" s="146">
        <f>SECI_Network_Forecast!D19*1000</f>
        <v>409494</v>
      </c>
      <c r="E161" s="146">
        <f>SECI_Network_Forecast!E19*1000</f>
        <v>388301</v>
      </c>
      <c r="F161" s="146">
        <f>SECI_Network_Forecast!F19*1000</f>
        <v>437996</v>
      </c>
      <c r="G161" s="146">
        <f>SECI_Network_Forecast!G19*1000</f>
        <v>472662</v>
      </c>
      <c r="H161" s="146">
        <f>SECI_Network_Forecast!H19*1000</f>
        <v>468941</v>
      </c>
      <c r="I161" s="146">
        <f>SECI_Network_Forecast!I19*1000</f>
        <v>467395</v>
      </c>
      <c r="J161" s="146">
        <f>SECI_Network_Forecast!J19*1000</f>
        <v>474218</v>
      </c>
      <c r="K161" s="146">
        <f>SECI_Network_Forecast!K19*1000</f>
        <v>412527</v>
      </c>
      <c r="L161" s="146">
        <f>SECI_Network_Forecast!L19*1000</f>
        <v>397489</v>
      </c>
      <c r="M161" s="146">
        <f>SECI_Network_Forecast!M19*1000</f>
        <v>430098</v>
      </c>
      <c r="N161" s="21">
        <f>SUM(B161:M161)</f>
        <v>5379115</v>
      </c>
    </row>
    <row r="162" spans="1:14">
      <c r="A162" s="256" t="s">
        <v>45</v>
      </c>
      <c r="B162" s="28">
        <f t="shared" ref="B162:M162" si="79">B163-B159-B160</f>
        <v>10542.832399388659</v>
      </c>
      <c r="C162" s="28">
        <f t="shared" si="79"/>
        <v>8682.7294956698897</v>
      </c>
      <c r="D162" s="36">
        <f t="shared" si="79"/>
        <v>7718.4299541517976</v>
      </c>
      <c r="E162" s="36">
        <f t="shared" si="79"/>
        <v>7318.9694345389726</v>
      </c>
      <c r="F162" s="36">
        <f t="shared" si="79"/>
        <v>8255.6556291390443</v>
      </c>
      <c r="G162" s="36">
        <f t="shared" si="79"/>
        <v>8909.0646968925139</v>
      </c>
      <c r="H162" s="36">
        <f t="shared" si="79"/>
        <v>8838.928680590936</v>
      </c>
      <c r="I162" s="36">
        <f t="shared" si="79"/>
        <v>8809.7885888945311</v>
      </c>
      <c r="J162" s="36">
        <f t="shared" si="79"/>
        <v>8938.3932755985297</v>
      </c>
      <c r="K162" s="36">
        <f t="shared" si="79"/>
        <v>7775.5980641874485</v>
      </c>
      <c r="L162" s="36">
        <f t="shared" si="79"/>
        <v>7492.1512990320916</v>
      </c>
      <c r="M162" s="36">
        <f t="shared" si="79"/>
        <v>8106.7885888945311</v>
      </c>
      <c r="N162" s="21">
        <f>SUM(B162:M162)</f>
        <v>101389.33010697894</v>
      </c>
    </row>
    <row r="163" spans="1:14">
      <c r="A163" s="256" t="s">
        <v>50</v>
      </c>
      <c r="B163" s="28">
        <f>(B159/(1-0.0213)/(1-'Transmission Formula Rate (7)'!$B$27))+(B160/(1-'Transmission Formula Rate (7)'!$B$27))</f>
        <v>569882.83239938866</v>
      </c>
      <c r="C163" s="28">
        <f>(C159/(1-0.0213)/(1-'Transmission Formula Rate (7)'!$B$27))+(C160/(1-'Transmission Formula Rate (7)'!$B$27))</f>
        <v>469336.72949566989</v>
      </c>
      <c r="D163" s="28">
        <f>(D159/(1-0.0213)/(1-'Transmission Formula Rate (7)'!$B$27))+(D160/(1-'Transmission Formula Rate (7)'!$B$27))</f>
        <v>417212.4299541518</v>
      </c>
      <c r="E163" s="28">
        <f>(E159/(1-0.0213)/(1-'Transmission Formula Rate (7)'!$B$27))+(E160/(1-'Transmission Formula Rate (7)'!$B$27))</f>
        <v>395619.96943453897</v>
      </c>
      <c r="F163" s="28">
        <f>(F159/(1-0.0213)/(1-'Transmission Formula Rate (7)'!$B$27))+(F160/(1-'Transmission Formula Rate (7)'!$B$27))</f>
        <v>446251.65562913904</v>
      </c>
      <c r="G163" s="28">
        <f>(G159/(1-0.0213)/(1-'Transmission Formula Rate (7)'!$B$27))+(G160/(1-'Transmission Formula Rate (7)'!$B$27))</f>
        <v>481571.06469689251</v>
      </c>
      <c r="H163" s="28">
        <f>(H159/(1-0.0213)/(1-'Transmission Formula Rate (7)'!$B$27))+(H160/(1-'Transmission Formula Rate (7)'!$B$27))</f>
        <v>477779.92868059094</v>
      </c>
      <c r="I163" s="28">
        <f>(I159/(1-0.0213)/(1-'Transmission Formula Rate (7)'!$B$27))+(I160/(1-'Transmission Formula Rate (7)'!$B$27))</f>
        <v>476204.78858889453</v>
      </c>
      <c r="J163" s="28">
        <f>(J159/(1-0.0213)/(1-'Transmission Formula Rate (7)'!$B$27))+(J160/(1-'Transmission Formula Rate (7)'!$B$27))</f>
        <v>483156.39327559853</v>
      </c>
      <c r="K163" s="28">
        <f>(K159/(1-0.0213)/(1-'Transmission Formula Rate (7)'!$B$27))+(K160/(1-'Transmission Formula Rate (7)'!$B$27))</f>
        <v>420302.59806418745</v>
      </c>
      <c r="L163" s="28">
        <f>(L159/(1-0.0213)/(1-'Transmission Formula Rate (7)'!$B$27))+(L160/(1-'Transmission Formula Rate (7)'!$B$27))</f>
        <v>404981.15129903209</v>
      </c>
      <c r="M163" s="28">
        <f>(M159/(1-0.0213)/(1-'Transmission Formula Rate (7)'!$B$27))+(M160/(1-'Transmission Formula Rate (7)'!$B$27))</f>
        <v>438204.78858889453</v>
      </c>
      <c r="N163" s="21">
        <f>SUM(B163:M163)</f>
        <v>5480504.3301069802</v>
      </c>
    </row>
    <row r="164" spans="1:14">
      <c r="A164" s="254" t="s">
        <v>20</v>
      </c>
      <c r="B164" s="30">
        <f>B139</f>
        <v>1.59</v>
      </c>
      <c r="C164" s="30">
        <f t="shared" ref="C164:M164" si="80">C139</f>
        <v>1.59</v>
      </c>
      <c r="D164" s="30">
        <f t="shared" si="80"/>
        <v>1.59</v>
      </c>
      <c r="E164" s="30">
        <f t="shared" si="80"/>
        <v>1.59</v>
      </c>
      <c r="F164" s="30">
        <f t="shared" si="80"/>
        <v>1.59</v>
      </c>
      <c r="G164" s="30">
        <f t="shared" si="80"/>
        <v>1.59</v>
      </c>
      <c r="H164" s="30">
        <f t="shared" si="80"/>
        <v>1.59</v>
      </c>
      <c r="I164" s="30">
        <f t="shared" si="80"/>
        <v>1.59</v>
      </c>
      <c r="J164" s="30">
        <f t="shared" si="80"/>
        <v>1.59</v>
      </c>
      <c r="K164" s="30">
        <f t="shared" si="80"/>
        <v>1.59</v>
      </c>
      <c r="L164" s="30">
        <f t="shared" si="80"/>
        <v>1.59</v>
      </c>
      <c r="M164" s="30">
        <f t="shared" si="80"/>
        <v>1.59</v>
      </c>
      <c r="N164" s="20"/>
    </row>
    <row r="165" spans="1:14">
      <c r="A165" s="254" t="s">
        <v>17</v>
      </c>
      <c r="B165" s="199">
        <f>B163*B164</f>
        <v>906113.703515028</v>
      </c>
      <c r="C165" s="199">
        <f t="shared" ref="C165:M165" si="81">C163*C164</f>
        <v>746245.3998981152</v>
      </c>
      <c r="D165" s="199">
        <f t="shared" si="81"/>
        <v>663367.76362710143</v>
      </c>
      <c r="E165" s="199">
        <f t="shared" si="81"/>
        <v>629035.75140091695</v>
      </c>
      <c r="F165" s="199">
        <f t="shared" si="81"/>
        <v>709540.13245033112</v>
      </c>
      <c r="G165" s="199">
        <f t="shared" si="81"/>
        <v>765697.99286805908</v>
      </c>
      <c r="H165" s="199">
        <f t="shared" si="81"/>
        <v>759670.08660213964</v>
      </c>
      <c r="I165" s="199">
        <f t="shared" si="81"/>
        <v>757165.61385634239</v>
      </c>
      <c r="J165" s="199">
        <f t="shared" si="81"/>
        <v>768218.66530820169</v>
      </c>
      <c r="K165" s="199">
        <f t="shared" si="81"/>
        <v>668281.13092205813</v>
      </c>
      <c r="L165" s="199">
        <f t="shared" si="81"/>
        <v>643920.03056546103</v>
      </c>
      <c r="M165" s="199">
        <f t="shared" si="81"/>
        <v>696745.61385634239</v>
      </c>
      <c r="N165" s="199">
        <f>SUM(B165:M165)</f>
        <v>8714001.884870097</v>
      </c>
    </row>
    <row r="166" spans="1:14">
      <c r="A166" s="254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>
      <c r="A167" s="254" t="s">
        <v>141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>
      <c r="A168" s="256" t="str">
        <f>A163</f>
        <v xml:space="preserve">       SECI Load</v>
      </c>
      <c r="B168" s="28">
        <f>B163</f>
        <v>569882.83239938866</v>
      </c>
      <c r="C168" s="28">
        <f t="shared" ref="C168:M168" si="82">C163</f>
        <v>469336.72949566989</v>
      </c>
      <c r="D168" s="28">
        <f t="shared" si="82"/>
        <v>417212.4299541518</v>
      </c>
      <c r="E168" s="28">
        <f t="shared" si="82"/>
        <v>395619.96943453897</v>
      </c>
      <c r="F168" s="28">
        <f t="shared" si="82"/>
        <v>446251.65562913904</v>
      </c>
      <c r="G168" s="28">
        <f t="shared" si="82"/>
        <v>481571.06469689251</v>
      </c>
      <c r="H168" s="28">
        <f t="shared" si="82"/>
        <v>477779.92868059094</v>
      </c>
      <c r="I168" s="28">
        <f t="shared" si="82"/>
        <v>476204.78858889453</v>
      </c>
      <c r="J168" s="28">
        <f t="shared" si="82"/>
        <v>483156.39327559853</v>
      </c>
      <c r="K168" s="28">
        <f t="shared" si="82"/>
        <v>420302.59806418745</v>
      </c>
      <c r="L168" s="28">
        <f t="shared" si="82"/>
        <v>404981.15129903209</v>
      </c>
      <c r="M168" s="28">
        <f t="shared" si="82"/>
        <v>438204.78858889453</v>
      </c>
      <c r="N168" s="21">
        <f>SUM(B168:M168)</f>
        <v>5480504.3301069802</v>
      </c>
    </row>
    <row r="169" spans="1:14">
      <c r="A169" s="254" t="s">
        <v>149</v>
      </c>
      <c r="B169" s="32">
        <f>B144</f>
        <v>1.274E-2</v>
      </c>
      <c r="C169" s="32">
        <f>B169</f>
        <v>1.274E-2</v>
      </c>
      <c r="D169" s="32">
        <f t="shared" ref="D169" si="83">C169</f>
        <v>1.274E-2</v>
      </c>
      <c r="E169" s="32">
        <f t="shared" ref="E169" si="84">D169</f>
        <v>1.274E-2</v>
      </c>
      <c r="F169" s="32">
        <f t="shared" ref="F169" si="85">E169</f>
        <v>1.274E-2</v>
      </c>
      <c r="G169" s="32">
        <f t="shared" ref="G169" si="86">F169</f>
        <v>1.274E-2</v>
      </c>
      <c r="H169" s="32">
        <f t="shared" ref="H169" si="87">G169</f>
        <v>1.274E-2</v>
      </c>
      <c r="I169" s="32">
        <f t="shared" ref="I169" si="88">H169</f>
        <v>1.274E-2</v>
      </c>
      <c r="J169" s="32">
        <f t="shared" ref="J169" si="89">I169</f>
        <v>1.274E-2</v>
      </c>
      <c r="K169" s="32">
        <f t="shared" ref="K169" si="90">J169</f>
        <v>1.274E-2</v>
      </c>
      <c r="L169" s="32">
        <f t="shared" ref="L169" si="91">K169</f>
        <v>1.274E-2</v>
      </c>
      <c r="M169" s="32">
        <f t="shared" ref="M169" si="92">L169</f>
        <v>1.274E-2</v>
      </c>
      <c r="N169" s="20"/>
    </row>
    <row r="170" spans="1:14">
      <c r="A170" s="254" t="s">
        <v>17</v>
      </c>
      <c r="B170" s="199">
        <f>B168*B169</f>
        <v>7260.3072847682115</v>
      </c>
      <c r="C170" s="199">
        <f t="shared" ref="C170:M170" si="93">C168*C169</f>
        <v>5979.3499337748344</v>
      </c>
      <c r="D170" s="199">
        <f t="shared" si="93"/>
        <v>5315.2863576158934</v>
      </c>
      <c r="E170" s="199">
        <f t="shared" si="93"/>
        <v>5040.1984105960264</v>
      </c>
      <c r="F170" s="199">
        <f t="shared" si="93"/>
        <v>5685.2460927152315</v>
      </c>
      <c r="G170" s="199">
        <f t="shared" si="93"/>
        <v>6135.2153642384101</v>
      </c>
      <c r="H170" s="199">
        <f t="shared" si="93"/>
        <v>6086.9162913907285</v>
      </c>
      <c r="I170" s="199">
        <f t="shared" si="93"/>
        <v>6066.8490066225158</v>
      </c>
      <c r="J170" s="199">
        <f t="shared" si="93"/>
        <v>6155.412450331125</v>
      </c>
      <c r="K170" s="199">
        <f t="shared" si="93"/>
        <v>5354.6550993377477</v>
      </c>
      <c r="L170" s="199">
        <f t="shared" si="93"/>
        <v>5159.4598675496691</v>
      </c>
      <c r="M170" s="199">
        <f t="shared" si="93"/>
        <v>5582.729006622516</v>
      </c>
      <c r="N170" s="199">
        <f>SUM(B170:M170)</f>
        <v>69821.625165562902</v>
      </c>
    </row>
    <row r="171" spans="1:14">
      <c r="A171" s="257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>
      <c r="A172" s="254" t="s">
        <v>38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>
      <c r="A173" s="256" t="str">
        <f>A163</f>
        <v xml:space="preserve">       SECI Load</v>
      </c>
      <c r="B173" s="28">
        <f>B163</f>
        <v>569882.83239938866</v>
      </c>
      <c r="C173" s="28">
        <f t="shared" ref="C173:M173" si="94">C163</f>
        <v>469336.72949566989</v>
      </c>
      <c r="D173" s="28">
        <f t="shared" si="94"/>
        <v>417212.4299541518</v>
      </c>
      <c r="E173" s="28">
        <f t="shared" si="94"/>
        <v>395619.96943453897</v>
      </c>
      <c r="F173" s="28">
        <f t="shared" si="94"/>
        <v>446251.65562913904</v>
      </c>
      <c r="G173" s="28">
        <f t="shared" si="94"/>
        <v>481571.06469689251</v>
      </c>
      <c r="H173" s="28">
        <f t="shared" si="94"/>
        <v>477779.92868059094</v>
      </c>
      <c r="I173" s="28">
        <f t="shared" si="94"/>
        <v>476204.78858889453</v>
      </c>
      <c r="J173" s="28">
        <f t="shared" si="94"/>
        <v>483156.39327559853</v>
      </c>
      <c r="K173" s="28">
        <f t="shared" si="94"/>
        <v>420302.59806418745</v>
      </c>
      <c r="L173" s="28">
        <f t="shared" si="94"/>
        <v>404981.15129903209</v>
      </c>
      <c r="M173" s="28">
        <f t="shared" si="94"/>
        <v>438204.78858889453</v>
      </c>
      <c r="N173" s="21">
        <f>SUM(B173:M173)</f>
        <v>5480504.3301069802</v>
      </c>
    </row>
    <row r="174" spans="1:14">
      <c r="A174" s="254" t="s">
        <v>150</v>
      </c>
      <c r="B174" s="32">
        <f>B149</f>
        <v>0.02</v>
      </c>
      <c r="C174" s="32">
        <f>B174</f>
        <v>0.02</v>
      </c>
      <c r="D174" s="32">
        <f t="shared" ref="D174" si="95">C174</f>
        <v>0.02</v>
      </c>
      <c r="E174" s="32">
        <f t="shared" ref="E174" si="96">D174</f>
        <v>0.02</v>
      </c>
      <c r="F174" s="32">
        <f t="shared" ref="F174" si="97">E174</f>
        <v>0.02</v>
      </c>
      <c r="G174" s="32">
        <f t="shared" ref="G174" si="98">F174</f>
        <v>0.02</v>
      </c>
      <c r="H174" s="32">
        <f t="shared" ref="H174" si="99">G174</f>
        <v>0.02</v>
      </c>
      <c r="I174" s="32">
        <f t="shared" ref="I174" si="100">H174</f>
        <v>0.02</v>
      </c>
      <c r="J174" s="32">
        <f t="shared" ref="J174" si="101">I174</f>
        <v>0.02</v>
      </c>
      <c r="K174" s="32">
        <f t="shared" ref="K174" si="102">J174</f>
        <v>0.02</v>
      </c>
      <c r="L174" s="32">
        <f t="shared" ref="L174" si="103">K174</f>
        <v>0.02</v>
      </c>
      <c r="M174" s="32">
        <f t="shared" ref="M174" si="104">L174</f>
        <v>0.02</v>
      </c>
      <c r="N174" s="20"/>
    </row>
    <row r="175" spans="1:14">
      <c r="A175" s="254" t="s">
        <v>17</v>
      </c>
      <c r="B175" s="199">
        <f t="shared" ref="B175:M175" si="105">B173*B174</f>
        <v>11397.656647987773</v>
      </c>
      <c r="C175" s="199">
        <f t="shared" si="105"/>
        <v>9386.7345899133979</v>
      </c>
      <c r="D175" s="199">
        <f t="shared" si="105"/>
        <v>8344.2485990830355</v>
      </c>
      <c r="E175" s="199">
        <f t="shared" si="105"/>
        <v>7912.3993886907792</v>
      </c>
      <c r="F175" s="199">
        <f t="shared" si="105"/>
        <v>8925.0331125827815</v>
      </c>
      <c r="G175" s="199">
        <f t="shared" si="105"/>
        <v>9631.4212939378504</v>
      </c>
      <c r="H175" s="199">
        <f t="shared" si="105"/>
        <v>9555.5985736118182</v>
      </c>
      <c r="I175" s="199">
        <f t="shared" si="105"/>
        <v>9524.0957717778911</v>
      </c>
      <c r="J175" s="199">
        <f t="shared" si="105"/>
        <v>9663.1278655119713</v>
      </c>
      <c r="K175" s="199">
        <f t="shared" si="105"/>
        <v>8406.0519612837488</v>
      </c>
      <c r="L175" s="199">
        <f t="shared" si="105"/>
        <v>8099.6230259806416</v>
      </c>
      <c r="M175" s="199">
        <f t="shared" si="105"/>
        <v>8764.0957717778911</v>
      </c>
      <c r="N175" s="199">
        <f>SUM(B175:M175)</f>
        <v>109610.08660213958</v>
      </c>
    </row>
    <row r="176" spans="1:14">
      <c r="A176" s="254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</row>
    <row r="177" spans="1:14">
      <c r="A177" s="254" t="s">
        <v>25</v>
      </c>
      <c r="B177" s="199">
        <f>B165+B175+B170</f>
        <v>924771.66744778398</v>
      </c>
      <c r="C177" s="199">
        <f t="shared" ref="C177:M177" si="106">C165+C175+C170</f>
        <v>761611.48442180338</v>
      </c>
      <c r="D177" s="199">
        <f t="shared" si="106"/>
        <v>677027.29858380032</v>
      </c>
      <c r="E177" s="199">
        <f t="shared" si="106"/>
        <v>641988.34920020378</v>
      </c>
      <c r="F177" s="199">
        <f t="shared" si="106"/>
        <v>724150.41165562905</v>
      </c>
      <c r="G177" s="199">
        <f t="shared" si="106"/>
        <v>781464.62952623528</v>
      </c>
      <c r="H177" s="199">
        <f t="shared" si="106"/>
        <v>775312.60146714223</v>
      </c>
      <c r="I177" s="199">
        <f t="shared" si="106"/>
        <v>772756.55863474286</v>
      </c>
      <c r="J177" s="199">
        <f t="shared" si="106"/>
        <v>784037.20562404476</v>
      </c>
      <c r="K177" s="199">
        <f t="shared" si="106"/>
        <v>682041.83798267972</v>
      </c>
      <c r="L177" s="199">
        <f t="shared" si="106"/>
        <v>657179.1134589914</v>
      </c>
      <c r="M177" s="199">
        <f t="shared" si="106"/>
        <v>711092.43863474287</v>
      </c>
      <c r="N177" s="199">
        <f>SUM(B177:M177)</f>
        <v>8893433.5966377985</v>
      </c>
    </row>
  </sheetData>
  <phoneticPr fontId="23" type="noConversion"/>
  <pageMargins left="0.21" right="0.2" top="0.61" bottom="0.46" header="0.38" footer="0.18"/>
  <pageSetup pageOrder="overThenDown" orientation="landscape" r:id="rId1"/>
  <headerFooter alignWithMargins="0">
    <oddHeader>&amp;A</oddHeader>
    <oddFooter>&amp;Z&amp;F</oddFooter>
  </headerFooter>
  <rowBreaks count="5" manualBreakCount="5">
    <brk id="31" max="16383" man="1"/>
    <brk id="55" max="16383" man="1"/>
    <brk id="79" max="16383" man="1"/>
    <brk id="103" max="16383" man="1"/>
    <brk id="128" max="1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O20"/>
  <sheetViews>
    <sheetView zoomScale="85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RowHeight="15" customHeight="1"/>
  <cols>
    <col min="1" max="1" width="18.6640625" customWidth="1"/>
    <col min="2" max="13" width="10.6640625" customWidth="1"/>
    <col min="14" max="14" width="16.6640625" customWidth="1"/>
  </cols>
  <sheetData>
    <row r="1" spans="1:15" ht="15" customHeight="1">
      <c r="A1" s="480" t="s">
        <v>511</v>
      </c>
    </row>
    <row r="2" spans="1:15" ht="15" customHeight="1">
      <c r="A2" s="480" t="s">
        <v>473</v>
      </c>
    </row>
    <row r="5" spans="1:15" ht="15" customHeight="1">
      <c r="A5" t="s">
        <v>172</v>
      </c>
      <c r="O5" s="271"/>
    </row>
    <row r="7" spans="1:15" ht="15" customHeight="1"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5" ht="15" customHeight="1">
      <c r="A8" s="246" t="s">
        <v>173</v>
      </c>
      <c r="B8" s="248">
        <f>$N$8/12</f>
        <v>209049.75</v>
      </c>
      <c r="C8" s="248">
        <f t="shared" ref="C8:M8" si="0">$N$8/12</f>
        <v>209049.75</v>
      </c>
      <c r="D8" s="248">
        <f t="shared" si="0"/>
        <v>209049.75</v>
      </c>
      <c r="E8" s="248">
        <f t="shared" si="0"/>
        <v>209049.75</v>
      </c>
      <c r="F8" s="248">
        <f t="shared" si="0"/>
        <v>209049.75</v>
      </c>
      <c r="G8" s="248">
        <f t="shared" si="0"/>
        <v>209049.75</v>
      </c>
      <c r="H8" s="248">
        <f t="shared" si="0"/>
        <v>209049.75</v>
      </c>
      <c r="I8" s="248">
        <f t="shared" si="0"/>
        <v>209049.75</v>
      </c>
      <c r="J8" s="248">
        <f t="shared" si="0"/>
        <v>209049.75</v>
      </c>
      <c r="K8" s="248">
        <f t="shared" si="0"/>
        <v>209049.75</v>
      </c>
      <c r="L8" s="248">
        <f t="shared" si="0"/>
        <v>209049.75</v>
      </c>
      <c r="M8" s="248">
        <f t="shared" si="0"/>
        <v>209049.75</v>
      </c>
      <c r="N8" s="248">
        <f>2508597</f>
        <v>2508597</v>
      </c>
    </row>
    <row r="9" spans="1:15" ht="15" customHeight="1">
      <c r="A9" s="246" t="s">
        <v>174</v>
      </c>
      <c r="B9" s="248">
        <f>$N$9/12</f>
        <v>357377.16666666669</v>
      </c>
      <c r="C9" s="248">
        <f t="shared" ref="C9:M9" si="1">$N$9/12</f>
        <v>357377.16666666669</v>
      </c>
      <c r="D9" s="248">
        <f t="shared" si="1"/>
        <v>357377.16666666669</v>
      </c>
      <c r="E9" s="248">
        <f t="shared" si="1"/>
        <v>357377.16666666669</v>
      </c>
      <c r="F9" s="248">
        <f t="shared" si="1"/>
        <v>357377.16666666669</v>
      </c>
      <c r="G9" s="248">
        <f t="shared" si="1"/>
        <v>357377.16666666669</v>
      </c>
      <c r="H9" s="248">
        <f t="shared" si="1"/>
        <v>357377.16666666669</v>
      </c>
      <c r="I9" s="248">
        <f t="shared" si="1"/>
        <v>357377.16666666669</v>
      </c>
      <c r="J9" s="248">
        <f t="shared" si="1"/>
        <v>357377.16666666669</v>
      </c>
      <c r="K9" s="248">
        <f t="shared" si="1"/>
        <v>357377.16666666669</v>
      </c>
      <c r="L9" s="248">
        <f t="shared" si="1"/>
        <v>357377.16666666669</v>
      </c>
      <c r="M9" s="248">
        <f t="shared" si="1"/>
        <v>357377.16666666669</v>
      </c>
      <c r="N9" s="248">
        <f>4288526</f>
        <v>4288526</v>
      </c>
    </row>
    <row r="10" spans="1:15" ht="15" customHeight="1">
      <c r="A10" s="247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</row>
    <row r="11" spans="1:15" ht="15" customHeight="1">
      <c r="A11" s="246" t="s">
        <v>175</v>
      </c>
      <c r="B11" s="248">
        <f t="shared" ref="B11:N11" si="2">SUM(B8:B9)</f>
        <v>566426.91666666674</v>
      </c>
      <c r="C11" s="248">
        <f t="shared" si="2"/>
        <v>566426.91666666674</v>
      </c>
      <c r="D11" s="248">
        <f t="shared" si="2"/>
        <v>566426.91666666674</v>
      </c>
      <c r="E11" s="248">
        <f t="shared" si="2"/>
        <v>566426.91666666674</v>
      </c>
      <c r="F11" s="248">
        <f t="shared" si="2"/>
        <v>566426.91666666674</v>
      </c>
      <c r="G11" s="248">
        <f t="shared" si="2"/>
        <v>566426.91666666674</v>
      </c>
      <c r="H11" s="248">
        <f t="shared" si="2"/>
        <v>566426.91666666674</v>
      </c>
      <c r="I11" s="248">
        <f t="shared" si="2"/>
        <v>566426.91666666674</v>
      </c>
      <c r="J11" s="248">
        <f t="shared" si="2"/>
        <v>566426.91666666674</v>
      </c>
      <c r="K11" s="248">
        <f t="shared" si="2"/>
        <v>566426.91666666674</v>
      </c>
      <c r="L11" s="248">
        <f t="shared" si="2"/>
        <v>566426.91666666674</v>
      </c>
      <c r="M11" s="248">
        <f t="shared" si="2"/>
        <v>566426.91666666674</v>
      </c>
      <c r="N11" s="248">
        <f t="shared" si="2"/>
        <v>6797123</v>
      </c>
    </row>
    <row r="14" spans="1:15" ht="15" customHeight="1">
      <c r="A14" s="271" t="s">
        <v>274</v>
      </c>
    </row>
    <row r="16" spans="1:15" ht="15" customHeight="1">
      <c r="A16" s="394" t="s">
        <v>332</v>
      </c>
      <c r="B16" s="394"/>
      <c r="C16" s="394"/>
    </row>
    <row r="19" spans="2:14" ht="15" customHeight="1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15" customHeight="1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5"/>
    </row>
  </sheetData>
  <phoneticPr fontId="2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8"/>
  <sheetViews>
    <sheetView zoomScale="80" zoomScaleNormal="80" workbookViewId="0">
      <selection activeCell="A2" sqref="A1:A2"/>
    </sheetView>
  </sheetViews>
  <sheetFormatPr defaultColWidth="9" defaultRowHeight="13.2"/>
  <cols>
    <col min="1" max="1" width="35.21875" style="469" customWidth="1"/>
    <col min="2" max="2" width="10.77734375" style="469" bestFit="1" customWidth="1"/>
    <col min="3" max="13" width="9.33203125" style="469" bestFit="1" customWidth="1"/>
    <col min="14" max="14" width="10.109375" style="469" bestFit="1" customWidth="1"/>
    <col min="15" max="15" width="9.21875" style="469" bestFit="1" customWidth="1"/>
    <col min="16" max="16384" width="9" style="469"/>
  </cols>
  <sheetData>
    <row r="1" spans="1:15">
      <c r="A1" s="480" t="s">
        <v>476</v>
      </c>
    </row>
    <row r="2" spans="1:15">
      <c r="A2" s="480" t="s">
        <v>473</v>
      </c>
    </row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427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43101</v>
      </c>
      <c r="C9" s="473">
        <v>43132</v>
      </c>
      <c r="D9" s="473">
        <v>43160</v>
      </c>
      <c r="E9" s="473">
        <v>43191</v>
      </c>
      <c r="F9" s="473">
        <v>43221</v>
      </c>
      <c r="G9" s="473">
        <v>43252</v>
      </c>
      <c r="H9" s="473">
        <v>43282</v>
      </c>
      <c r="I9" s="473">
        <v>43313</v>
      </c>
      <c r="J9" s="473">
        <v>43344</v>
      </c>
      <c r="K9" s="473">
        <v>43374</v>
      </c>
      <c r="L9" s="473">
        <v>43405</v>
      </c>
      <c r="M9" s="473">
        <v>43435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f>'Blountstown Network'!B80/(1+'Transmission Formula Rate (7)'!$B$27)</f>
        <v>0</v>
      </c>
      <c r="C11" s="478">
        <f>'Blountstown Network'!C80/(1+'Transmission Formula Rate (7)'!$B$27)</f>
        <v>0</v>
      </c>
      <c r="D11" s="478">
        <f>'Blountstown Network'!D80/(1+'Transmission Formula Rate (7)'!$B$27)</f>
        <v>0</v>
      </c>
      <c r="E11" s="478">
        <f>'Blountstown Network'!E80/(1+'Transmission Formula Rate (7)'!$B$27)</f>
        <v>0</v>
      </c>
      <c r="F11" s="478">
        <f>'Blountstown Network'!F80/(1+'Transmission Formula Rate (7)'!$B$27)</f>
        <v>0</v>
      </c>
      <c r="G11" s="478">
        <f>'Blountstown Network'!G80/(1+'Transmission Formula Rate (7)'!$B$27)</f>
        <v>0</v>
      </c>
      <c r="H11" s="478">
        <f>'Blountstown Network'!H80/(1+'Transmission Formula Rate (7)'!$B$27)</f>
        <v>0</v>
      </c>
      <c r="I11" s="478">
        <f>'Blountstown Network'!I80/(1+'Transmission Formula Rate (7)'!$B$27)</f>
        <v>0</v>
      </c>
      <c r="J11" s="478">
        <f>'Blountstown Network'!J80/(1+'Transmission Formula Rate (7)'!$B$27)</f>
        <v>0</v>
      </c>
      <c r="K11" s="478">
        <f>'Blountstown Network'!K80/(1+'Transmission Formula Rate (7)'!$B$27)</f>
        <v>0</v>
      </c>
      <c r="L11" s="478">
        <f>'Blountstown Network'!L80/(1+'Transmission Formula Rate (7)'!$B$27)</f>
        <v>0</v>
      </c>
      <c r="M11" s="478">
        <f>'Blountstown Network'!M80/(1+'Transmission Formula Rate (7)'!$B$27)</f>
        <v>0</v>
      </c>
      <c r="N11" s="489">
        <f t="shared" ref="N11:N22" si="0">SUM(B11:M11)</f>
        <v>0</v>
      </c>
      <c r="O11" s="479">
        <f t="shared" ref="O11:O23" si="1">AVERAGE(B11:M11)</f>
        <v>0</v>
      </c>
    </row>
    <row r="12" spans="1:15">
      <c r="A12" s="469" t="s">
        <v>397</v>
      </c>
      <c r="B12" s="478">
        <f>'Winter Park Network'!B58/(1+'Transmission Formula Rate (7)'!$B$27)</f>
        <v>58910.162002945508</v>
      </c>
      <c r="C12" s="478">
        <f>'Winter Park Network'!C58/(1+'Transmission Formula Rate (7)'!$B$27)</f>
        <v>58910.162002945508</v>
      </c>
      <c r="D12" s="478">
        <f>'Winter Park Network'!D58/(1+'Transmission Formula Rate (7)'!$B$27)</f>
        <v>43167.277859597445</v>
      </c>
      <c r="E12" s="478">
        <f>'Winter Park Network'!E58/(1+'Transmission Formula Rate (7)'!$B$27)</f>
        <v>46480.410898379967</v>
      </c>
      <c r="F12" s="478">
        <f>'Winter Park Network'!F58/(1+'Transmission Formula Rate (7)'!$B$27)</f>
        <v>63874.35935198822</v>
      </c>
      <c r="G12" s="478">
        <f>'Winter Park Network'!G58/(1+'Transmission Formula Rate (7)'!$B$27)</f>
        <v>65530.925871379477</v>
      </c>
      <c r="H12" s="478">
        <f>'Winter Park Network'!H58/(1+'Transmission Formula Rate (7)'!$B$27)</f>
        <v>63046.076092292577</v>
      </c>
      <c r="I12" s="478">
        <f>'Winter Park Network'!I58/(1+'Transmission Formula Rate (7)'!$B$27)</f>
        <v>70500.625429553256</v>
      </c>
      <c r="J12" s="478">
        <f>'Winter Park Network'!J58/(1+'Transmission Formula Rate (7)'!$B$27)</f>
        <v>58910.162002945508</v>
      </c>
      <c r="K12" s="478">
        <f>'Winter Park Network'!K58/(1+'Transmission Formula Rate (7)'!$B$27)</f>
        <v>59732.943053510069</v>
      </c>
      <c r="L12" s="478">
        <f>'Winter Park Network'!L58/(1+'Transmission Formula Rate (7)'!$B$27)</f>
        <v>42338.994599901816</v>
      </c>
      <c r="M12" s="478">
        <f>'Winter Park Network'!M58/(1+'Transmission Formula Rate (7)'!$B$27)</f>
        <v>42338.994599901816</v>
      </c>
      <c r="N12" s="489">
        <f t="shared" si="0"/>
        <v>673741.09376534121</v>
      </c>
      <c r="O12" s="479">
        <f t="shared" si="1"/>
        <v>56145.091147111765</v>
      </c>
    </row>
    <row r="13" spans="1:15">
      <c r="A13" s="469" t="s">
        <v>398</v>
      </c>
      <c r="B13" s="478">
        <f>'LCEC Network'!B82/(1+'Transmission Formula Rate (7)'!$B$27)</f>
        <v>537241.20199190732</v>
      </c>
      <c r="C13" s="478">
        <f>'LCEC Network'!C82/(1+'Transmission Formula Rate (7)'!$B$27)</f>
        <v>732363.22598528466</v>
      </c>
      <c r="D13" s="478">
        <f>'LCEC Network'!D82/(1+'Transmission Formula Rate (7)'!$B$27)</f>
        <v>657453.17939637578</v>
      </c>
      <c r="E13" s="478">
        <f>'LCEC Network'!E82/(1+'Transmission Formula Rate (7)'!$B$27)</f>
        <v>605918.30963617552</v>
      </c>
      <c r="F13" s="478">
        <f>'LCEC Network'!F82/(1+'Transmission Formula Rate (7)'!$B$27)</f>
        <v>596674.96056205675</v>
      </c>
      <c r="G13" s="478">
        <f>'LCEC Network'!G82/(1+'Transmission Formula Rate (7)'!$B$27)</f>
        <v>690656.36144635908</v>
      </c>
      <c r="H13" s="478">
        <f>'LCEC Network'!H82/(1+'Transmission Formula Rate (7)'!$B$27)</f>
        <v>757220.70583907375</v>
      </c>
      <c r="I13" s="478">
        <f>'LCEC Network'!I82/(1+'Transmission Formula Rate (7)'!$B$27)</f>
        <v>739686.50655638718</v>
      </c>
      <c r="J13" s="478">
        <f>'LCEC Network'!J82/(1+'Transmission Formula Rate (7)'!$B$27)</f>
        <v>773624.53198215237</v>
      </c>
      <c r="K13" s="478">
        <f>'LCEC Network'!K82/(1+'Transmission Formula Rate (7)'!$B$27)</f>
        <v>664365.3365010398</v>
      </c>
      <c r="L13" s="478">
        <f>'LCEC Network'!L82/(1+'Transmission Formula Rate (7)'!$B$27)</f>
        <v>698159.676932003</v>
      </c>
      <c r="M13" s="478">
        <f>'LCEC Network'!M82/(1+'Transmission Formula Rate (7)'!$B$27)</f>
        <v>572712.51035478432</v>
      </c>
      <c r="N13" s="489">
        <f t="shared" si="0"/>
        <v>8026076.5071836002</v>
      </c>
      <c r="O13" s="479">
        <f t="shared" si="1"/>
        <v>668839.70893196668</v>
      </c>
    </row>
    <row r="14" spans="1:15">
      <c r="A14" s="469" t="s">
        <v>399</v>
      </c>
      <c r="B14" s="478">
        <f>'FKEC Network'!B82/(1+'Transmission Formula Rate (7)'!$B$27)</f>
        <v>114102.39222238011</v>
      </c>
      <c r="C14" s="478">
        <f>'FKEC Network'!C82/(1+'Transmission Formula Rate (7)'!$B$27)</f>
        <v>111401.92956334174</v>
      </c>
      <c r="D14" s="478">
        <f>'FKEC Network'!D82/(1+'Transmission Formula Rate (7)'!$B$27)</f>
        <v>118535.65169487016</v>
      </c>
      <c r="E14" s="478">
        <f>'FKEC Network'!E82/(1+'Transmission Formula Rate (7)'!$B$27)</f>
        <v>112486.83532782091</v>
      </c>
      <c r="F14" s="478">
        <f>'FKEC Network'!F82/(1+'Transmission Formula Rate (7)'!$B$27)</f>
        <v>133584.0419202573</v>
      </c>
      <c r="G14" s="478">
        <f>'FKEC Network'!G82/(1+'Transmission Formula Rate (7)'!$B$27)</f>
        <v>141998.47246095104</v>
      </c>
      <c r="H14" s="478">
        <f>'FKEC Network'!H82/(1+'Transmission Formula Rate (7)'!$B$27)</f>
        <v>146138.46678934194</v>
      </c>
      <c r="I14" s="478">
        <f>'FKEC Network'!I82/(1+'Transmission Formula Rate (7)'!$B$27)</f>
        <v>158305.11666188302</v>
      </c>
      <c r="J14" s="478">
        <f>'FKEC Network'!J82/(1+'Transmission Formula Rate (7)'!$B$27)</f>
        <v>154424.97670816237</v>
      </c>
      <c r="K14" s="478">
        <f>'FKEC Network'!K82/(1+'Transmission Formula Rate (7)'!$B$27)</f>
        <v>142463.52081389577</v>
      </c>
      <c r="L14" s="478">
        <f>'FKEC Network'!L82/(1+'Transmission Formula Rate (7)'!$B$27)</f>
        <v>136206.69167156809</v>
      </c>
      <c r="M14" s="478">
        <f>'FKEC Network'!M82/(1+'Transmission Formula Rate (7)'!$B$27)</f>
        <v>120839.30400966034</v>
      </c>
      <c r="N14" s="489">
        <f t="shared" si="0"/>
        <v>1590487.3998441331</v>
      </c>
      <c r="O14" s="479">
        <f t="shared" si="1"/>
        <v>132540.61665367775</v>
      </c>
    </row>
    <row r="15" spans="1:15">
      <c r="A15" s="469" t="s">
        <v>400</v>
      </c>
      <c r="B15" s="478">
        <f>'Wauchula Network'!B82/(1+'Transmission Formula Rate (7)'!$B$27)</f>
        <v>0</v>
      </c>
      <c r="C15" s="478">
        <f>'Wauchula Network'!C82/(1+'Transmission Formula Rate (7)'!$B$27)</f>
        <v>0</v>
      </c>
      <c r="D15" s="478">
        <f>'Wauchula Network'!D82/(1+'Transmission Formula Rate (7)'!$B$27)</f>
        <v>0</v>
      </c>
      <c r="E15" s="478">
        <f>'Wauchula Network'!E82/(1+'Transmission Formula Rate (7)'!$B$27)</f>
        <v>0</v>
      </c>
      <c r="F15" s="478">
        <f>'Wauchula Network'!F82/(1+'Transmission Formula Rate (7)'!$B$27)</f>
        <v>0</v>
      </c>
      <c r="G15" s="478">
        <f>'Wauchula Network'!G82/(1+'Transmission Formula Rate (7)'!$B$27)</f>
        <v>0</v>
      </c>
      <c r="H15" s="478">
        <f>'Wauchula Network'!H82/(1+'Transmission Formula Rate (7)'!$B$27)</f>
        <v>0</v>
      </c>
      <c r="I15" s="478">
        <f>'Wauchula Network'!I82/(1+'Transmission Formula Rate (7)'!$B$27)</f>
        <v>0</v>
      </c>
      <c r="J15" s="478">
        <f>'Wauchula Network'!J82/(1+'Transmission Formula Rate (7)'!$B$27)</f>
        <v>0</v>
      </c>
      <c r="K15" s="478">
        <f>'Wauchula Network'!K82/(1+'Transmission Formula Rate (7)'!$B$27)</f>
        <v>0</v>
      </c>
      <c r="L15" s="478">
        <f>'Wauchula Network'!L82/(1+'Transmission Formula Rate (7)'!$B$27)</f>
        <v>0</v>
      </c>
      <c r="M15" s="478">
        <f>'Wauchula Network'!M82/(1+'Transmission Formula Rate (7)'!$B$27)</f>
        <v>0</v>
      </c>
      <c r="N15" s="489">
        <f t="shared" si="0"/>
        <v>0</v>
      </c>
      <c r="O15" s="479">
        <f t="shared" si="1"/>
        <v>0</v>
      </c>
    </row>
    <row r="16" spans="1:15">
      <c r="A16" s="469" t="s">
        <v>401</v>
      </c>
      <c r="B16" s="478">
        <f>'Vero Beach Network'!B111</f>
        <v>180000</v>
      </c>
      <c r="C16" s="478">
        <f>'Vero Beach Network'!C111</f>
        <v>157000</v>
      </c>
      <c r="D16" s="478">
        <f>'Vero Beach Network'!D111</f>
        <v>125000</v>
      </c>
      <c r="E16" s="478">
        <f>'Vero Beach Network'!E111</f>
        <v>129000</v>
      </c>
      <c r="F16" s="478">
        <f>'Vero Beach Network'!F111</f>
        <v>143000</v>
      </c>
      <c r="G16" s="478">
        <f>'Vero Beach Network'!G111</f>
        <v>157000</v>
      </c>
      <c r="H16" s="478">
        <f>'Vero Beach Network'!H111</f>
        <v>155000</v>
      </c>
      <c r="I16" s="478">
        <f>'Vero Beach Network'!I111</f>
        <v>166000</v>
      </c>
      <c r="J16" s="478">
        <f>'Vero Beach Network'!J111</f>
        <v>157000</v>
      </c>
      <c r="K16" s="478">
        <f>'Vero Beach Network'!K111</f>
        <v>148000</v>
      </c>
      <c r="L16" s="478">
        <f>'Vero Beach Network'!L111</f>
        <v>126000</v>
      </c>
      <c r="M16" s="478">
        <f>'Vero Beach Network'!M111</f>
        <v>142000</v>
      </c>
      <c r="N16" s="489">
        <f t="shared" si="0"/>
        <v>1785000</v>
      </c>
      <c r="O16" s="479">
        <f t="shared" si="1"/>
        <v>148750</v>
      </c>
    </row>
    <row r="17" spans="1:15">
      <c r="A17" s="469" t="s">
        <v>292</v>
      </c>
      <c r="B17" s="478">
        <f>'FMPA Network'!B112</f>
        <v>427200.00000000006</v>
      </c>
      <c r="C17" s="478">
        <f>'FMPA Network'!C112</f>
        <v>398200</v>
      </c>
      <c r="D17" s="478">
        <f>'FMPA Network'!D112</f>
        <v>348300</v>
      </c>
      <c r="E17" s="478">
        <f>'FMPA Network'!E112</f>
        <v>374200</v>
      </c>
      <c r="F17" s="478">
        <f>'FMPA Network'!F112</f>
        <v>422200</v>
      </c>
      <c r="G17" s="478">
        <f>'FMPA Network'!G112</f>
        <v>459200</v>
      </c>
      <c r="H17" s="478">
        <f>'FMPA Network'!H112</f>
        <v>475100</v>
      </c>
      <c r="I17" s="478">
        <f>'FMPA Network'!I112</f>
        <v>483200</v>
      </c>
      <c r="J17" s="478">
        <f>'FMPA Network'!J112</f>
        <v>440800</v>
      </c>
      <c r="K17" s="478">
        <f>'FMPA Network'!K112</f>
        <v>407300</v>
      </c>
      <c r="L17" s="478">
        <f>'FMPA Network'!L112</f>
        <v>364700</v>
      </c>
      <c r="M17" s="478">
        <f>'FMPA Network'!M112</f>
        <v>350000</v>
      </c>
      <c r="N17" s="489">
        <f t="shared" si="0"/>
        <v>4950400</v>
      </c>
      <c r="O17" s="479">
        <f t="shared" si="1"/>
        <v>412533.33333333331</v>
      </c>
    </row>
    <row r="18" spans="1:15">
      <c r="A18" s="469" t="s">
        <v>402</v>
      </c>
      <c r="B18" s="478">
        <f>'SECI Network'!B111</f>
        <v>545059</v>
      </c>
      <c r="C18" s="478">
        <f>'SECI Network'!C111</f>
        <v>434335</v>
      </c>
      <c r="D18" s="478">
        <f>'SECI Network'!D111</f>
        <v>399322</v>
      </c>
      <c r="E18" s="478">
        <f>'SECI Network'!E111</f>
        <v>378072</v>
      </c>
      <c r="F18" s="478">
        <f>'SECI Network'!F111</f>
        <v>426788</v>
      </c>
      <c r="G18" s="478">
        <f>'SECI Network'!G111</f>
        <v>458515</v>
      </c>
      <c r="H18" s="478">
        <f>'SECI Network'!H111</f>
        <v>454939</v>
      </c>
      <c r="I18" s="478">
        <f>'SECI Network'!I111</f>
        <v>453511</v>
      </c>
      <c r="J18" s="478">
        <f>'SECI Network'!J111</f>
        <v>459480</v>
      </c>
      <c r="K18" s="478">
        <f>'SECI Network'!K111</f>
        <v>399421</v>
      </c>
      <c r="L18" s="478">
        <f>'SECI Network'!L111</f>
        <v>385009</v>
      </c>
      <c r="M18" s="478">
        <f>'SECI Network'!M111</f>
        <v>416522</v>
      </c>
      <c r="N18" s="489">
        <f t="shared" si="0"/>
        <v>5210973</v>
      </c>
      <c r="O18" s="479">
        <f t="shared" si="1"/>
        <v>434247.75</v>
      </c>
    </row>
    <row r="19" spans="1:15">
      <c r="A19" s="469" t="s">
        <v>44</v>
      </c>
      <c r="B19" s="478">
        <f>'Georgia Trans Network'!B100</f>
        <v>18911</v>
      </c>
      <c r="C19" s="478">
        <f>'Georgia Trans Network'!C100</f>
        <v>18911</v>
      </c>
      <c r="D19" s="478">
        <f>'Georgia Trans Network'!D100</f>
        <v>18911</v>
      </c>
      <c r="E19" s="478">
        <f>'Georgia Trans Network'!E100</f>
        <v>18911</v>
      </c>
      <c r="F19" s="478">
        <f>'Georgia Trans Network'!F100</f>
        <v>18911</v>
      </c>
      <c r="G19" s="478">
        <f>'Georgia Trans Network'!G100</f>
        <v>22891</v>
      </c>
      <c r="H19" s="478">
        <f>'Georgia Trans Network'!H100</f>
        <v>22891</v>
      </c>
      <c r="I19" s="478">
        <f>'Georgia Trans Network'!I100</f>
        <v>22891</v>
      </c>
      <c r="J19" s="478">
        <f>'Georgia Trans Network'!J100</f>
        <v>22891</v>
      </c>
      <c r="K19" s="478">
        <f>'Georgia Trans Network'!K100</f>
        <v>25884</v>
      </c>
      <c r="L19" s="478">
        <f>'Georgia Trans Network'!L100</f>
        <v>25884</v>
      </c>
      <c r="M19" s="478">
        <f>'Georgia Trans Network'!M100</f>
        <v>25884</v>
      </c>
      <c r="N19" s="489">
        <f t="shared" si="0"/>
        <v>263771</v>
      </c>
      <c r="O19" s="479">
        <f t="shared" si="1"/>
        <v>21980.916666666668</v>
      </c>
    </row>
    <row r="20" spans="1:15">
      <c r="A20" s="469" t="s">
        <v>403</v>
      </c>
      <c r="B20" s="478">
        <f>'Lake Worth Forecast'!E14</f>
        <v>69796.943041193677</v>
      </c>
      <c r="C20" s="478">
        <f>'Lake Worth Forecast'!F14</f>
        <v>68195.177280064745</v>
      </c>
      <c r="D20" s="478">
        <f>'Lake Worth Forecast'!G14</f>
        <v>71158.443938153272</v>
      </c>
      <c r="E20" s="478">
        <f>'Lake Worth Forecast'!H14</f>
        <v>74351.964424404097</v>
      </c>
      <c r="F20" s="478">
        <f>'Lake Worth Forecast'!I14</f>
        <v>82971.466426479223</v>
      </c>
      <c r="G20" s="478">
        <f>'Lake Worth Forecast'!J14</f>
        <v>87055.969117358021</v>
      </c>
      <c r="H20" s="478">
        <f>'Lake Worth Forecast'!K14</f>
        <v>90449.710323749969</v>
      </c>
      <c r="I20" s="478">
        <f>'Lake Worth Forecast'!L14</f>
        <v>90960.27316010982</v>
      </c>
      <c r="J20" s="478">
        <f>'Lake Worth Forecast'!M14</f>
        <v>87846.840961915441</v>
      </c>
      <c r="K20" s="478">
        <f>'Lake Worth Forecast'!N14</f>
        <v>82540.991878175832</v>
      </c>
      <c r="L20" s="478">
        <f>'Lake Worth Forecast'!O14</f>
        <v>73761.313299987814</v>
      </c>
      <c r="M20" s="478">
        <f>'Lake Worth Forecast'!P14</f>
        <v>70077.252049391231</v>
      </c>
      <c r="N20" s="489">
        <f>'Lake Worth Forecast'!Q14</f>
        <v>949166.34590098332</v>
      </c>
      <c r="O20" s="479">
        <f t="shared" si="1"/>
        <v>79097.195491748615</v>
      </c>
    </row>
    <row r="21" spans="1:15">
      <c r="A21" s="469" t="s">
        <v>116</v>
      </c>
      <c r="B21" s="478">
        <f>'Homestead Network Transmission'!B100/(1+'Transmission Formula Rate (7)'!$B$27)</f>
        <v>23564.064801178203</v>
      </c>
      <c r="C21" s="478">
        <f>'Homestead Network Transmission'!C100/(1+'Transmission Formula Rate (7)'!$B$27)</f>
        <v>5891.0162002945508</v>
      </c>
      <c r="D21" s="478">
        <f>'Homestead Network Transmission'!D100/(1+'Transmission Formula Rate (7)'!$B$27)</f>
        <v>0</v>
      </c>
      <c r="E21" s="478">
        <f>'Homestead Network Transmission'!E100/(1+'Transmission Formula Rate (7)'!$B$27)</f>
        <v>2945.5081001472754</v>
      </c>
      <c r="F21" s="478">
        <f>'Homestead Network Transmission'!F100/(1+'Transmission Formula Rate (7)'!$B$27)</f>
        <v>11782.032400589102</v>
      </c>
      <c r="G21" s="478">
        <f>'Homestead Network Transmission'!G100/(1+'Transmission Formula Rate (7)'!$B$27)</f>
        <v>19636.720667648504</v>
      </c>
      <c r="H21" s="478">
        <f>'Homestead Network Transmission'!H100/(1+'Transmission Formula Rate (7)'!$B$27)</f>
        <v>24545.900834560631</v>
      </c>
      <c r="I21" s="478">
        <f>'Homestead Network Transmission'!I100/(1+'Transmission Formula Rate (7)'!$B$27)</f>
        <v>23564.064801178203</v>
      </c>
      <c r="J21" s="478">
        <f>'Homestead Network Transmission'!J100/(1+'Transmission Formula Rate (7)'!$B$27)</f>
        <v>20618.556701030928</v>
      </c>
      <c r="K21" s="478">
        <f>'Homestead Network Transmission'!K100/(1+'Transmission Formula Rate (7)'!$B$27)</f>
        <v>7854.6882670594014</v>
      </c>
      <c r="L21" s="478">
        <f>'Homestead Network Transmission'!L100/(1+'Transmission Formula Rate (7)'!$B$27)</f>
        <v>0</v>
      </c>
      <c r="M21" s="478">
        <f>'Homestead Network Transmission'!M100/(1+'Transmission Formula Rate (7)'!$B$27)</f>
        <v>0</v>
      </c>
      <c r="N21" s="489">
        <f>'Homestead Network Transmission'!N100/(1+'Transmission Formula Rate (7)'!$B$27)</f>
        <v>140402.5527736868</v>
      </c>
      <c r="O21" s="479">
        <f t="shared" si="1"/>
        <v>11700.212731140566</v>
      </c>
    </row>
    <row r="22" spans="1:15">
      <c r="A22" s="469" t="s">
        <v>408</v>
      </c>
      <c r="B22" s="478">
        <f>'New Smyrna Network'!B101/(1+'Transmission Formula Rate (7)'!$B$27)</f>
        <v>44182.621502209135</v>
      </c>
      <c r="C22" s="478">
        <f>'New Smyrna Network'!C101/(1+'Transmission Formula Rate (7)'!$B$27)</f>
        <v>44182.621502209135</v>
      </c>
      <c r="D22" s="478">
        <f>'New Smyrna Network'!D101/(1+'Transmission Formula Rate (7)'!$B$27)</f>
        <v>29455.081001472754</v>
      </c>
      <c r="E22" s="478">
        <f>'New Smyrna Network'!E101/(1+'Transmission Formula Rate (7)'!$B$27)</f>
        <v>19636.720667648504</v>
      </c>
      <c r="F22" s="478">
        <f>'New Smyrna Network'!F101/(1+'Transmission Formula Rate (7)'!$B$27)</f>
        <v>29455.081001472754</v>
      </c>
      <c r="G22" s="478">
        <f>'New Smyrna Network'!G101/(1+'Transmission Formula Rate (7)'!$B$27)</f>
        <v>44182.621502209135</v>
      </c>
      <c r="H22" s="478">
        <f>'New Smyrna Network'!H101/(1+'Transmission Formula Rate (7)'!$B$27)</f>
        <v>44182.621502209135</v>
      </c>
      <c r="I22" s="478">
        <f>'New Smyrna Network'!I101/(1+'Transmission Formula Rate (7)'!$B$27)</f>
        <v>44182.621502209135</v>
      </c>
      <c r="J22" s="478">
        <f>'New Smyrna Network'!J101/(1+'Transmission Formula Rate (7)'!$B$27)</f>
        <v>34364.261168384881</v>
      </c>
      <c r="K22" s="478">
        <f>'New Smyrna Network'!K101/(1+'Transmission Formula Rate (7)'!$B$27)</f>
        <v>29455.081001472754</v>
      </c>
      <c r="L22" s="478">
        <f>'New Smyrna Network'!L101/(1+'Transmission Formula Rate (7)'!$B$27)</f>
        <v>19636.720667648504</v>
      </c>
      <c r="M22" s="478">
        <f>'New Smyrna Network'!M101/(1+'Transmission Formula Rate (7)'!$B$27)</f>
        <v>29455.081001472754</v>
      </c>
      <c r="N22" s="489">
        <f t="shared" si="0"/>
        <v>412371.13402061857</v>
      </c>
      <c r="O22" s="479">
        <f t="shared" si="1"/>
        <v>34364.261168384881</v>
      </c>
    </row>
    <row r="23" spans="1:15">
      <c r="A23" s="469" t="s">
        <v>450</v>
      </c>
      <c r="B23" s="478">
        <f>'Quincy Transmission'!B74/(1+'Transmission Formula Rate (7)'!$B$27)</f>
        <v>18654.88463426608</v>
      </c>
      <c r="C23" s="478">
        <f>'Quincy Transmission'!C74/(1+'Transmission Formula Rate (7)'!$B$27)</f>
        <v>23342.474226804126</v>
      </c>
      <c r="D23" s="478">
        <f>'Quincy Transmission'!D74/(1+'Transmission Formula Rate (7)'!$B$27)</f>
        <v>21369.366715758471</v>
      </c>
      <c r="E23" s="478">
        <f>'Quincy Transmission'!E74/(1+'Transmission Formula Rate (7)'!$B$27)</f>
        <v>19162.444771723123</v>
      </c>
      <c r="F23" s="478">
        <f>'Quincy Transmission'!F74/(1+'Transmission Formula Rate (7)'!$B$27)</f>
        <v>22637.054491899853</v>
      </c>
      <c r="G23" s="478">
        <f>'Quincy Transmission'!G74/(1+'Transmission Formula Rate (7)'!$B$27)</f>
        <v>27179.73490427099</v>
      </c>
      <c r="H23" s="478">
        <f>'Quincy Transmission'!H74/(1+'Transmission Formula Rate (7)'!$B$27)</f>
        <v>26867.982326951402</v>
      </c>
      <c r="I23" s="478">
        <f>'Quincy Transmission'!I74/(1+'Transmission Formula Rate (7)'!$B$27)</f>
        <v>18654.88463426608</v>
      </c>
      <c r="J23" s="478">
        <f>'Quincy Transmission'!J74/(1+'Transmission Formula Rate (7)'!$B$27)</f>
        <v>24822.503681885126</v>
      </c>
      <c r="K23" s="478">
        <f>'Quincy Transmission'!K74/(1+'Transmission Formula Rate (7)'!$B$27)</f>
        <v>21870.397643593522</v>
      </c>
      <c r="L23" s="478">
        <f>'Quincy Transmission'!L74/(1+'Transmission Formula Rate (7)'!$B$27)</f>
        <v>25166.863033873346</v>
      </c>
      <c r="M23" s="478">
        <f>'Quincy Transmission'!M74/(1+'Transmission Formula Rate (7)'!$B$27)</f>
        <v>22615.581737849781</v>
      </c>
      <c r="N23" s="489">
        <f>'Quincy Transmission'!N74/(1+'Transmission Formula Rate (7)'!$B$27)</f>
        <v>272344.17280314193</v>
      </c>
      <c r="O23" s="479">
        <f t="shared" si="1"/>
        <v>22695.347733595161</v>
      </c>
    </row>
    <row r="24" spans="1:15">
      <c r="A24" s="480" t="s">
        <v>404</v>
      </c>
      <c r="B24" s="481">
        <f>SUM(B11:B23)</f>
        <v>2037622.2701960804</v>
      </c>
      <c r="C24" s="481">
        <f t="shared" ref="C24:O24" si="2">SUM(C11:C23)</f>
        <v>2052732.6067609445</v>
      </c>
      <c r="D24" s="481">
        <f t="shared" si="2"/>
        <v>1832672.0006062281</v>
      </c>
      <c r="E24" s="481">
        <f t="shared" si="2"/>
        <v>1781165.1938262996</v>
      </c>
      <c r="F24" s="481">
        <f t="shared" si="2"/>
        <v>1951877.996154743</v>
      </c>
      <c r="G24" s="481">
        <f t="shared" si="2"/>
        <v>2173846.8059701761</v>
      </c>
      <c r="H24" s="481">
        <f t="shared" si="2"/>
        <v>2260381.4637081795</v>
      </c>
      <c r="I24" s="481">
        <f t="shared" si="2"/>
        <v>2271456.0927455868</v>
      </c>
      <c r="J24" s="481">
        <f t="shared" si="2"/>
        <v>2234782.8332064766</v>
      </c>
      <c r="K24" s="481">
        <f t="shared" si="2"/>
        <v>1988887.959158747</v>
      </c>
      <c r="L24" s="481">
        <f t="shared" si="2"/>
        <v>1896863.2602049827</v>
      </c>
      <c r="M24" s="481">
        <f t="shared" si="2"/>
        <v>1792444.7237530602</v>
      </c>
      <c r="N24" s="481">
        <f t="shared" si="2"/>
        <v>24274733.206291504</v>
      </c>
      <c r="O24" s="481">
        <f t="shared" si="2"/>
        <v>2022894.4338576256</v>
      </c>
    </row>
    <row r="25" spans="1:15">
      <c r="O25" s="477"/>
    </row>
    <row r="26" spans="1:15">
      <c r="A26" s="476" t="s">
        <v>405</v>
      </c>
      <c r="O26" s="477"/>
    </row>
    <row r="27" spans="1:15">
      <c r="A27" s="469" t="s">
        <v>23</v>
      </c>
      <c r="B27" s="478">
        <f>'TSAS Demand Revenues (7)'!B287</f>
        <v>37056</v>
      </c>
      <c r="C27" s="478">
        <f>'TSAS Demand Revenues (7)'!C287</f>
        <v>37056</v>
      </c>
      <c r="D27" s="478">
        <f>'TSAS Demand Revenues (7)'!D287</f>
        <v>37056</v>
      </c>
      <c r="E27" s="478">
        <f>'TSAS Demand Revenues (7)'!E287</f>
        <v>37056</v>
      </c>
      <c r="F27" s="478">
        <f>'TSAS Demand Revenues (7)'!F287</f>
        <v>37056</v>
      </c>
      <c r="G27" s="478">
        <f>'TSAS Demand Revenues (7)'!G287</f>
        <v>37056</v>
      </c>
      <c r="H27" s="478">
        <f>'TSAS Demand Revenues (7)'!H287</f>
        <v>37056</v>
      </c>
      <c r="I27" s="478">
        <f>'TSAS Demand Revenues (7)'!I287</f>
        <v>37056</v>
      </c>
      <c r="J27" s="478">
        <f>'TSAS Demand Revenues (7)'!J287</f>
        <v>37056</v>
      </c>
      <c r="K27" s="478">
        <f>'TSAS Demand Revenues (7)'!K287</f>
        <v>37056</v>
      </c>
      <c r="L27" s="478">
        <f>'TSAS Demand Revenues (7)'!L287</f>
        <v>37056</v>
      </c>
      <c r="M27" s="478">
        <f>'TSAS Demand Revenues (7)'!M287</f>
        <v>37056</v>
      </c>
      <c r="N27" s="489">
        <f>SUM(B27:M27)</f>
        <v>444672</v>
      </c>
      <c r="O27" s="479">
        <f t="shared" ref="O27:O33" si="3">AVERAGE(B27:M27)</f>
        <v>37056</v>
      </c>
    </row>
    <row r="28" spans="1:15">
      <c r="A28" s="469" t="s">
        <v>24</v>
      </c>
      <c r="B28" s="478">
        <f>'TSAS Demand Revenues (7)'!B292</f>
        <v>62000</v>
      </c>
      <c r="C28" s="478">
        <f>'TSAS Demand Revenues (7)'!C292</f>
        <v>62000</v>
      </c>
      <c r="D28" s="478">
        <f>'TSAS Demand Revenues (7)'!D292</f>
        <v>62000</v>
      </c>
      <c r="E28" s="478">
        <f>'TSAS Demand Revenues (7)'!E292</f>
        <v>62000</v>
      </c>
      <c r="F28" s="478">
        <f>'TSAS Demand Revenues (7)'!F292</f>
        <v>62000</v>
      </c>
      <c r="G28" s="478">
        <f>'TSAS Demand Revenues (7)'!G292</f>
        <v>62000</v>
      </c>
      <c r="H28" s="478">
        <f>'TSAS Demand Revenues (7)'!H292</f>
        <v>62000</v>
      </c>
      <c r="I28" s="478">
        <f>'TSAS Demand Revenues (7)'!I292</f>
        <v>62000</v>
      </c>
      <c r="J28" s="478">
        <f>'TSAS Demand Revenues (7)'!J292</f>
        <v>62000</v>
      </c>
      <c r="K28" s="478">
        <f>'TSAS Demand Revenues (7)'!K292</f>
        <v>62000</v>
      </c>
      <c r="L28" s="478">
        <f>'TSAS Demand Revenues (7)'!L292</f>
        <v>62000</v>
      </c>
      <c r="M28" s="478">
        <f>'TSAS Demand Revenues (7)'!M292</f>
        <v>62000</v>
      </c>
      <c r="N28" s="489">
        <f t="shared" ref="N28:N33" si="4">SUM(B28:M28)</f>
        <v>744000</v>
      </c>
      <c r="O28" s="479">
        <f t="shared" si="3"/>
        <v>62000</v>
      </c>
    </row>
    <row r="29" spans="1:15">
      <c r="A29" s="469" t="s">
        <v>116</v>
      </c>
      <c r="B29" s="478">
        <f>'TSAS Demand Revenues (7)'!B297</f>
        <v>40000</v>
      </c>
      <c r="C29" s="478">
        <f>'TSAS Demand Revenues (7)'!C297</f>
        <v>40000</v>
      </c>
      <c r="D29" s="478">
        <f>'TSAS Demand Revenues (7)'!D297</f>
        <v>40000</v>
      </c>
      <c r="E29" s="478">
        <f>'TSAS Demand Revenues (7)'!E297</f>
        <v>40000</v>
      </c>
      <c r="F29" s="478">
        <f>'TSAS Demand Revenues (7)'!F297</f>
        <v>40000</v>
      </c>
      <c r="G29" s="478">
        <f>'TSAS Demand Revenues (7)'!G297</f>
        <v>40000</v>
      </c>
      <c r="H29" s="478">
        <f>'TSAS Demand Revenues (7)'!H297</f>
        <v>40000</v>
      </c>
      <c r="I29" s="478">
        <f>'TSAS Demand Revenues (7)'!I297</f>
        <v>40000</v>
      </c>
      <c r="J29" s="478">
        <f>'TSAS Demand Revenues (7)'!J297</f>
        <v>40000</v>
      </c>
      <c r="K29" s="478">
        <f>'TSAS Demand Revenues (7)'!K297</f>
        <v>40000</v>
      </c>
      <c r="L29" s="478">
        <f>'TSAS Demand Revenues (7)'!L297</f>
        <v>40000</v>
      </c>
      <c r="M29" s="478">
        <f>'TSAS Demand Revenues (7)'!M297</f>
        <v>40000</v>
      </c>
      <c r="N29" s="489">
        <f t="shared" si="4"/>
        <v>480000</v>
      </c>
      <c r="O29" s="479">
        <f t="shared" si="3"/>
        <v>40000</v>
      </c>
    </row>
    <row r="30" spans="1:15">
      <c r="A30" s="469" t="s">
        <v>237</v>
      </c>
      <c r="B30" s="478">
        <f>'TSAS Demand Revenues (7)'!B302</f>
        <v>3000</v>
      </c>
      <c r="C30" s="478">
        <f>'TSAS Demand Revenues (7)'!C302</f>
        <v>3000</v>
      </c>
      <c r="D30" s="478">
        <f>'TSAS Demand Revenues (7)'!D302</f>
        <v>3000</v>
      </c>
      <c r="E30" s="478">
        <f>'TSAS Demand Revenues (7)'!E302</f>
        <v>3000</v>
      </c>
      <c r="F30" s="478">
        <f>'TSAS Demand Revenues (7)'!F302</f>
        <v>3000</v>
      </c>
      <c r="G30" s="478">
        <f>'TSAS Demand Revenues (7)'!G302</f>
        <v>3000</v>
      </c>
      <c r="H30" s="478">
        <f>'TSAS Demand Revenues (7)'!H302</f>
        <v>3000</v>
      </c>
      <c r="I30" s="478">
        <f>'TSAS Demand Revenues (7)'!I302</f>
        <v>3000</v>
      </c>
      <c r="J30" s="478">
        <f>'TSAS Demand Revenues (7)'!J302</f>
        <v>3000</v>
      </c>
      <c r="K30" s="478">
        <f>'TSAS Demand Revenues (7)'!K302</f>
        <v>3000</v>
      </c>
      <c r="L30" s="478">
        <f>'TSAS Demand Revenues (7)'!L302</f>
        <v>3000</v>
      </c>
      <c r="M30" s="478">
        <f>'TSAS Demand Revenues (7)'!M302</f>
        <v>3000</v>
      </c>
      <c r="N30" s="489">
        <f t="shared" si="4"/>
        <v>36000</v>
      </c>
      <c r="O30" s="479">
        <f t="shared" si="3"/>
        <v>3000</v>
      </c>
    </row>
    <row r="31" spans="1:15">
      <c r="A31" s="469" t="s">
        <v>117</v>
      </c>
      <c r="B31" s="478">
        <f>'TSAS Demand Revenues (7)'!B317</f>
        <v>150000</v>
      </c>
      <c r="C31" s="478">
        <f>'TSAS Demand Revenues (7)'!C317</f>
        <v>100000</v>
      </c>
      <c r="D31" s="478">
        <f>'TSAS Demand Revenues (7)'!D317</f>
        <v>100000</v>
      </c>
      <c r="E31" s="478">
        <f>'TSAS Demand Revenues (7)'!E317</f>
        <v>100000</v>
      </c>
      <c r="F31" s="478">
        <f>'TSAS Demand Revenues (7)'!F317</f>
        <v>100000</v>
      </c>
      <c r="G31" s="478">
        <f>'TSAS Demand Revenues (7)'!G317</f>
        <v>100000</v>
      </c>
      <c r="H31" s="478">
        <f>'TSAS Demand Revenues (7)'!H317</f>
        <v>100000</v>
      </c>
      <c r="I31" s="478">
        <f>'TSAS Demand Revenues (7)'!I317</f>
        <v>100000</v>
      </c>
      <c r="J31" s="478">
        <f>'TSAS Demand Revenues (7)'!J317</f>
        <v>100000</v>
      </c>
      <c r="K31" s="478">
        <f>'TSAS Demand Revenues (7)'!K317</f>
        <v>100000</v>
      </c>
      <c r="L31" s="478">
        <f>'TSAS Demand Revenues (7)'!L317</f>
        <v>100000</v>
      </c>
      <c r="M31" s="478">
        <f>'TSAS Demand Revenues (7)'!M317</f>
        <v>100000</v>
      </c>
      <c r="N31" s="489">
        <f t="shared" si="4"/>
        <v>1250000</v>
      </c>
      <c r="O31" s="479">
        <f t="shared" si="3"/>
        <v>104166.66666666667</v>
      </c>
    </row>
    <row r="32" spans="1:15">
      <c r="A32" s="469" t="s">
        <v>410</v>
      </c>
      <c r="B32" s="478">
        <v>0</v>
      </c>
      <c r="C32" s="478">
        <v>0</v>
      </c>
      <c r="D32" s="478">
        <v>0</v>
      </c>
      <c r="E32" s="478">
        <v>0</v>
      </c>
      <c r="F32" s="478">
        <v>0</v>
      </c>
      <c r="G32" s="478">
        <v>0</v>
      </c>
      <c r="H32" s="478">
        <v>0</v>
      </c>
      <c r="I32" s="478">
        <v>0</v>
      </c>
      <c r="J32" s="478">
        <v>0</v>
      </c>
      <c r="K32" s="478">
        <v>0</v>
      </c>
      <c r="L32" s="478">
        <v>0</v>
      </c>
      <c r="M32" s="478">
        <v>0</v>
      </c>
      <c r="N32" s="489">
        <f t="shared" si="4"/>
        <v>0</v>
      </c>
      <c r="O32" s="479">
        <f t="shared" si="3"/>
        <v>0</v>
      </c>
    </row>
    <row r="33" spans="1:15">
      <c r="A33" s="469" t="s">
        <v>406</v>
      </c>
      <c r="B33" s="478">
        <f>'TSAS Demand Revenues (7)'!B272</f>
        <v>5000</v>
      </c>
      <c r="C33" s="478">
        <f>'TSAS Demand Revenues (7)'!C272</f>
        <v>5000</v>
      </c>
      <c r="D33" s="478">
        <f>'TSAS Demand Revenues (7)'!D272</f>
        <v>5000</v>
      </c>
      <c r="E33" s="478">
        <f>'TSAS Demand Revenues (7)'!E272</f>
        <v>5000</v>
      </c>
      <c r="F33" s="478">
        <f>'TSAS Demand Revenues (7)'!F272</f>
        <v>5000</v>
      </c>
      <c r="G33" s="478">
        <f>'TSAS Demand Revenues (7)'!G272</f>
        <v>5000</v>
      </c>
      <c r="H33" s="478">
        <f>'TSAS Demand Revenues (7)'!H272</f>
        <v>5000</v>
      </c>
      <c r="I33" s="478">
        <f>'TSAS Demand Revenues (7)'!I272</f>
        <v>5000</v>
      </c>
      <c r="J33" s="478">
        <f>'TSAS Demand Revenues (7)'!J272</f>
        <v>5000</v>
      </c>
      <c r="K33" s="478">
        <f>'TSAS Demand Revenues (7)'!K272</f>
        <v>5000</v>
      </c>
      <c r="L33" s="478">
        <f>'TSAS Demand Revenues (7)'!L272</f>
        <v>5000</v>
      </c>
      <c r="M33" s="478">
        <f>'TSAS Demand Revenues (7)'!M272</f>
        <v>5000</v>
      </c>
      <c r="N33" s="489">
        <f t="shared" si="4"/>
        <v>60000</v>
      </c>
      <c r="O33" s="479">
        <f t="shared" si="3"/>
        <v>5000</v>
      </c>
    </row>
    <row r="34" spans="1:15">
      <c r="A34" s="480" t="s">
        <v>407</v>
      </c>
      <c r="B34" s="481">
        <f t="shared" ref="B34:O34" si="5">SUM(B27:B33)</f>
        <v>297056</v>
      </c>
      <c r="C34" s="481">
        <f t="shared" si="5"/>
        <v>247056</v>
      </c>
      <c r="D34" s="481">
        <f t="shared" si="5"/>
        <v>247056</v>
      </c>
      <c r="E34" s="481">
        <f t="shared" si="5"/>
        <v>247056</v>
      </c>
      <c r="F34" s="481">
        <f t="shared" si="5"/>
        <v>247056</v>
      </c>
      <c r="G34" s="481">
        <f t="shared" si="5"/>
        <v>247056</v>
      </c>
      <c r="H34" s="481">
        <f t="shared" si="5"/>
        <v>247056</v>
      </c>
      <c r="I34" s="481">
        <f t="shared" si="5"/>
        <v>247056</v>
      </c>
      <c r="J34" s="481">
        <f t="shared" si="5"/>
        <v>247056</v>
      </c>
      <c r="K34" s="481">
        <f t="shared" si="5"/>
        <v>247056</v>
      </c>
      <c r="L34" s="481">
        <f t="shared" si="5"/>
        <v>247056</v>
      </c>
      <c r="M34" s="481">
        <f t="shared" si="5"/>
        <v>247056</v>
      </c>
      <c r="N34" s="481">
        <f t="shared" si="5"/>
        <v>3014672</v>
      </c>
      <c r="O34" s="482">
        <f t="shared" si="5"/>
        <v>251222.66666666669</v>
      </c>
    </row>
    <row r="35" spans="1:15">
      <c r="O35" s="477"/>
    </row>
    <row r="36" spans="1:15">
      <c r="O36" s="477"/>
    </row>
    <row r="37" spans="1:15" ht="13.8" thickBot="1">
      <c r="A37" s="480" t="s">
        <v>466</v>
      </c>
      <c r="B37" s="483">
        <f t="shared" ref="B37:O37" si="6">+B24+B34</f>
        <v>2334678.2701960802</v>
      </c>
      <c r="C37" s="483">
        <f t="shared" si="6"/>
        <v>2299788.6067609442</v>
      </c>
      <c r="D37" s="483">
        <f t="shared" si="6"/>
        <v>2079728.0006062281</v>
      </c>
      <c r="E37" s="483">
        <f t="shared" si="6"/>
        <v>2028221.1938262996</v>
      </c>
      <c r="F37" s="483">
        <f t="shared" si="6"/>
        <v>2198933.9961547432</v>
      </c>
      <c r="G37" s="483">
        <f t="shared" si="6"/>
        <v>2420902.8059701761</v>
      </c>
      <c r="H37" s="483">
        <f t="shared" si="6"/>
        <v>2507437.4637081795</v>
      </c>
      <c r="I37" s="483">
        <f t="shared" si="6"/>
        <v>2518512.0927455868</v>
      </c>
      <c r="J37" s="483">
        <f t="shared" si="6"/>
        <v>2481838.8332064766</v>
      </c>
      <c r="K37" s="483">
        <f t="shared" si="6"/>
        <v>2235943.959158747</v>
      </c>
      <c r="L37" s="483">
        <f t="shared" si="6"/>
        <v>2143919.2602049829</v>
      </c>
      <c r="M37" s="483">
        <f t="shared" si="6"/>
        <v>2039500.7237530602</v>
      </c>
      <c r="N37" s="483">
        <f t="shared" si="6"/>
        <v>27289405.206291504</v>
      </c>
      <c r="O37" s="484">
        <f t="shared" si="6"/>
        <v>2274117.1005242923</v>
      </c>
    </row>
    <row r="38" spans="1:15" ht="14.4" thickTop="1" thickBot="1">
      <c r="O38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00B050"/>
    <pageSetUpPr fitToPage="1"/>
  </sheetPr>
  <dimension ref="A1:M55"/>
  <sheetViews>
    <sheetView zoomScale="75" zoomScaleNormal="75" workbookViewId="0">
      <pane xSplit="2" ySplit="8" topLeftCell="C9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0.8"/>
  <cols>
    <col min="1" max="1" width="51.109375" style="52" customWidth="1"/>
    <col min="2" max="2" width="1.44140625" style="52" customWidth="1"/>
    <col min="3" max="9" width="10.109375" style="52" customWidth="1"/>
    <col min="10" max="10" width="19.33203125" style="52" customWidth="1"/>
    <col min="11" max="11" width="13.77734375" style="52" customWidth="1"/>
    <col min="12" max="16384" width="9" style="52"/>
  </cols>
  <sheetData>
    <row r="1" spans="1:13" ht="13.2">
      <c r="A1" s="480" t="s">
        <v>512</v>
      </c>
    </row>
    <row r="2" spans="1:13" ht="13.2">
      <c r="A2" s="480" t="s">
        <v>473</v>
      </c>
    </row>
    <row r="5" spans="1:13">
      <c r="A5" s="51" t="s">
        <v>418</v>
      </c>
      <c r="H5" s="269"/>
      <c r="I5" s="269"/>
    </row>
    <row r="6" spans="1:13">
      <c r="A6" s="53" t="s">
        <v>137</v>
      </c>
    </row>
    <row r="7" spans="1:13" ht="14.4" customHeight="1">
      <c r="A7" s="54"/>
    </row>
    <row r="8" spans="1:13">
      <c r="A8" s="55" t="s">
        <v>26</v>
      </c>
      <c r="C8" s="56">
        <v>2014</v>
      </c>
      <c r="D8" s="56">
        <f>+C8+1</f>
        <v>2015</v>
      </c>
      <c r="E8" s="56">
        <f>+D8+1</f>
        <v>2016</v>
      </c>
      <c r="F8" s="56">
        <f>+E8+1</f>
        <v>2017</v>
      </c>
      <c r="G8" s="56">
        <f>+F8+1</f>
        <v>2018</v>
      </c>
      <c r="H8" s="56">
        <f>+G8+1</f>
        <v>2019</v>
      </c>
      <c r="I8" s="56">
        <v>2020</v>
      </c>
      <c r="J8" s="56"/>
      <c r="K8" s="57" t="s">
        <v>27</v>
      </c>
      <c r="L8" s="58"/>
      <c r="M8" s="59"/>
    </row>
    <row r="9" spans="1:13">
      <c r="A9" s="51" t="s">
        <v>55</v>
      </c>
    </row>
    <row r="10" spans="1:13">
      <c r="A10" s="60"/>
    </row>
    <row r="11" spans="1:13">
      <c r="A11" s="60" t="s">
        <v>29</v>
      </c>
      <c r="C11" s="171">
        <v>0.1008</v>
      </c>
      <c r="D11" s="171">
        <v>0.1008</v>
      </c>
      <c r="E11" s="171">
        <v>0.1008</v>
      </c>
      <c r="F11" s="171">
        <v>0.1008</v>
      </c>
      <c r="G11" s="171">
        <v>0.1008</v>
      </c>
      <c r="H11" s="171">
        <v>0.1008</v>
      </c>
      <c r="I11" s="171">
        <v>0.1008</v>
      </c>
      <c r="K11" s="63" t="s">
        <v>28</v>
      </c>
    </row>
    <row r="12" spans="1:13">
      <c r="A12" s="197" t="s">
        <v>243</v>
      </c>
      <c r="C12" s="314">
        <v>1.274E-2</v>
      </c>
      <c r="D12" s="314">
        <v>1.274E-2</v>
      </c>
      <c r="E12" s="314">
        <v>1.274E-2</v>
      </c>
      <c r="F12" s="314">
        <v>1.274E-2</v>
      </c>
      <c r="G12" s="314">
        <v>1.274E-2</v>
      </c>
      <c r="H12" s="314">
        <v>1.274E-2</v>
      </c>
      <c r="I12" s="314">
        <v>1.274E-2</v>
      </c>
      <c r="K12" s="63" t="s">
        <v>28</v>
      </c>
    </row>
    <row r="13" spans="1:13">
      <c r="A13" s="342" t="s">
        <v>30</v>
      </c>
    </row>
    <row r="14" spans="1:13">
      <c r="A14" s="343" t="s">
        <v>29</v>
      </c>
      <c r="C14" s="171">
        <v>7.0000000000000007E-2</v>
      </c>
      <c r="D14" s="171">
        <v>7.0000000000000007E-2</v>
      </c>
      <c r="E14" s="171">
        <v>7.0000000000000007E-2</v>
      </c>
      <c r="F14" s="171">
        <v>7.0000000000000007E-2</v>
      </c>
      <c r="G14" s="171">
        <v>7.0000000000000007E-2</v>
      </c>
      <c r="H14" s="171">
        <v>7.0000000000000007E-2</v>
      </c>
      <c r="I14" s="171"/>
      <c r="K14" s="63" t="s">
        <v>28</v>
      </c>
    </row>
    <row r="15" spans="1:13">
      <c r="A15" s="341" t="s">
        <v>243</v>
      </c>
      <c r="C15" s="314">
        <f t="shared" ref="C15:H15" si="0">C12</f>
        <v>1.274E-2</v>
      </c>
      <c r="D15" s="314">
        <f t="shared" si="0"/>
        <v>1.274E-2</v>
      </c>
      <c r="E15" s="314">
        <f t="shared" si="0"/>
        <v>1.274E-2</v>
      </c>
      <c r="F15" s="314">
        <f t="shared" si="0"/>
        <v>1.274E-2</v>
      </c>
      <c r="G15" s="314">
        <f t="shared" si="0"/>
        <v>1.274E-2</v>
      </c>
      <c r="H15" s="314">
        <f t="shared" si="0"/>
        <v>1.274E-2</v>
      </c>
      <c r="I15" s="314"/>
      <c r="K15" s="63" t="s">
        <v>28</v>
      </c>
    </row>
    <row r="16" spans="1:13">
      <c r="A16" s="60" t="s">
        <v>36</v>
      </c>
    </row>
    <row r="17" spans="1:11">
      <c r="A17" s="60" t="s">
        <v>29</v>
      </c>
      <c r="C17" s="171">
        <v>0.1008</v>
      </c>
      <c r="D17" s="171">
        <v>0.1008</v>
      </c>
      <c r="E17" s="171">
        <v>0.1008</v>
      </c>
      <c r="F17" s="171">
        <v>0.1008</v>
      </c>
      <c r="G17" s="171">
        <v>0.1008</v>
      </c>
      <c r="H17" s="171">
        <v>0.1008</v>
      </c>
      <c r="I17" s="171"/>
      <c r="K17" s="63" t="s">
        <v>28</v>
      </c>
    </row>
    <row r="18" spans="1:11">
      <c r="A18" s="197" t="s">
        <v>243</v>
      </c>
      <c r="C18" s="314">
        <f t="shared" ref="C18:H18" si="1">C15</f>
        <v>1.274E-2</v>
      </c>
      <c r="D18" s="314">
        <f t="shared" si="1"/>
        <v>1.274E-2</v>
      </c>
      <c r="E18" s="314">
        <f t="shared" si="1"/>
        <v>1.274E-2</v>
      </c>
      <c r="F18" s="314">
        <f t="shared" si="1"/>
        <v>1.274E-2</v>
      </c>
      <c r="G18" s="314">
        <f t="shared" si="1"/>
        <v>1.274E-2</v>
      </c>
      <c r="H18" s="314">
        <f t="shared" si="1"/>
        <v>1.274E-2</v>
      </c>
      <c r="I18" s="314"/>
      <c r="K18" s="63" t="s">
        <v>28</v>
      </c>
    </row>
    <row r="19" spans="1:11">
      <c r="A19" s="64" t="s">
        <v>31</v>
      </c>
    </row>
    <row r="20" spans="1:11">
      <c r="A20" s="60" t="s">
        <v>29</v>
      </c>
      <c r="C20" s="172">
        <f t="shared" ref="C20:H21" si="2">C17</f>
        <v>0.1008</v>
      </c>
      <c r="D20" s="172">
        <f t="shared" si="2"/>
        <v>0.1008</v>
      </c>
      <c r="E20" s="172">
        <f t="shared" si="2"/>
        <v>0.1008</v>
      </c>
      <c r="F20" s="172">
        <f t="shared" si="2"/>
        <v>0.1008</v>
      </c>
      <c r="G20" s="172">
        <f t="shared" si="2"/>
        <v>0.1008</v>
      </c>
      <c r="H20" s="172">
        <f t="shared" si="2"/>
        <v>0.1008</v>
      </c>
      <c r="I20" s="172"/>
      <c r="K20" s="63" t="s">
        <v>28</v>
      </c>
    </row>
    <row r="21" spans="1:11">
      <c r="A21" s="197" t="s">
        <v>243</v>
      </c>
      <c r="C21" s="314">
        <f t="shared" si="2"/>
        <v>1.274E-2</v>
      </c>
      <c r="D21" s="314">
        <f t="shared" si="2"/>
        <v>1.274E-2</v>
      </c>
      <c r="E21" s="314">
        <f t="shared" si="2"/>
        <v>1.274E-2</v>
      </c>
      <c r="F21" s="314">
        <f t="shared" si="2"/>
        <v>1.274E-2</v>
      </c>
      <c r="G21" s="314">
        <f t="shared" si="2"/>
        <v>1.274E-2</v>
      </c>
      <c r="H21" s="314">
        <f t="shared" si="2"/>
        <v>1.274E-2</v>
      </c>
      <c r="I21" s="314"/>
      <c r="K21" s="63" t="s">
        <v>28</v>
      </c>
    </row>
    <row r="22" spans="1:11">
      <c r="A22" s="60" t="s">
        <v>32</v>
      </c>
    </row>
    <row r="23" spans="1:11">
      <c r="A23" s="60" t="s">
        <v>29</v>
      </c>
      <c r="C23" s="172">
        <f t="shared" ref="C23:H24" si="3">C20</f>
        <v>0.1008</v>
      </c>
      <c r="D23" s="172">
        <f t="shared" si="3"/>
        <v>0.1008</v>
      </c>
      <c r="E23" s="172">
        <f t="shared" si="3"/>
        <v>0.1008</v>
      </c>
      <c r="F23" s="172">
        <f t="shared" si="3"/>
        <v>0.1008</v>
      </c>
      <c r="G23" s="172">
        <f t="shared" si="3"/>
        <v>0.1008</v>
      </c>
      <c r="H23" s="172">
        <f t="shared" si="3"/>
        <v>0.1008</v>
      </c>
      <c r="I23" s="172"/>
      <c r="K23" s="63" t="s">
        <v>28</v>
      </c>
    </row>
    <row r="24" spans="1:11">
      <c r="A24" s="197" t="s">
        <v>243</v>
      </c>
      <c r="C24" s="314">
        <f t="shared" si="3"/>
        <v>1.274E-2</v>
      </c>
      <c r="D24" s="314">
        <f t="shared" si="3"/>
        <v>1.274E-2</v>
      </c>
      <c r="E24" s="314">
        <f t="shared" si="3"/>
        <v>1.274E-2</v>
      </c>
      <c r="F24" s="314">
        <f t="shared" si="3"/>
        <v>1.274E-2</v>
      </c>
      <c r="G24" s="314">
        <f t="shared" si="3"/>
        <v>1.274E-2</v>
      </c>
      <c r="H24" s="314">
        <f t="shared" si="3"/>
        <v>1.274E-2</v>
      </c>
      <c r="I24" s="314"/>
      <c r="K24" s="63" t="s">
        <v>28</v>
      </c>
    </row>
    <row r="25" spans="1:11">
      <c r="A25" s="340" t="s">
        <v>166</v>
      </c>
      <c r="C25" s="65"/>
      <c r="D25" s="65"/>
      <c r="E25" s="65"/>
      <c r="F25" s="65"/>
      <c r="G25" s="65"/>
      <c r="H25" s="65"/>
      <c r="I25" s="65"/>
      <c r="K25" s="63"/>
    </row>
    <row r="26" spans="1:11">
      <c r="A26" s="340" t="s">
        <v>138</v>
      </c>
      <c r="C26" s="172">
        <v>7.0000000000000007E-2</v>
      </c>
      <c r="D26" s="172">
        <v>7.0000000000000007E-2</v>
      </c>
      <c r="E26" s="172">
        <v>7.0000000000000007E-2</v>
      </c>
      <c r="F26" s="172">
        <v>7.0000000000000007E-2</v>
      </c>
      <c r="G26" s="172">
        <v>7.0000000000000007E-2</v>
      </c>
      <c r="H26" s="172">
        <v>7.0000000000000007E-2</v>
      </c>
      <c r="I26" s="172"/>
      <c r="K26" s="63" t="s">
        <v>28</v>
      </c>
    </row>
    <row r="27" spans="1:11">
      <c r="A27" s="197" t="s">
        <v>243</v>
      </c>
      <c r="C27" s="314">
        <f t="shared" ref="C27:H27" si="4">C24</f>
        <v>1.274E-2</v>
      </c>
      <c r="D27" s="314">
        <f t="shared" si="4"/>
        <v>1.274E-2</v>
      </c>
      <c r="E27" s="314">
        <f t="shared" si="4"/>
        <v>1.274E-2</v>
      </c>
      <c r="F27" s="314">
        <f t="shared" si="4"/>
        <v>1.274E-2</v>
      </c>
      <c r="G27" s="314">
        <f t="shared" si="4"/>
        <v>1.274E-2</v>
      </c>
      <c r="H27" s="314">
        <f t="shared" si="4"/>
        <v>1.274E-2</v>
      </c>
      <c r="I27" s="314"/>
      <c r="K27" s="63" t="s">
        <v>28</v>
      </c>
    </row>
    <row r="28" spans="1:11">
      <c r="A28" s="340" t="s">
        <v>167</v>
      </c>
      <c r="C28" s="61"/>
      <c r="D28" s="61"/>
      <c r="E28" s="61"/>
      <c r="F28" s="61"/>
      <c r="G28" s="61"/>
      <c r="H28" s="61"/>
      <c r="I28" s="61"/>
      <c r="K28" s="63"/>
    </row>
    <row r="29" spans="1:11">
      <c r="A29" s="340" t="s">
        <v>139</v>
      </c>
      <c r="C29" s="172">
        <v>0.02</v>
      </c>
      <c r="D29" s="172">
        <v>0.02</v>
      </c>
      <c r="E29" s="172">
        <v>0.02</v>
      </c>
      <c r="F29" s="172">
        <v>0.02</v>
      </c>
      <c r="G29" s="172">
        <v>0.02</v>
      </c>
      <c r="H29" s="172">
        <v>0.02</v>
      </c>
      <c r="I29" s="172"/>
      <c r="K29" s="63" t="s">
        <v>28</v>
      </c>
    </row>
    <row r="30" spans="1:11">
      <c r="A30" s="197" t="s">
        <v>243</v>
      </c>
      <c r="C30" s="315">
        <f t="shared" ref="C30:H30" si="5">C27</f>
        <v>1.274E-2</v>
      </c>
      <c r="D30" s="315">
        <f t="shared" si="5"/>
        <v>1.274E-2</v>
      </c>
      <c r="E30" s="315">
        <f t="shared" si="5"/>
        <v>1.274E-2</v>
      </c>
      <c r="F30" s="315">
        <f t="shared" si="5"/>
        <v>1.274E-2</v>
      </c>
      <c r="G30" s="315">
        <f t="shared" si="5"/>
        <v>1.274E-2</v>
      </c>
      <c r="H30" s="315">
        <f t="shared" si="5"/>
        <v>1.274E-2</v>
      </c>
      <c r="I30" s="315"/>
      <c r="K30" s="63" t="s">
        <v>28</v>
      </c>
    </row>
    <row r="31" spans="1:11">
      <c r="A31" s="340" t="s">
        <v>168</v>
      </c>
      <c r="C31" s="196"/>
      <c r="D31" s="62"/>
      <c r="E31" s="62"/>
      <c r="F31" s="62"/>
      <c r="G31" s="62"/>
      <c r="H31" s="62"/>
      <c r="I31" s="62"/>
      <c r="K31" s="63"/>
    </row>
    <row r="32" spans="1:11">
      <c r="A32" s="340" t="s">
        <v>140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/>
      <c r="K32" s="63" t="s">
        <v>28</v>
      </c>
    </row>
    <row r="33" spans="1:11" ht="10.5" customHeight="1">
      <c r="A33" s="197" t="s">
        <v>243</v>
      </c>
      <c r="C33" s="316">
        <f t="shared" ref="C33:H33" si="6">C30</f>
        <v>1.274E-2</v>
      </c>
      <c r="D33" s="316">
        <f t="shared" si="6"/>
        <v>1.274E-2</v>
      </c>
      <c r="E33" s="316">
        <f t="shared" si="6"/>
        <v>1.274E-2</v>
      </c>
      <c r="F33" s="316">
        <f t="shared" si="6"/>
        <v>1.274E-2</v>
      </c>
      <c r="G33" s="316">
        <f t="shared" si="6"/>
        <v>1.274E-2</v>
      </c>
      <c r="H33" s="316">
        <f t="shared" si="6"/>
        <v>1.274E-2</v>
      </c>
      <c r="I33" s="316"/>
      <c r="K33" s="63" t="s">
        <v>28</v>
      </c>
    </row>
    <row r="34" spans="1:11" ht="10.5" customHeight="1">
      <c r="A34" s="340" t="s">
        <v>191</v>
      </c>
    </row>
    <row r="35" spans="1:11" ht="10.5" customHeight="1">
      <c r="A35" s="340" t="s">
        <v>192</v>
      </c>
      <c r="C35" s="96">
        <f>C11</f>
        <v>0.1008</v>
      </c>
      <c r="D35" s="96">
        <f t="shared" ref="D35:H36" si="7">D32</f>
        <v>0</v>
      </c>
      <c r="E35" s="96">
        <f t="shared" si="7"/>
        <v>0</v>
      </c>
      <c r="F35" s="96">
        <f t="shared" si="7"/>
        <v>0</v>
      </c>
      <c r="G35" s="96">
        <f t="shared" si="7"/>
        <v>0</v>
      </c>
      <c r="H35" s="96">
        <f t="shared" si="7"/>
        <v>0</v>
      </c>
      <c r="I35" s="96"/>
      <c r="K35" s="63" t="s">
        <v>28</v>
      </c>
    </row>
    <row r="36" spans="1:11" ht="10.5" customHeight="1">
      <c r="A36" s="341" t="s">
        <v>243</v>
      </c>
      <c r="C36" s="316">
        <f>C12</f>
        <v>1.274E-2</v>
      </c>
      <c r="D36" s="316">
        <f t="shared" si="7"/>
        <v>1.274E-2</v>
      </c>
      <c r="E36" s="316">
        <f t="shared" si="7"/>
        <v>1.274E-2</v>
      </c>
      <c r="F36" s="316">
        <f t="shared" si="7"/>
        <v>1.274E-2</v>
      </c>
      <c r="G36" s="316">
        <f t="shared" si="7"/>
        <v>1.274E-2</v>
      </c>
      <c r="H36" s="316">
        <f t="shared" si="7"/>
        <v>1.274E-2</v>
      </c>
      <c r="I36" s="316"/>
      <c r="K36" s="63" t="s">
        <v>28</v>
      </c>
    </row>
    <row r="37" spans="1:11" ht="12.75" customHeight="1">
      <c r="A37" s="340" t="s">
        <v>169</v>
      </c>
      <c r="C37" s="62"/>
      <c r="D37" s="62"/>
      <c r="E37" s="62"/>
      <c r="F37" s="62"/>
      <c r="G37" s="62"/>
      <c r="H37" s="62"/>
      <c r="I37" s="62"/>
      <c r="K37" s="63"/>
    </row>
    <row r="38" spans="1:11">
      <c r="A38" s="60" t="s">
        <v>29</v>
      </c>
      <c r="C38" s="96">
        <f>C11</f>
        <v>0.1008</v>
      </c>
      <c r="D38" s="96">
        <f>D11</f>
        <v>0.1008</v>
      </c>
      <c r="E38" s="96">
        <f>D38</f>
        <v>0.1008</v>
      </c>
      <c r="F38" s="96">
        <f>E38</f>
        <v>0.1008</v>
      </c>
      <c r="G38" s="96">
        <f>F38</f>
        <v>0.1008</v>
      </c>
      <c r="H38" s="96">
        <f>G38</f>
        <v>0.1008</v>
      </c>
      <c r="I38" s="96"/>
      <c r="K38" s="63" t="s">
        <v>28</v>
      </c>
    </row>
    <row r="39" spans="1:11">
      <c r="A39" s="197" t="s">
        <v>243</v>
      </c>
      <c r="C39" s="316">
        <f t="shared" ref="C39:H39" si="8">C33</f>
        <v>1.274E-2</v>
      </c>
      <c r="D39" s="316">
        <f t="shared" si="8"/>
        <v>1.274E-2</v>
      </c>
      <c r="E39" s="316">
        <f t="shared" si="8"/>
        <v>1.274E-2</v>
      </c>
      <c r="F39" s="316">
        <f t="shared" si="8"/>
        <v>1.274E-2</v>
      </c>
      <c r="G39" s="316">
        <f t="shared" si="8"/>
        <v>1.274E-2</v>
      </c>
      <c r="H39" s="316">
        <f t="shared" si="8"/>
        <v>1.274E-2</v>
      </c>
      <c r="I39" s="316"/>
      <c r="K39" s="63" t="s">
        <v>28</v>
      </c>
    </row>
    <row r="40" spans="1:11">
      <c r="A40" s="66"/>
    </row>
    <row r="41" spans="1:11">
      <c r="A41" s="60" t="s">
        <v>90</v>
      </c>
    </row>
    <row r="42" spans="1:11">
      <c r="A42" s="6" t="s">
        <v>242</v>
      </c>
    </row>
    <row r="43" spans="1:11" ht="12">
      <c r="A43" s="37"/>
    </row>
    <row r="44" spans="1:11" ht="12">
      <c r="A44" s="37"/>
    </row>
    <row r="45" spans="1:11">
      <c r="A45" s="339"/>
    </row>
    <row r="46" spans="1:11" ht="12">
      <c r="A46" s="37"/>
      <c r="B46" s="37"/>
      <c r="C46" s="37"/>
      <c r="D46" s="37"/>
      <c r="E46" s="37"/>
      <c r="F46" s="37"/>
      <c r="G46" s="37"/>
      <c r="H46" s="37"/>
      <c r="I46" s="37"/>
    </row>
    <row r="47" spans="1:11" ht="12">
      <c r="A47" s="250" t="s">
        <v>351</v>
      </c>
      <c r="B47" s="370" t="s">
        <v>352</v>
      </c>
      <c r="C47" s="22"/>
      <c r="D47" s="22"/>
      <c r="E47" s="22"/>
      <c r="F47" s="37"/>
      <c r="G47" s="37"/>
      <c r="H47" s="37"/>
      <c r="I47" s="37"/>
    </row>
    <row r="50" spans="1:9">
      <c r="A50" s="60"/>
    </row>
    <row r="51" spans="1:9">
      <c r="A51" s="63"/>
    </row>
    <row r="52" spans="1:9">
      <c r="A52" s="60"/>
      <c r="C52" s="171"/>
      <c r="D52" s="171"/>
      <c r="E52" s="171"/>
      <c r="F52" s="171"/>
      <c r="G52" s="171"/>
      <c r="H52" s="171"/>
      <c r="I52" s="171"/>
    </row>
    <row r="53" spans="1:9">
      <c r="A53" s="197"/>
      <c r="C53" s="314"/>
      <c r="D53" s="314"/>
      <c r="E53" s="314"/>
      <c r="F53" s="314"/>
      <c r="G53" s="314"/>
      <c r="H53" s="314"/>
    </row>
    <row r="55" spans="1:9">
      <c r="A55" s="63"/>
    </row>
  </sheetData>
  <phoneticPr fontId="23" type="noConversion"/>
  <hyperlinks>
    <hyperlink ref="B47" r:id="rId1"/>
  </hyperlinks>
  <pageMargins left="0.25" right="0.2" top="0.66" bottom="0.5" header="0.64" footer="0.5"/>
  <pageSetup pageOrder="overThenDown" orientation="landscape" horizontalDpi="4294967292" verticalDpi="4294967292" r:id="rId2"/>
  <headerFooter alignWithMargins="0">
    <oddFooter>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33"/>
  <sheetViews>
    <sheetView workbookViewId="0">
      <selection activeCell="A2" sqref="A1:A2"/>
    </sheetView>
  </sheetViews>
  <sheetFormatPr defaultColWidth="8" defaultRowHeight="13.2"/>
  <cols>
    <col min="1" max="1" width="33" style="219" customWidth="1"/>
    <col min="2" max="2" width="8" style="219" customWidth="1"/>
    <col min="3" max="3" width="8.88671875" style="219" customWidth="1"/>
    <col min="4" max="9" width="8" style="219" customWidth="1"/>
    <col min="10" max="10" width="10.44140625" style="219" customWidth="1"/>
    <col min="11" max="11" width="8" style="219" customWidth="1"/>
    <col min="12" max="12" width="9" style="219" customWidth="1"/>
    <col min="13" max="13" width="9.44140625" style="219" customWidth="1"/>
    <col min="14" max="16384" width="8" style="219"/>
  </cols>
  <sheetData>
    <row r="1" spans="1:13">
      <c r="A1" s="480" t="s">
        <v>513</v>
      </c>
    </row>
    <row r="2" spans="1:13">
      <c r="A2" s="480" t="s">
        <v>473</v>
      </c>
    </row>
    <row r="4" spans="1:13" ht="17.399999999999999">
      <c r="A4" s="218" t="s">
        <v>161</v>
      </c>
    </row>
    <row r="5" spans="1:13">
      <c r="A5" s="220" t="s">
        <v>162</v>
      </c>
    </row>
    <row r="6" spans="1:13" ht="5.25" customHeight="1"/>
    <row r="7" spans="1:13">
      <c r="A7" s="221" t="s">
        <v>164</v>
      </c>
      <c r="B7" s="222" t="s">
        <v>62</v>
      </c>
      <c r="C7" s="222" t="s">
        <v>63</v>
      </c>
      <c r="D7" s="222" t="s">
        <v>64</v>
      </c>
      <c r="E7" s="222" t="s">
        <v>65</v>
      </c>
      <c r="F7" s="222" t="s">
        <v>4</v>
      </c>
      <c r="G7" s="222" t="s">
        <v>66</v>
      </c>
      <c r="H7" s="222" t="s">
        <v>67</v>
      </c>
      <c r="I7" s="222" t="s">
        <v>68</v>
      </c>
      <c r="J7" s="222" t="s">
        <v>69</v>
      </c>
      <c r="K7" s="222" t="s">
        <v>70</v>
      </c>
      <c r="L7" s="222" t="s">
        <v>71</v>
      </c>
      <c r="M7" s="222" t="s">
        <v>72</v>
      </c>
    </row>
    <row r="8" spans="1:13" ht="13.5" customHeight="1">
      <c r="A8" s="223" t="s">
        <v>163</v>
      </c>
      <c r="B8" s="282">
        <f>1.59</f>
        <v>1.59</v>
      </c>
      <c r="C8" s="282">
        <f t="shared" ref="C8:M8" si="0">1.59</f>
        <v>1.59</v>
      </c>
      <c r="D8" s="282">
        <f t="shared" si="0"/>
        <v>1.59</v>
      </c>
      <c r="E8" s="282">
        <f t="shared" si="0"/>
        <v>1.59</v>
      </c>
      <c r="F8" s="282">
        <f t="shared" si="0"/>
        <v>1.59</v>
      </c>
      <c r="G8" s="282">
        <f t="shared" si="0"/>
        <v>1.59</v>
      </c>
      <c r="H8" s="282">
        <f t="shared" si="0"/>
        <v>1.59</v>
      </c>
      <c r="I8" s="282">
        <f t="shared" si="0"/>
        <v>1.59</v>
      </c>
      <c r="J8" s="282">
        <f t="shared" si="0"/>
        <v>1.59</v>
      </c>
      <c r="K8" s="282">
        <f t="shared" si="0"/>
        <v>1.59</v>
      </c>
      <c r="L8" s="282">
        <f t="shared" si="0"/>
        <v>1.59</v>
      </c>
      <c r="M8" s="282">
        <f t="shared" si="0"/>
        <v>1.59</v>
      </c>
    </row>
    <row r="9" spans="1:13">
      <c r="A9" s="225" t="s">
        <v>165</v>
      </c>
      <c r="B9" s="226" t="s">
        <v>62</v>
      </c>
      <c r="C9" s="226" t="s">
        <v>63</v>
      </c>
      <c r="D9" s="226" t="s">
        <v>64</v>
      </c>
      <c r="E9" s="226" t="s">
        <v>65</v>
      </c>
      <c r="F9" s="226" t="s">
        <v>4</v>
      </c>
      <c r="G9" s="226" t="s">
        <v>66</v>
      </c>
      <c r="H9" s="226" t="s">
        <v>67</v>
      </c>
      <c r="I9" s="226" t="s">
        <v>68</v>
      </c>
      <c r="J9" s="226" t="s">
        <v>69</v>
      </c>
      <c r="K9" s="226" t="s">
        <v>70</v>
      </c>
      <c r="L9" s="226" t="s">
        <v>71</v>
      </c>
      <c r="M9" s="226" t="s">
        <v>72</v>
      </c>
    </row>
    <row r="10" spans="1:13">
      <c r="A10" s="223" t="s">
        <v>163</v>
      </c>
      <c r="B10" s="224">
        <v>1.59</v>
      </c>
      <c r="C10" s="224">
        <v>1.59</v>
      </c>
      <c r="D10" s="224">
        <v>1.59</v>
      </c>
      <c r="E10" s="224">
        <v>1.59</v>
      </c>
      <c r="F10" s="224">
        <v>1.59</v>
      </c>
      <c r="G10" s="224">
        <v>1.59</v>
      </c>
      <c r="H10" s="224">
        <v>1.59</v>
      </c>
      <c r="I10" s="224">
        <v>1.59</v>
      </c>
      <c r="J10" s="224">
        <v>1.59</v>
      </c>
      <c r="K10" s="224">
        <v>1.59</v>
      </c>
      <c r="L10" s="224">
        <v>1.59</v>
      </c>
      <c r="M10" s="224">
        <v>1.59</v>
      </c>
    </row>
    <row r="11" spans="1:13">
      <c r="A11" s="225" t="s">
        <v>186</v>
      </c>
      <c r="B11" s="226" t="s">
        <v>62</v>
      </c>
      <c r="C11" s="226" t="s">
        <v>63</v>
      </c>
      <c r="D11" s="226" t="s">
        <v>64</v>
      </c>
      <c r="E11" s="226" t="s">
        <v>65</v>
      </c>
      <c r="F11" s="226" t="s">
        <v>4</v>
      </c>
      <c r="G11" s="226" t="s">
        <v>66</v>
      </c>
      <c r="H11" s="226" t="s">
        <v>67</v>
      </c>
      <c r="I11" s="226" t="s">
        <v>68</v>
      </c>
      <c r="J11" s="226" t="s">
        <v>69</v>
      </c>
      <c r="K11" s="226" t="s">
        <v>70</v>
      </c>
      <c r="L11" s="226" t="s">
        <v>71</v>
      </c>
      <c r="M11" s="226" t="s">
        <v>72</v>
      </c>
    </row>
    <row r="12" spans="1:13">
      <c r="A12" s="223" t="s">
        <v>163</v>
      </c>
      <c r="B12" s="224">
        <v>1.59</v>
      </c>
      <c r="C12" s="224">
        <v>1.59</v>
      </c>
      <c r="D12" s="224">
        <v>1.59</v>
      </c>
      <c r="E12" s="224">
        <v>1.59</v>
      </c>
      <c r="F12" s="224">
        <v>1.59</v>
      </c>
      <c r="G12" s="224">
        <v>1.59</v>
      </c>
      <c r="H12" s="224">
        <v>1.59</v>
      </c>
      <c r="I12" s="224">
        <v>1.59</v>
      </c>
      <c r="J12" s="224">
        <v>1.59</v>
      </c>
      <c r="K12" s="224">
        <v>1.59</v>
      </c>
      <c r="L12" s="224">
        <v>1.59</v>
      </c>
      <c r="M12" s="224">
        <v>1.59</v>
      </c>
    </row>
    <row r="13" spans="1:13">
      <c r="A13" s="225" t="s">
        <v>187</v>
      </c>
      <c r="B13" s="226" t="s">
        <v>62</v>
      </c>
      <c r="C13" s="226" t="s">
        <v>63</v>
      </c>
      <c r="D13" s="226" t="s">
        <v>64</v>
      </c>
      <c r="E13" s="226" t="s">
        <v>65</v>
      </c>
      <c r="F13" s="226" t="s">
        <v>4</v>
      </c>
      <c r="G13" s="226" t="s">
        <v>66</v>
      </c>
      <c r="H13" s="226" t="s">
        <v>67</v>
      </c>
      <c r="I13" s="226" t="s">
        <v>68</v>
      </c>
      <c r="J13" s="226" t="s">
        <v>69</v>
      </c>
      <c r="K13" s="226" t="s">
        <v>70</v>
      </c>
      <c r="L13" s="226" t="s">
        <v>71</v>
      </c>
      <c r="M13" s="226" t="s">
        <v>72</v>
      </c>
    </row>
    <row r="14" spans="1:13">
      <c r="A14" s="223" t="s">
        <v>163</v>
      </c>
      <c r="B14" s="224">
        <v>1.59</v>
      </c>
      <c r="C14" s="224">
        <v>1.59</v>
      </c>
      <c r="D14" s="224">
        <v>1.59</v>
      </c>
      <c r="E14" s="224">
        <v>1.59</v>
      </c>
      <c r="F14" s="224">
        <v>1.59</v>
      </c>
      <c r="G14" s="224">
        <v>1.59</v>
      </c>
      <c r="H14" s="224">
        <v>1.59</v>
      </c>
      <c r="I14" s="224">
        <v>1.59</v>
      </c>
      <c r="J14" s="224">
        <v>1.59</v>
      </c>
      <c r="K14" s="224">
        <v>1.59</v>
      </c>
      <c r="L14" s="224">
        <v>1.59</v>
      </c>
      <c r="M14" s="224">
        <v>1.59</v>
      </c>
    </row>
    <row r="15" spans="1:13">
      <c r="A15" s="225" t="s">
        <v>241</v>
      </c>
      <c r="B15" s="226" t="s">
        <v>62</v>
      </c>
      <c r="C15" s="226" t="s">
        <v>63</v>
      </c>
      <c r="D15" s="226" t="s">
        <v>64</v>
      </c>
      <c r="E15" s="226" t="s">
        <v>65</v>
      </c>
      <c r="F15" s="226" t="s">
        <v>4</v>
      </c>
      <c r="G15" s="226" t="s">
        <v>66</v>
      </c>
      <c r="H15" s="226" t="s">
        <v>67</v>
      </c>
      <c r="I15" s="226" t="s">
        <v>68</v>
      </c>
      <c r="J15" s="226" t="s">
        <v>69</v>
      </c>
      <c r="K15" s="226" t="s">
        <v>70</v>
      </c>
      <c r="L15" s="226" t="s">
        <v>71</v>
      </c>
      <c r="M15" s="226" t="s">
        <v>72</v>
      </c>
    </row>
    <row r="16" spans="1:13">
      <c r="A16" s="223" t="s">
        <v>163</v>
      </c>
      <c r="B16" s="224">
        <v>1.59</v>
      </c>
      <c r="C16" s="224">
        <v>1.59</v>
      </c>
      <c r="D16" s="224">
        <v>1.59</v>
      </c>
      <c r="E16" s="224">
        <v>1.59</v>
      </c>
      <c r="F16" s="224">
        <v>1.59</v>
      </c>
      <c r="G16" s="224">
        <v>1.59</v>
      </c>
      <c r="H16" s="224">
        <v>1.59</v>
      </c>
      <c r="I16" s="224">
        <v>1.59</v>
      </c>
      <c r="J16" s="224">
        <v>1.59</v>
      </c>
      <c r="K16" s="224">
        <v>1.59</v>
      </c>
      <c r="L16" s="224">
        <v>1.59</v>
      </c>
      <c r="M16" s="224">
        <v>1.59</v>
      </c>
    </row>
    <row r="17" spans="1:13">
      <c r="A17" s="225" t="s">
        <v>187</v>
      </c>
      <c r="B17" s="226" t="s">
        <v>62</v>
      </c>
      <c r="C17" s="226" t="s">
        <v>63</v>
      </c>
      <c r="D17" s="226" t="s">
        <v>64</v>
      </c>
      <c r="E17" s="226" t="s">
        <v>65</v>
      </c>
      <c r="F17" s="226" t="s">
        <v>4</v>
      </c>
      <c r="G17" s="226" t="s">
        <v>66</v>
      </c>
      <c r="H17" s="226" t="s">
        <v>67</v>
      </c>
      <c r="I17" s="226" t="s">
        <v>68</v>
      </c>
      <c r="J17" s="226" t="s">
        <v>69</v>
      </c>
      <c r="K17" s="226" t="s">
        <v>70</v>
      </c>
      <c r="L17" s="226" t="s">
        <v>71</v>
      </c>
      <c r="M17" s="226" t="s">
        <v>72</v>
      </c>
    </row>
    <row r="18" spans="1:13">
      <c r="A18" s="227" t="s">
        <v>163</v>
      </c>
      <c r="B18" s="224">
        <v>0</v>
      </c>
      <c r="C18" s="224">
        <v>0</v>
      </c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224">
        <v>0</v>
      </c>
    </row>
    <row r="19" spans="1:13">
      <c r="A19" s="225" t="s">
        <v>333</v>
      </c>
      <c r="B19" s="226" t="s">
        <v>62</v>
      </c>
      <c r="C19" s="226" t="s">
        <v>63</v>
      </c>
      <c r="D19" s="226" t="s">
        <v>64</v>
      </c>
      <c r="E19" s="226" t="s">
        <v>65</v>
      </c>
      <c r="F19" s="226" t="s">
        <v>4</v>
      </c>
      <c r="G19" s="226" t="s">
        <v>66</v>
      </c>
      <c r="H19" s="226" t="s">
        <v>67</v>
      </c>
      <c r="I19" s="226" t="s">
        <v>68</v>
      </c>
      <c r="J19" s="226" t="s">
        <v>69</v>
      </c>
      <c r="K19" s="226" t="s">
        <v>70</v>
      </c>
      <c r="L19" s="226" t="s">
        <v>71</v>
      </c>
      <c r="M19" s="226" t="s">
        <v>72</v>
      </c>
    </row>
    <row r="20" spans="1:13">
      <c r="A20" s="223" t="s">
        <v>163</v>
      </c>
      <c r="B20" s="224">
        <v>1.59</v>
      </c>
      <c r="C20" s="224">
        <v>1.59</v>
      </c>
      <c r="D20" s="224">
        <v>1.59</v>
      </c>
      <c r="E20" s="224">
        <v>1.59</v>
      </c>
      <c r="F20" s="224">
        <v>1.59</v>
      </c>
      <c r="G20" s="224">
        <v>1.59</v>
      </c>
      <c r="H20" s="224">
        <v>1.59</v>
      </c>
      <c r="I20" s="224">
        <v>1.59</v>
      </c>
      <c r="J20" s="224">
        <v>1.59</v>
      </c>
      <c r="K20" s="224">
        <v>1.59</v>
      </c>
      <c r="L20" s="224">
        <v>1.59</v>
      </c>
      <c r="M20" s="224">
        <v>1.59</v>
      </c>
    </row>
    <row r="21" spans="1:13">
      <c r="A21" s="225" t="s">
        <v>383</v>
      </c>
      <c r="B21" s="226" t="s">
        <v>62</v>
      </c>
      <c r="C21" s="226" t="s">
        <v>63</v>
      </c>
      <c r="D21" s="226" t="s">
        <v>64</v>
      </c>
      <c r="E21" s="226" t="s">
        <v>65</v>
      </c>
      <c r="F21" s="226" t="s">
        <v>4</v>
      </c>
      <c r="G21" s="226" t="s">
        <v>66</v>
      </c>
      <c r="H21" s="226" t="s">
        <v>67</v>
      </c>
      <c r="I21" s="226" t="s">
        <v>68</v>
      </c>
      <c r="J21" s="226" t="s">
        <v>69</v>
      </c>
      <c r="K21" s="226" t="s">
        <v>70</v>
      </c>
      <c r="L21" s="226" t="s">
        <v>71</v>
      </c>
      <c r="M21" s="226" t="s">
        <v>72</v>
      </c>
    </row>
    <row r="22" spans="1:13">
      <c r="A22" s="223" t="s">
        <v>163</v>
      </c>
      <c r="B22" s="224">
        <v>1.59</v>
      </c>
      <c r="C22" s="224">
        <v>1.59</v>
      </c>
      <c r="D22" s="224">
        <v>1.59</v>
      </c>
      <c r="E22" s="224">
        <v>1.59</v>
      </c>
      <c r="F22" s="224">
        <v>1.59</v>
      </c>
      <c r="G22" s="224">
        <v>1.59</v>
      </c>
      <c r="H22" s="224">
        <v>1.59</v>
      </c>
      <c r="I22" s="224">
        <v>1.59</v>
      </c>
      <c r="J22" s="224">
        <v>1.59</v>
      </c>
      <c r="K22" s="224">
        <v>1.59</v>
      </c>
      <c r="L22" s="224">
        <v>1.59</v>
      </c>
      <c r="M22" s="224">
        <v>1.59</v>
      </c>
    </row>
    <row r="23" spans="1:13">
      <c r="A23" s="460"/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</row>
    <row r="24" spans="1:13">
      <c r="A24" s="460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</row>
    <row r="25" spans="1:13">
      <c r="A25" s="264" t="s">
        <v>198</v>
      </c>
      <c r="B25" s="266">
        <f>0.0135</f>
        <v>1.35E-2</v>
      </c>
    </row>
    <row r="26" spans="1:13">
      <c r="A26" s="265" t="s">
        <v>177</v>
      </c>
      <c r="B26" s="267">
        <f>4.818</f>
        <v>4.8179999999999996</v>
      </c>
    </row>
    <row r="27" spans="1:13">
      <c r="A27" s="265" t="s">
        <v>199</v>
      </c>
      <c r="B27" s="312">
        <v>1.8499999999999999E-2</v>
      </c>
    </row>
    <row r="30" spans="1:13">
      <c r="A30" s="219" t="s">
        <v>212</v>
      </c>
      <c r="B30" s="219" t="s">
        <v>288</v>
      </c>
    </row>
    <row r="33" spans="1:5">
      <c r="A33" s="250" t="s">
        <v>351</v>
      </c>
      <c r="B33" s="370" t="s">
        <v>352</v>
      </c>
      <c r="C33" s="22"/>
      <c r="D33" s="22"/>
      <c r="E33" s="22"/>
    </row>
  </sheetData>
  <phoneticPr fontId="28" type="noConversion"/>
  <hyperlinks>
    <hyperlink ref="B33" r:id="rId1"/>
  </hyperlinks>
  <pageMargins left="0.22" right="0.25" top="0.79" bottom="1" header="0.5" footer="0.5"/>
  <pageSetup orientation="landscape" r:id="rId2"/>
  <headerFooter alignWithMargins="0">
    <oddHeader>&amp;R&amp;D &amp;T</oddHeader>
    <oddFooter>&amp;Z&amp;F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00B050"/>
  </sheetPr>
  <dimension ref="A1:R432"/>
  <sheetViews>
    <sheetView zoomScaleNormal="100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sqref="A1:A2"/>
    </sheetView>
  </sheetViews>
  <sheetFormatPr defaultColWidth="9" defaultRowHeight="12"/>
  <cols>
    <col min="1" max="1" width="25" style="22" customWidth="1"/>
    <col min="2" max="2" width="9.33203125" style="22" customWidth="1"/>
    <col min="3" max="3" width="8.44140625" style="22" customWidth="1"/>
    <col min="4" max="4" width="7.21875" style="22" customWidth="1"/>
    <col min="5" max="5" width="7.44140625" style="22" customWidth="1"/>
    <col min="6" max="6" width="7.33203125" style="22" customWidth="1"/>
    <col min="7" max="7" width="6.88671875" style="22" customWidth="1"/>
    <col min="8" max="8" width="7.33203125" style="22" customWidth="1"/>
    <col min="9" max="9" width="6.33203125" style="22" customWidth="1"/>
    <col min="10" max="10" width="7.21875" style="22" customWidth="1"/>
    <col min="11" max="11" width="6.6640625" style="22" customWidth="1"/>
    <col min="12" max="12" width="7.21875" style="22" customWidth="1"/>
    <col min="13" max="13" width="8.44140625" style="22" customWidth="1"/>
    <col min="14" max="14" width="8" style="22" customWidth="1"/>
    <col min="15" max="16" width="9.21875" style="22" bestFit="1" customWidth="1"/>
    <col min="17" max="16384" width="9" style="22"/>
  </cols>
  <sheetData>
    <row r="1" spans="1:18" ht="13.2">
      <c r="A1" s="480" t="s">
        <v>514</v>
      </c>
    </row>
    <row r="2" spans="1:18" ht="13.2">
      <c r="A2" s="480" t="s">
        <v>473</v>
      </c>
    </row>
    <row r="4" spans="1:18" s="16" customFormat="1" ht="13.8">
      <c r="A4" s="22"/>
      <c r="B4" s="14">
        <f ca="1">TRUNC(NOW())</f>
        <v>42475</v>
      </c>
      <c r="C4" s="15"/>
      <c r="D4" s="17" t="s">
        <v>91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16" customFormat="1" ht="15.6">
      <c r="A6" s="401" t="s">
        <v>357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</row>
    <row r="7" spans="1:18" s="16" customFormat="1" ht="13.8">
      <c r="A7" s="23" t="s">
        <v>18</v>
      </c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8" s="20" customFormat="1" ht="10.199999999999999">
      <c r="A8" s="430">
        <v>2014</v>
      </c>
      <c r="B8" s="407"/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8"/>
    </row>
    <row r="9" spans="1:18" s="20" customFormat="1" ht="10.199999999999999">
      <c r="A9" s="409"/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1"/>
    </row>
    <row r="10" spans="1:18" s="20" customFormat="1" ht="13.2">
      <c r="A10" s="409" t="s">
        <v>19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3"/>
    </row>
    <row r="11" spans="1:18" s="20" customFormat="1" ht="10.199999999999999">
      <c r="A11" s="409"/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1"/>
    </row>
    <row r="12" spans="1:18" s="20" customFormat="1" ht="10.199999999999999">
      <c r="A12" s="414" t="s">
        <v>359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257"/>
    </row>
    <row r="13" spans="1:18" s="29" customFormat="1" ht="10.199999999999999">
      <c r="A13" s="415" t="s">
        <v>16</v>
      </c>
      <c r="B13" s="416">
        <f>5000</f>
        <v>5000</v>
      </c>
      <c r="C13" s="416">
        <f>5000</f>
        <v>5000</v>
      </c>
      <c r="D13" s="416">
        <f>5000</f>
        <v>5000</v>
      </c>
      <c r="E13" s="416">
        <f>5000</f>
        <v>5000</v>
      </c>
      <c r="F13" s="416">
        <f>5000</f>
        <v>5000</v>
      </c>
      <c r="G13" s="416">
        <f>5000</f>
        <v>5000</v>
      </c>
      <c r="H13" s="416">
        <f>5000</f>
        <v>5000</v>
      </c>
      <c r="I13" s="416">
        <f>5000</f>
        <v>5000</v>
      </c>
      <c r="J13" s="416">
        <f>5000</f>
        <v>5000</v>
      </c>
      <c r="K13" s="416">
        <f>5000</f>
        <v>5000</v>
      </c>
      <c r="L13" s="416">
        <f>5000</f>
        <v>5000</v>
      </c>
      <c r="M13" s="416">
        <f>5000</f>
        <v>5000</v>
      </c>
      <c r="N13" s="417">
        <f>SUM(B13:M13)</f>
        <v>60000</v>
      </c>
      <c r="O13" s="338"/>
    </row>
    <row r="14" spans="1:18" s="20" customFormat="1">
      <c r="A14" s="418" t="s">
        <v>20</v>
      </c>
      <c r="B14" s="419">
        <f>'Transmission Formula Rate (7)'!B8</f>
        <v>1.59</v>
      </c>
      <c r="C14" s="419">
        <f>'Transmission Formula Rate (7)'!C8</f>
        <v>1.59</v>
      </c>
      <c r="D14" s="419">
        <f>'Transmission Formula Rate (7)'!D8</f>
        <v>1.59</v>
      </c>
      <c r="E14" s="419">
        <f>'Transmission Formula Rate (7)'!E8</f>
        <v>1.59</v>
      </c>
      <c r="F14" s="419">
        <f>'Transmission Formula Rate (7)'!F8</f>
        <v>1.59</v>
      </c>
      <c r="G14" s="419">
        <f>'Transmission Formula Rate (7)'!G8</f>
        <v>1.59</v>
      </c>
      <c r="H14" s="419">
        <f>'Transmission Formula Rate (7)'!H8</f>
        <v>1.59</v>
      </c>
      <c r="I14" s="419">
        <f>'Transmission Formula Rate (7)'!I8</f>
        <v>1.59</v>
      </c>
      <c r="J14" s="419">
        <f>'Transmission Formula Rate (7)'!J8</f>
        <v>1.59</v>
      </c>
      <c r="K14" s="419">
        <f>'Transmission Formula Rate (7)'!K8</f>
        <v>1.59</v>
      </c>
      <c r="L14" s="419">
        <f>'Transmission Formula Rate (7)'!L8</f>
        <v>1.59</v>
      </c>
      <c r="M14" s="419">
        <f>'Transmission Formula Rate (7)'!M8</f>
        <v>1.59</v>
      </c>
      <c r="N14" s="257"/>
      <c r="O14" s="22"/>
    </row>
    <row r="15" spans="1:18" s="20" customFormat="1">
      <c r="A15" s="418" t="s">
        <v>17</v>
      </c>
      <c r="B15" s="420">
        <f t="shared" ref="B15:M15" si="0">B13*B14</f>
        <v>7950</v>
      </c>
      <c r="C15" s="420">
        <f t="shared" si="0"/>
        <v>7950</v>
      </c>
      <c r="D15" s="420">
        <f t="shared" si="0"/>
        <v>7950</v>
      </c>
      <c r="E15" s="420">
        <f t="shared" si="0"/>
        <v>7950</v>
      </c>
      <c r="F15" s="420">
        <f t="shared" si="0"/>
        <v>7950</v>
      </c>
      <c r="G15" s="420">
        <f t="shared" si="0"/>
        <v>7950</v>
      </c>
      <c r="H15" s="420">
        <f t="shared" si="0"/>
        <v>7950</v>
      </c>
      <c r="I15" s="420">
        <f t="shared" si="0"/>
        <v>7950</v>
      </c>
      <c r="J15" s="420">
        <f t="shared" si="0"/>
        <v>7950</v>
      </c>
      <c r="K15" s="420">
        <f t="shared" si="0"/>
        <v>7950</v>
      </c>
      <c r="L15" s="420">
        <f t="shared" si="0"/>
        <v>7950</v>
      </c>
      <c r="M15" s="420">
        <f t="shared" si="0"/>
        <v>7950</v>
      </c>
      <c r="N15" s="421">
        <f>SUM(B15:M15)</f>
        <v>95400</v>
      </c>
      <c r="O15" s="22"/>
    </row>
    <row r="16" spans="1:18" s="20" customFormat="1">
      <c r="A16" s="422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257"/>
      <c r="O16" s="22"/>
    </row>
    <row r="17" spans="1:16" s="20" customFormat="1">
      <c r="A17" s="414" t="s">
        <v>302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257"/>
      <c r="O17" s="22"/>
    </row>
    <row r="18" spans="1:16" s="29" customFormat="1">
      <c r="A18" s="415" t="s">
        <v>16</v>
      </c>
      <c r="B18" s="416">
        <v>23000</v>
      </c>
      <c r="C18" s="416">
        <v>23000</v>
      </c>
      <c r="D18" s="416">
        <v>23000</v>
      </c>
      <c r="E18" s="416">
        <v>23000</v>
      </c>
      <c r="F18" s="416">
        <v>23000</v>
      </c>
      <c r="G18" s="416">
        <v>23000</v>
      </c>
      <c r="H18" s="416">
        <v>23000</v>
      </c>
      <c r="I18" s="416">
        <v>23000</v>
      </c>
      <c r="J18" s="416">
        <v>23000</v>
      </c>
      <c r="K18" s="416">
        <v>23000</v>
      </c>
      <c r="L18" s="416">
        <v>23000</v>
      </c>
      <c r="M18" s="416">
        <v>23000</v>
      </c>
      <c r="N18" s="417">
        <f>SUM(B18:M18)</f>
        <v>276000</v>
      </c>
      <c r="O18" s="404" t="s">
        <v>361</v>
      </c>
      <c r="P18" s="405"/>
    </row>
    <row r="19" spans="1:16" s="20" customFormat="1">
      <c r="A19" s="418" t="s">
        <v>20</v>
      </c>
      <c r="B19" s="419">
        <f>B14</f>
        <v>1.59</v>
      </c>
      <c r="C19" s="419">
        <f t="shared" ref="C19:M19" si="1">C14</f>
        <v>1.59</v>
      </c>
      <c r="D19" s="419">
        <f t="shared" si="1"/>
        <v>1.59</v>
      </c>
      <c r="E19" s="419">
        <f t="shared" si="1"/>
        <v>1.59</v>
      </c>
      <c r="F19" s="419">
        <f t="shared" si="1"/>
        <v>1.59</v>
      </c>
      <c r="G19" s="419">
        <f t="shared" si="1"/>
        <v>1.59</v>
      </c>
      <c r="H19" s="419">
        <f t="shared" si="1"/>
        <v>1.59</v>
      </c>
      <c r="I19" s="419">
        <f t="shared" si="1"/>
        <v>1.59</v>
      </c>
      <c r="J19" s="419">
        <f t="shared" si="1"/>
        <v>1.59</v>
      </c>
      <c r="K19" s="419">
        <f t="shared" si="1"/>
        <v>1.59</v>
      </c>
      <c r="L19" s="419">
        <f t="shared" si="1"/>
        <v>1.59</v>
      </c>
      <c r="M19" s="419">
        <f t="shared" si="1"/>
        <v>1.59</v>
      </c>
      <c r="N19" s="257"/>
      <c r="O19" s="22"/>
    </row>
    <row r="20" spans="1:16" s="20" customFormat="1">
      <c r="A20" s="418" t="s">
        <v>17</v>
      </c>
      <c r="B20" s="420">
        <f t="shared" ref="B20:M20" si="2">B18*B19</f>
        <v>36570</v>
      </c>
      <c r="C20" s="420">
        <f t="shared" si="2"/>
        <v>36570</v>
      </c>
      <c r="D20" s="420">
        <f t="shared" si="2"/>
        <v>36570</v>
      </c>
      <c r="E20" s="420">
        <f t="shared" si="2"/>
        <v>36570</v>
      </c>
      <c r="F20" s="420">
        <f t="shared" si="2"/>
        <v>36570</v>
      </c>
      <c r="G20" s="420">
        <f t="shared" si="2"/>
        <v>36570</v>
      </c>
      <c r="H20" s="420">
        <f t="shared" si="2"/>
        <v>36570</v>
      </c>
      <c r="I20" s="420">
        <f t="shared" si="2"/>
        <v>36570</v>
      </c>
      <c r="J20" s="420">
        <f t="shared" si="2"/>
        <v>36570</v>
      </c>
      <c r="K20" s="420">
        <f t="shared" si="2"/>
        <v>36570</v>
      </c>
      <c r="L20" s="420">
        <f t="shared" si="2"/>
        <v>36570</v>
      </c>
      <c r="M20" s="420">
        <f t="shared" si="2"/>
        <v>36570</v>
      </c>
      <c r="N20" s="421">
        <f>SUM(B20:M20)</f>
        <v>438840</v>
      </c>
      <c r="O20" s="22"/>
    </row>
    <row r="21" spans="1:16" s="20" customFormat="1">
      <c r="A21" s="422"/>
      <c r="B21" s="420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257"/>
      <c r="O21" s="22"/>
    </row>
    <row r="22" spans="1:16" s="20" customFormat="1">
      <c r="A22" s="414" t="s">
        <v>117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257"/>
      <c r="O22" s="22"/>
    </row>
    <row r="23" spans="1:16" s="29" customFormat="1">
      <c r="A23" s="415" t="s">
        <v>16</v>
      </c>
      <c r="B23" s="416">
        <f>(50+100)*1000</f>
        <v>150000</v>
      </c>
      <c r="C23" s="416">
        <f t="shared" ref="C23:M23" si="3">(50+100)*1000</f>
        <v>150000</v>
      </c>
      <c r="D23" s="416">
        <f t="shared" si="3"/>
        <v>150000</v>
      </c>
      <c r="E23" s="416">
        <f t="shared" si="3"/>
        <v>150000</v>
      </c>
      <c r="F23" s="416">
        <f t="shared" si="3"/>
        <v>150000</v>
      </c>
      <c r="G23" s="416">
        <f t="shared" si="3"/>
        <v>150000</v>
      </c>
      <c r="H23" s="416">
        <f t="shared" si="3"/>
        <v>150000</v>
      </c>
      <c r="I23" s="416">
        <f t="shared" si="3"/>
        <v>150000</v>
      </c>
      <c r="J23" s="416">
        <f t="shared" si="3"/>
        <v>150000</v>
      </c>
      <c r="K23" s="416">
        <f t="shared" si="3"/>
        <v>150000</v>
      </c>
      <c r="L23" s="416">
        <f t="shared" si="3"/>
        <v>150000</v>
      </c>
      <c r="M23" s="416">
        <f t="shared" si="3"/>
        <v>150000</v>
      </c>
      <c r="N23" s="417">
        <f>SUM(B23:M23)</f>
        <v>1800000</v>
      </c>
      <c r="O23" s="22"/>
    </row>
    <row r="24" spans="1:16" s="20" customFormat="1">
      <c r="A24" s="418" t="s">
        <v>20</v>
      </c>
      <c r="B24" s="423">
        <f>B19</f>
        <v>1.59</v>
      </c>
      <c r="C24" s="423">
        <f t="shared" ref="C24:M24" si="4">C19</f>
        <v>1.59</v>
      </c>
      <c r="D24" s="423">
        <f t="shared" si="4"/>
        <v>1.59</v>
      </c>
      <c r="E24" s="423">
        <f t="shared" si="4"/>
        <v>1.59</v>
      </c>
      <c r="F24" s="423">
        <f t="shared" si="4"/>
        <v>1.59</v>
      </c>
      <c r="G24" s="423">
        <f t="shared" si="4"/>
        <v>1.59</v>
      </c>
      <c r="H24" s="423">
        <f t="shared" si="4"/>
        <v>1.59</v>
      </c>
      <c r="I24" s="423">
        <f t="shared" si="4"/>
        <v>1.59</v>
      </c>
      <c r="J24" s="423">
        <f t="shared" si="4"/>
        <v>1.59</v>
      </c>
      <c r="K24" s="423">
        <f t="shared" si="4"/>
        <v>1.59</v>
      </c>
      <c r="L24" s="423">
        <f t="shared" si="4"/>
        <v>1.59</v>
      </c>
      <c r="M24" s="423">
        <f t="shared" si="4"/>
        <v>1.59</v>
      </c>
      <c r="N24" s="257"/>
      <c r="O24" s="22"/>
    </row>
    <row r="25" spans="1:16" s="20" customFormat="1">
      <c r="A25" s="418" t="s">
        <v>17</v>
      </c>
      <c r="B25" s="420">
        <f t="shared" ref="B25:M25" si="5">B23*B24</f>
        <v>238500</v>
      </c>
      <c r="C25" s="420">
        <f t="shared" si="5"/>
        <v>238500</v>
      </c>
      <c r="D25" s="420">
        <f t="shared" si="5"/>
        <v>238500</v>
      </c>
      <c r="E25" s="420">
        <f t="shared" si="5"/>
        <v>238500</v>
      </c>
      <c r="F25" s="420">
        <f t="shared" si="5"/>
        <v>238500</v>
      </c>
      <c r="G25" s="420">
        <f t="shared" si="5"/>
        <v>238500</v>
      </c>
      <c r="H25" s="420">
        <f t="shared" si="5"/>
        <v>238500</v>
      </c>
      <c r="I25" s="420">
        <f t="shared" si="5"/>
        <v>238500</v>
      </c>
      <c r="J25" s="420">
        <f t="shared" si="5"/>
        <v>238500</v>
      </c>
      <c r="K25" s="420">
        <f t="shared" si="5"/>
        <v>238500</v>
      </c>
      <c r="L25" s="420">
        <f t="shared" si="5"/>
        <v>238500</v>
      </c>
      <c r="M25" s="420">
        <f t="shared" si="5"/>
        <v>238500</v>
      </c>
      <c r="N25" s="421">
        <f>SUM(B25:M25)</f>
        <v>2862000</v>
      </c>
      <c r="O25" s="22"/>
    </row>
    <row r="26" spans="1:16" s="20" customFormat="1">
      <c r="A26" s="422"/>
      <c r="B26" s="420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257"/>
      <c r="O26" s="22"/>
    </row>
    <row r="27" spans="1:16" s="20" customFormat="1" ht="10.199999999999999">
      <c r="A27" s="414" t="s">
        <v>23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257"/>
      <c r="O27" s="29"/>
    </row>
    <row r="28" spans="1:16" s="29" customFormat="1" ht="10.199999999999999">
      <c r="A28" s="415" t="s">
        <v>16</v>
      </c>
      <c r="B28" s="416">
        <f>37.056*1000</f>
        <v>37056</v>
      </c>
      <c r="C28" s="416">
        <f t="shared" ref="C28:L28" si="6">37.056*1000</f>
        <v>37056</v>
      </c>
      <c r="D28" s="416">
        <f t="shared" si="6"/>
        <v>37056</v>
      </c>
      <c r="E28" s="416">
        <f t="shared" si="6"/>
        <v>37056</v>
      </c>
      <c r="F28" s="416">
        <f t="shared" si="6"/>
        <v>37056</v>
      </c>
      <c r="G28" s="416">
        <f t="shared" si="6"/>
        <v>37056</v>
      </c>
      <c r="H28" s="416">
        <f t="shared" si="6"/>
        <v>37056</v>
      </c>
      <c r="I28" s="416">
        <f t="shared" si="6"/>
        <v>37056</v>
      </c>
      <c r="J28" s="416">
        <f t="shared" si="6"/>
        <v>37056</v>
      </c>
      <c r="K28" s="416">
        <f t="shared" si="6"/>
        <v>37056</v>
      </c>
      <c r="L28" s="416">
        <f t="shared" si="6"/>
        <v>37056</v>
      </c>
      <c r="M28" s="416">
        <f>37.056*1000</f>
        <v>37056</v>
      </c>
      <c r="N28" s="417">
        <f>SUM(B28:M28)</f>
        <v>444672</v>
      </c>
    </row>
    <row r="29" spans="1:16" s="20" customFormat="1" ht="10.199999999999999">
      <c r="A29" s="418" t="s">
        <v>20</v>
      </c>
      <c r="B29" s="423">
        <f>B24</f>
        <v>1.59</v>
      </c>
      <c r="C29" s="423">
        <f t="shared" ref="C29:M29" si="7">C24</f>
        <v>1.59</v>
      </c>
      <c r="D29" s="423">
        <f t="shared" si="7"/>
        <v>1.59</v>
      </c>
      <c r="E29" s="423">
        <f t="shared" si="7"/>
        <v>1.59</v>
      </c>
      <c r="F29" s="423">
        <f t="shared" si="7"/>
        <v>1.59</v>
      </c>
      <c r="G29" s="423">
        <f t="shared" si="7"/>
        <v>1.59</v>
      </c>
      <c r="H29" s="423">
        <f t="shared" si="7"/>
        <v>1.59</v>
      </c>
      <c r="I29" s="423">
        <f t="shared" si="7"/>
        <v>1.59</v>
      </c>
      <c r="J29" s="423">
        <f t="shared" si="7"/>
        <v>1.59</v>
      </c>
      <c r="K29" s="423">
        <f t="shared" si="7"/>
        <v>1.59</v>
      </c>
      <c r="L29" s="423">
        <f t="shared" si="7"/>
        <v>1.59</v>
      </c>
      <c r="M29" s="423">
        <f t="shared" si="7"/>
        <v>1.59</v>
      </c>
      <c r="N29" s="257"/>
    </row>
    <row r="30" spans="1:16" s="20" customFormat="1" ht="10.199999999999999">
      <c r="A30" s="418" t="s">
        <v>17</v>
      </c>
      <c r="B30" s="420">
        <f t="shared" ref="B30:M30" si="8">B28*B29</f>
        <v>58919.040000000001</v>
      </c>
      <c r="C30" s="420">
        <f t="shared" si="8"/>
        <v>58919.040000000001</v>
      </c>
      <c r="D30" s="420">
        <f t="shared" si="8"/>
        <v>58919.040000000001</v>
      </c>
      <c r="E30" s="420">
        <f t="shared" si="8"/>
        <v>58919.040000000001</v>
      </c>
      <c r="F30" s="420">
        <f t="shared" si="8"/>
        <v>58919.040000000001</v>
      </c>
      <c r="G30" s="420">
        <f t="shared" si="8"/>
        <v>58919.040000000001</v>
      </c>
      <c r="H30" s="420">
        <f t="shared" si="8"/>
        <v>58919.040000000001</v>
      </c>
      <c r="I30" s="420">
        <f t="shared" si="8"/>
        <v>58919.040000000001</v>
      </c>
      <c r="J30" s="420">
        <f t="shared" si="8"/>
        <v>58919.040000000001</v>
      </c>
      <c r="K30" s="420">
        <f t="shared" si="8"/>
        <v>58919.040000000001</v>
      </c>
      <c r="L30" s="420">
        <f t="shared" si="8"/>
        <v>58919.040000000001</v>
      </c>
      <c r="M30" s="420">
        <f t="shared" si="8"/>
        <v>58919.040000000001</v>
      </c>
      <c r="N30" s="421">
        <f>SUM(B30:M30)</f>
        <v>707028.4800000001</v>
      </c>
    </row>
    <row r="31" spans="1:16" s="20" customFormat="1" ht="10.199999999999999">
      <c r="A31" s="422"/>
      <c r="B31" s="420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257"/>
    </row>
    <row r="32" spans="1:16" s="20" customFormat="1" ht="10.199999999999999">
      <c r="A32" s="414" t="s">
        <v>24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257"/>
    </row>
    <row r="33" spans="1:15" s="29" customFormat="1" ht="10.199999999999999">
      <c r="A33" s="415" t="s">
        <v>16</v>
      </c>
      <c r="B33" s="416">
        <v>52000</v>
      </c>
      <c r="C33" s="416">
        <v>52000</v>
      </c>
      <c r="D33" s="416">
        <v>52000</v>
      </c>
      <c r="E33" s="416">
        <v>52000</v>
      </c>
      <c r="F33" s="416">
        <v>52000</v>
      </c>
      <c r="G33" s="416">
        <v>52000</v>
      </c>
      <c r="H33" s="416">
        <v>52000</v>
      </c>
      <c r="I33" s="416">
        <v>52000</v>
      </c>
      <c r="J33" s="416">
        <v>52000</v>
      </c>
      <c r="K33" s="416">
        <v>52000</v>
      </c>
      <c r="L33" s="416">
        <v>52000</v>
      </c>
      <c r="M33" s="416">
        <v>52000</v>
      </c>
      <c r="N33" s="417">
        <f>SUM(B33:M33)</f>
        <v>624000</v>
      </c>
    </row>
    <row r="34" spans="1:15" s="20" customFormat="1" ht="10.199999999999999">
      <c r="A34" s="418" t="s">
        <v>20</v>
      </c>
      <c r="B34" s="423">
        <f>B29</f>
        <v>1.59</v>
      </c>
      <c r="C34" s="423">
        <f t="shared" ref="C34:M34" si="9">C29</f>
        <v>1.59</v>
      </c>
      <c r="D34" s="423">
        <f t="shared" si="9"/>
        <v>1.59</v>
      </c>
      <c r="E34" s="423">
        <f t="shared" si="9"/>
        <v>1.59</v>
      </c>
      <c r="F34" s="423">
        <f t="shared" si="9"/>
        <v>1.59</v>
      </c>
      <c r="G34" s="423">
        <f t="shared" si="9"/>
        <v>1.59</v>
      </c>
      <c r="H34" s="423">
        <f t="shared" si="9"/>
        <v>1.59</v>
      </c>
      <c r="I34" s="423">
        <f t="shared" si="9"/>
        <v>1.59</v>
      </c>
      <c r="J34" s="423">
        <f t="shared" si="9"/>
        <v>1.59</v>
      </c>
      <c r="K34" s="423">
        <f t="shared" si="9"/>
        <v>1.59</v>
      </c>
      <c r="L34" s="423">
        <f t="shared" si="9"/>
        <v>1.59</v>
      </c>
      <c r="M34" s="423">
        <f t="shared" si="9"/>
        <v>1.59</v>
      </c>
      <c r="N34" s="257"/>
    </row>
    <row r="35" spans="1:15" s="20" customFormat="1" ht="10.199999999999999">
      <c r="A35" s="418" t="s">
        <v>17</v>
      </c>
      <c r="B35" s="420">
        <f t="shared" ref="B35:M35" si="10">B33*B34</f>
        <v>82680</v>
      </c>
      <c r="C35" s="420">
        <f t="shared" si="10"/>
        <v>82680</v>
      </c>
      <c r="D35" s="420">
        <f t="shared" si="10"/>
        <v>82680</v>
      </c>
      <c r="E35" s="420">
        <f t="shared" si="10"/>
        <v>82680</v>
      </c>
      <c r="F35" s="420">
        <f t="shared" si="10"/>
        <v>82680</v>
      </c>
      <c r="G35" s="420">
        <f t="shared" si="10"/>
        <v>82680</v>
      </c>
      <c r="H35" s="420">
        <f t="shared" si="10"/>
        <v>82680</v>
      </c>
      <c r="I35" s="420">
        <f t="shared" si="10"/>
        <v>82680</v>
      </c>
      <c r="J35" s="420">
        <f t="shared" si="10"/>
        <v>82680</v>
      </c>
      <c r="K35" s="420">
        <f t="shared" si="10"/>
        <v>82680</v>
      </c>
      <c r="L35" s="420">
        <f t="shared" si="10"/>
        <v>82680</v>
      </c>
      <c r="M35" s="420">
        <f t="shared" si="10"/>
        <v>82680</v>
      </c>
      <c r="N35" s="421">
        <f>SUM(B35:M35)</f>
        <v>992160</v>
      </c>
    </row>
    <row r="36" spans="1:15" s="20" customFormat="1" ht="10.199999999999999">
      <c r="A36" s="418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1"/>
    </row>
    <row r="37" spans="1:15" s="20" customFormat="1" ht="10.199999999999999">
      <c r="A37" s="414" t="s">
        <v>116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257"/>
    </row>
    <row r="38" spans="1:15" s="20" customFormat="1" ht="10.199999999999999">
      <c r="A38" s="415" t="s">
        <v>16</v>
      </c>
      <c r="B38" s="416">
        <v>40000</v>
      </c>
      <c r="C38" s="416">
        <v>40000</v>
      </c>
      <c r="D38" s="416">
        <v>40000</v>
      </c>
      <c r="E38" s="416">
        <v>40000</v>
      </c>
      <c r="F38" s="416">
        <v>40000</v>
      </c>
      <c r="G38" s="416">
        <v>40000</v>
      </c>
      <c r="H38" s="416">
        <v>40000</v>
      </c>
      <c r="I38" s="416">
        <v>40000</v>
      </c>
      <c r="J38" s="416">
        <v>40000</v>
      </c>
      <c r="K38" s="416">
        <v>40000</v>
      </c>
      <c r="L38" s="416">
        <v>40000</v>
      </c>
      <c r="M38" s="416">
        <v>40000</v>
      </c>
      <c r="N38" s="417">
        <f>SUM(B38:M38)</f>
        <v>480000</v>
      </c>
    </row>
    <row r="39" spans="1:15" s="20" customFormat="1" ht="10.199999999999999">
      <c r="A39" s="418" t="s">
        <v>20</v>
      </c>
      <c r="B39" s="423">
        <f>B34</f>
        <v>1.59</v>
      </c>
      <c r="C39" s="423">
        <f t="shared" ref="C39:M39" si="11">C34</f>
        <v>1.59</v>
      </c>
      <c r="D39" s="423">
        <f t="shared" si="11"/>
        <v>1.59</v>
      </c>
      <c r="E39" s="423">
        <f t="shared" si="11"/>
        <v>1.59</v>
      </c>
      <c r="F39" s="423">
        <f t="shared" si="11"/>
        <v>1.59</v>
      </c>
      <c r="G39" s="423">
        <f t="shared" si="11"/>
        <v>1.59</v>
      </c>
      <c r="H39" s="423">
        <f t="shared" si="11"/>
        <v>1.59</v>
      </c>
      <c r="I39" s="423">
        <f t="shared" si="11"/>
        <v>1.59</v>
      </c>
      <c r="J39" s="423">
        <f t="shared" si="11"/>
        <v>1.59</v>
      </c>
      <c r="K39" s="423">
        <f t="shared" si="11"/>
        <v>1.59</v>
      </c>
      <c r="L39" s="423">
        <f t="shared" si="11"/>
        <v>1.59</v>
      </c>
      <c r="M39" s="423">
        <f t="shared" si="11"/>
        <v>1.59</v>
      </c>
      <c r="N39" s="257"/>
    </row>
    <row r="40" spans="1:15" s="20" customFormat="1" ht="10.199999999999999">
      <c r="A40" s="418" t="s">
        <v>17</v>
      </c>
      <c r="B40" s="420">
        <f t="shared" ref="B40:M40" si="12">B38*B39</f>
        <v>63600</v>
      </c>
      <c r="C40" s="420">
        <f t="shared" si="12"/>
        <v>63600</v>
      </c>
      <c r="D40" s="420">
        <f t="shared" si="12"/>
        <v>63600</v>
      </c>
      <c r="E40" s="420">
        <f t="shared" si="12"/>
        <v>63600</v>
      </c>
      <c r="F40" s="420">
        <f t="shared" si="12"/>
        <v>63600</v>
      </c>
      <c r="G40" s="420">
        <f t="shared" si="12"/>
        <v>63600</v>
      </c>
      <c r="H40" s="420">
        <f t="shared" si="12"/>
        <v>63600</v>
      </c>
      <c r="I40" s="420">
        <f t="shared" si="12"/>
        <v>63600</v>
      </c>
      <c r="J40" s="420">
        <f t="shared" si="12"/>
        <v>63600</v>
      </c>
      <c r="K40" s="420">
        <f t="shared" si="12"/>
        <v>63600</v>
      </c>
      <c r="L40" s="420">
        <f t="shared" si="12"/>
        <v>63600</v>
      </c>
      <c r="M40" s="420">
        <f t="shared" si="12"/>
        <v>63600</v>
      </c>
      <c r="N40" s="421">
        <f>SUM(B40:M40)</f>
        <v>763200</v>
      </c>
    </row>
    <row r="41" spans="1:15" s="20" customFormat="1" ht="10.199999999999999">
      <c r="A41" s="418"/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1"/>
    </row>
    <row r="42" spans="1:15" s="20" customFormat="1" ht="10.199999999999999">
      <c r="A42" s="414" t="s">
        <v>237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257"/>
    </row>
    <row r="43" spans="1:15" s="20" customFormat="1" ht="10.199999999999999">
      <c r="A43" s="415" t="s">
        <v>16</v>
      </c>
      <c r="B43" s="416">
        <v>4000</v>
      </c>
      <c r="C43" s="416">
        <f t="shared" ref="C43:M43" si="13">B43</f>
        <v>4000</v>
      </c>
      <c r="D43" s="416">
        <f t="shared" si="13"/>
        <v>4000</v>
      </c>
      <c r="E43" s="416">
        <f t="shared" si="13"/>
        <v>4000</v>
      </c>
      <c r="F43" s="416">
        <f t="shared" si="13"/>
        <v>4000</v>
      </c>
      <c r="G43" s="416">
        <f t="shared" si="13"/>
        <v>4000</v>
      </c>
      <c r="H43" s="416">
        <f t="shared" si="13"/>
        <v>4000</v>
      </c>
      <c r="I43" s="416">
        <f t="shared" si="13"/>
        <v>4000</v>
      </c>
      <c r="J43" s="416">
        <f t="shared" si="13"/>
        <v>4000</v>
      </c>
      <c r="K43" s="416">
        <f t="shared" si="13"/>
        <v>4000</v>
      </c>
      <c r="L43" s="416">
        <f t="shared" si="13"/>
        <v>4000</v>
      </c>
      <c r="M43" s="416">
        <f t="shared" si="13"/>
        <v>4000</v>
      </c>
      <c r="N43" s="417">
        <f>SUM(B43:M43)</f>
        <v>48000</v>
      </c>
    </row>
    <row r="44" spans="1:15" s="20" customFormat="1" ht="10.199999999999999">
      <c r="A44" s="418" t="s">
        <v>20</v>
      </c>
      <c r="B44" s="423">
        <f>B39</f>
        <v>1.59</v>
      </c>
      <c r="C44" s="423">
        <f t="shared" ref="C44:M44" si="14">C39</f>
        <v>1.59</v>
      </c>
      <c r="D44" s="423">
        <f t="shared" si="14"/>
        <v>1.59</v>
      </c>
      <c r="E44" s="423">
        <f t="shared" si="14"/>
        <v>1.59</v>
      </c>
      <c r="F44" s="423">
        <f t="shared" si="14"/>
        <v>1.59</v>
      </c>
      <c r="G44" s="423">
        <f t="shared" si="14"/>
        <v>1.59</v>
      </c>
      <c r="H44" s="423">
        <f t="shared" si="14"/>
        <v>1.59</v>
      </c>
      <c r="I44" s="423">
        <f t="shared" si="14"/>
        <v>1.59</v>
      </c>
      <c r="J44" s="423">
        <f t="shared" si="14"/>
        <v>1.59</v>
      </c>
      <c r="K44" s="423">
        <f t="shared" si="14"/>
        <v>1.59</v>
      </c>
      <c r="L44" s="423">
        <f t="shared" si="14"/>
        <v>1.59</v>
      </c>
      <c r="M44" s="423">
        <f t="shared" si="14"/>
        <v>1.59</v>
      </c>
      <c r="N44" s="257"/>
    </row>
    <row r="45" spans="1:15" s="20" customFormat="1" ht="10.199999999999999">
      <c r="A45" s="418" t="s">
        <v>17</v>
      </c>
      <c r="B45" s="420">
        <f t="shared" ref="B45:M45" si="15">B43*B44</f>
        <v>6360</v>
      </c>
      <c r="C45" s="420">
        <f t="shared" si="15"/>
        <v>6360</v>
      </c>
      <c r="D45" s="420">
        <f t="shared" si="15"/>
        <v>6360</v>
      </c>
      <c r="E45" s="420">
        <f t="shared" si="15"/>
        <v>6360</v>
      </c>
      <c r="F45" s="420">
        <f t="shared" si="15"/>
        <v>6360</v>
      </c>
      <c r="G45" s="420">
        <f t="shared" si="15"/>
        <v>6360</v>
      </c>
      <c r="H45" s="420">
        <f t="shared" si="15"/>
        <v>6360</v>
      </c>
      <c r="I45" s="420">
        <f t="shared" si="15"/>
        <v>6360</v>
      </c>
      <c r="J45" s="420">
        <f t="shared" si="15"/>
        <v>6360</v>
      </c>
      <c r="K45" s="420">
        <f t="shared" si="15"/>
        <v>6360</v>
      </c>
      <c r="L45" s="420">
        <f t="shared" si="15"/>
        <v>6360</v>
      </c>
      <c r="M45" s="420">
        <f t="shared" si="15"/>
        <v>6360</v>
      </c>
      <c r="N45" s="421">
        <f>SUM(B45:M45)</f>
        <v>76320</v>
      </c>
    </row>
    <row r="46" spans="1:15" s="20" customFormat="1" ht="10.199999999999999">
      <c r="A46" s="418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1"/>
    </row>
    <row r="47" spans="1:15">
      <c r="A47" s="414" t="s">
        <v>179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257"/>
    </row>
    <row r="48" spans="1:15">
      <c r="A48" s="415" t="s">
        <v>16</v>
      </c>
      <c r="B48" s="416">
        <v>3000</v>
      </c>
      <c r="C48" s="416">
        <f t="shared" ref="C48:M48" si="16">B48</f>
        <v>3000</v>
      </c>
      <c r="D48" s="416">
        <f t="shared" si="16"/>
        <v>3000</v>
      </c>
      <c r="E48" s="416">
        <f t="shared" si="16"/>
        <v>3000</v>
      </c>
      <c r="F48" s="416">
        <f t="shared" si="16"/>
        <v>3000</v>
      </c>
      <c r="G48" s="416">
        <f t="shared" si="16"/>
        <v>3000</v>
      </c>
      <c r="H48" s="416">
        <f t="shared" si="16"/>
        <v>3000</v>
      </c>
      <c r="I48" s="416">
        <f t="shared" si="16"/>
        <v>3000</v>
      </c>
      <c r="J48" s="416">
        <f t="shared" si="16"/>
        <v>3000</v>
      </c>
      <c r="K48" s="416">
        <f t="shared" si="16"/>
        <v>3000</v>
      </c>
      <c r="L48" s="416">
        <f t="shared" si="16"/>
        <v>3000</v>
      </c>
      <c r="M48" s="416">
        <f t="shared" si="16"/>
        <v>3000</v>
      </c>
      <c r="N48" s="417">
        <f>SUM(B48:M48)</f>
        <v>36000</v>
      </c>
      <c r="O48" s="371" t="s">
        <v>282</v>
      </c>
    </row>
    <row r="49" spans="1:15">
      <c r="A49" s="418" t="s">
        <v>20</v>
      </c>
      <c r="B49" s="423">
        <f>B39</f>
        <v>1.59</v>
      </c>
      <c r="C49" s="423">
        <f t="shared" ref="C49:M49" si="17">C39</f>
        <v>1.59</v>
      </c>
      <c r="D49" s="423">
        <f t="shared" si="17"/>
        <v>1.59</v>
      </c>
      <c r="E49" s="423">
        <f t="shared" si="17"/>
        <v>1.59</v>
      </c>
      <c r="F49" s="423">
        <f t="shared" si="17"/>
        <v>1.59</v>
      </c>
      <c r="G49" s="423">
        <f t="shared" si="17"/>
        <v>1.59</v>
      </c>
      <c r="H49" s="423">
        <f t="shared" si="17"/>
        <v>1.59</v>
      </c>
      <c r="I49" s="423">
        <f t="shared" si="17"/>
        <v>1.59</v>
      </c>
      <c r="J49" s="423">
        <f t="shared" si="17"/>
        <v>1.59</v>
      </c>
      <c r="K49" s="423">
        <f t="shared" si="17"/>
        <v>1.59</v>
      </c>
      <c r="L49" s="423">
        <f t="shared" si="17"/>
        <v>1.59</v>
      </c>
      <c r="M49" s="423">
        <f t="shared" si="17"/>
        <v>1.59</v>
      </c>
      <c r="N49" s="257"/>
    </row>
    <row r="50" spans="1:15">
      <c r="A50" s="418" t="s">
        <v>17</v>
      </c>
      <c r="B50" s="420">
        <f t="shared" ref="B50:M50" si="18">B48*B49</f>
        <v>4770</v>
      </c>
      <c r="C50" s="420">
        <f t="shared" si="18"/>
        <v>4770</v>
      </c>
      <c r="D50" s="420">
        <f t="shared" si="18"/>
        <v>4770</v>
      </c>
      <c r="E50" s="420">
        <f t="shared" si="18"/>
        <v>4770</v>
      </c>
      <c r="F50" s="420">
        <f t="shared" si="18"/>
        <v>4770</v>
      </c>
      <c r="G50" s="420">
        <f t="shared" si="18"/>
        <v>4770</v>
      </c>
      <c r="H50" s="420">
        <f t="shared" si="18"/>
        <v>4770</v>
      </c>
      <c r="I50" s="420">
        <f t="shared" si="18"/>
        <v>4770</v>
      </c>
      <c r="J50" s="420">
        <f t="shared" si="18"/>
        <v>4770</v>
      </c>
      <c r="K50" s="420">
        <f t="shared" si="18"/>
        <v>4770</v>
      </c>
      <c r="L50" s="420">
        <f t="shared" si="18"/>
        <v>4770</v>
      </c>
      <c r="M50" s="420">
        <f t="shared" si="18"/>
        <v>4770</v>
      </c>
      <c r="N50" s="421">
        <f>SUM(B50:M50)</f>
        <v>57240</v>
      </c>
    </row>
    <row r="51" spans="1:15">
      <c r="A51" s="418"/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1"/>
    </row>
    <row r="52" spans="1:15" s="20" customFormat="1" ht="10.199999999999999">
      <c r="A52" s="414" t="s">
        <v>44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257"/>
    </row>
    <row r="53" spans="1:15" s="20" customFormat="1" ht="10.199999999999999">
      <c r="A53" s="415" t="s">
        <v>16</v>
      </c>
      <c r="B53" s="416">
        <v>25000</v>
      </c>
      <c r="C53" s="416">
        <f>B53</f>
        <v>25000</v>
      </c>
      <c r="D53" s="416">
        <f t="shared" ref="D53:M53" si="19">C53</f>
        <v>25000</v>
      </c>
      <c r="E53" s="416">
        <f t="shared" si="19"/>
        <v>25000</v>
      </c>
      <c r="F53" s="416">
        <f t="shared" si="19"/>
        <v>25000</v>
      </c>
      <c r="G53" s="416">
        <f t="shared" si="19"/>
        <v>25000</v>
      </c>
      <c r="H53" s="416">
        <f t="shared" si="19"/>
        <v>25000</v>
      </c>
      <c r="I53" s="416">
        <f t="shared" si="19"/>
        <v>25000</v>
      </c>
      <c r="J53" s="416">
        <f t="shared" si="19"/>
        <v>25000</v>
      </c>
      <c r="K53" s="416">
        <f t="shared" si="19"/>
        <v>25000</v>
      </c>
      <c r="L53" s="416">
        <f t="shared" si="19"/>
        <v>25000</v>
      </c>
      <c r="M53" s="416">
        <f t="shared" si="19"/>
        <v>25000</v>
      </c>
      <c r="N53" s="417">
        <f>SUM(B53:M53)</f>
        <v>300000</v>
      </c>
      <c r="O53" s="276" t="s">
        <v>360</v>
      </c>
    </row>
    <row r="54" spans="1:15" s="20" customFormat="1" ht="10.199999999999999">
      <c r="A54" s="418" t="s">
        <v>20</v>
      </c>
      <c r="B54" s="423">
        <f>B39</f>
        <v>1.59</v>
      </c>
      <c r="C54" s="423">
        <f t="shared" ref="C54:M54" si="20">C39</f>
        <v>1.59</v>
      </c>
      <c r="D54" s="423">
        <f t="shared" si="20"/>
        <v>1.59</v>
      </c>
      <c r="E54" s="423">
        <f t="shared" si="20"/>
        <v>1.59</v>
      </c>
      <c r="F54" s="423">
        <f t="shared" si="20"/>
        <v>1.59</v>
      </c>
      <c r="G54" s="423">
        <f t="shared" si="20"/>
        <v>1.59</v>
      </c>
      <c r="H54" s="423">
        <f t="shared" si="20"/>
        <v>1.59</v>
      </c>
      <c r="I54" s="423">
        <f t="shared" si="20"/>
        <v>1.59</v>
      </c>
      <c r="J54" s="423">
        <f t="shared" si="20"/>
        <v>1.59</v>
      </c>
      <c r="K54" s="423">
        <f t="shared" si="20"/>
        <v>1.59</v>
      </c>
      <c r="L54" s="423">
        <f t="shared" si="20"/>
        <v>1.59</v>
      </c>
      <c r="M54" s="423">
        <f t="shared" si="20"/>
        <v>1.59</v>
      </c>
      <c r="N54" s="257"/>
    </row>
    <row r="55" spans="1:15" s="20" customFormat="1" ht="10.199999999999999">
      <c r="A55" s="418" t="s">
        <v>17</v>
      </c>
      <c r="B55" s="420">
        <f t="shared" ref="B55:M55" si="21">B53*B54</f>
        <v>39750</v>
      </c>
      <c r="C55" s="420">
        <f t="shared" si="21"/>
        <v>39750</v>
      </c>
      <c r="D55" s="420">
        <f t="shared" si="21"/>
        <v>39750</v>
      </c>
      <c r="E55" s="420">
        <f t="shared" si="21"/>
        <v>39750</v>
      </c>
      <c r="F55" s="420">
        <f t="shared" si="21"/>
        <v>39750</v>
      </c>
      <c r="G55" s="420">
        <f t="shared" si="21"/>
        <v>39750</v>
      </c>
      <c r="H55" s="420">
        <f t="shared" si="21"/>
        <v>39750</v>
      </c>
      <c r="I55" s="420">
        <f t="shared" si="21"/>
        <v>39750</v>
      </c>
      <c r="J55" s="420">
        <f t="shared" si="21"/>
        <v>39750</v>
      </c>
      <c r="K55" s="420">
        <f t="shared" si="21"/>
        <v>39750</v>
      </c>
      <c r="L55" s="420">
        <f t="shared" si="21"/>
        <v>39750</v>
      </c>
      <c r="M55" s="420">
        <f t="shared" si="21"/>
        <v>39750</v>
      </c>
      <c r="N55" s="421">
        <f>SUM(B55:M55)</f>
        <v>477000</v>
      </c>
    </row>
    <row r="56" spans="1:15" s="20" customFormat="1" ht="10.199999999999999">
      <c r="A56" s="418"/>
      <c r="B56" s="420"/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421"/>
    </row>
    <row r="57" spans="1:15" s="20" customFormat="1" ht="10.199999999999999">
      <c r="A57" s="414" t="s">
        <v>171</v>
      </c>
      <c r="B57" s="420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1"/>
    </row>
    <row r="58" spans="1:15" s="20" customFormat="1" ht="10.199999999999999">
      <c r="A58" s="415" t="s">
        <v>16</v>
      </c>
      <c r="B58" s="420">
        <v>4000</v>
      </c>
      <c r="C58" s="420">
        <v>4000</v>
      </c>
      <c r="D58" s="420">
        <v>4000</v>
      </c>
      <c r="E58" s="420">
        <v>4000</v>
      </c>
      <c r="F58" s="420">
        <v>4000</v>
      </c>
      <c r="G58" s="420">
        <v>4000</v>
      </c>
      <c r="H58" s="420">
        <v>4000</v>
      </c>
      <c r="I58" s="420">
        <v>4000</v>
      </c>
      <c r="J58" s="420">
        <v>4000</v>
      </c>
      <c r="K58" s="420">
        <v>4000</v>
      </c>
      <c r="L58" s="420">
        <v>4000</v>
      </c>
      <c r="M58" s="420">
        <v>4000</v>
      </c>
      <c r="N58" s="417">
        <f>SUM(B58:M58)</f>
        <v>48000</v>
      </c>
    </row>
    <row r="59" spans="1:15" s="20" customFormat="1" ht="10.199999999999999">
      <c r="A59" s="418" t="s">
        <v>20</v>
      </c>
      <c r="B59" s="423">
        <f>B54</f>
        <v>1.59</v>
      </c>
      <c r="C59" s="423">
        <f t="shared" ref="C59:M59" si="22">C54</f>
        <v>1.59</v>
      </c>
      <c r="D59" s="423">
        <f t="shared" si="22"/>
        <v>1.59</v>
      </c>
      <c r="E59" s="423">
        <f t="shared" si="22"/>
        <v>1.59</v>
      </c>
      <c r="F59" s="423">
        <f t="shared" si="22"/>
        <v>1.59</v>
      </c>
      <c r="G59" s="423">
        <f t="shared" si="22"/>
        <v>1.59</v>
      </c>
      <c r="H59" s="423">
        <f t="shared" si="22"/>
        <v>1.59</v>
      </c>
      <c r="I59" s="423">
        <f t="shared" si="22"/>
        <v>1.59</v>
      </c>
      <c r="J59" s="423">
        <f t="shared" si="22"/>
        <v>1.59</v>
      </c>
      <c r="K59" s="423">
        <f t="shared" si="22"/>
        <v>1.59</v>
      </c>
      <c r="L59" s="423">
        <f t="shared" si="22"/>
        <v>1.59</v>
      </c>
      <c r="M59" s="423">
        <f t="shared" si="22"/>
        <v>1.59</v>
      </c>
      <c r="N59" s="257"/>
    </row>
    <row r="60" spans="1:15" s="20" customFormat="1" ht="10.199999999999999">
      <c r="A60" s="418" t="s">
        <v>17</v>
      </c>
      <c r="B60" s="420">
        <f t="shared" ref="B60:M60" si="23">B58*B59</f>
        <v>6360</v>
      </c>
      <c r="C60" s="420">
        <f t="shared" si="23"/>
        <v>6360</v>
      </c>
      <c r="D60" s="420">
        <f t="shared" si="23"/>
        <v>6360</v>
      </c>
      <c r="E60" s="420">
        <f t="shared" si="23"/>
        <v>6360</v>
      </c>
      <c r="F60" s="420">
        <f t="shared" si="23"/>
        <v>6360</v>
      </c>
      <c r="G60" s="420">
        <f t="shared" si="23"/>
        <v>6360</v>
      </c>
      <c r="H60" s="420">
        <f t="shared" si="23"/>
        <v>6360</v>
      </c>
      <c r="I60" s="420">
        <f t="shared" si="23"/>
        <v>6360</v>
      </c>
      <c r="J60" s="420">
        <f t="shared" si="23"/>
        <v>6360</v>
      </c>
      <c r="K60" s="420">
        <f t="shared" si="23"/>
        <v>6360</v>
      </c>
      <c r="L60" s="420">
        <f t="shared" si="23"/>
        <v>6360</v>
      </c>
      <c r="M60" s="420">
        <f t="shared" si="23"/>
        <v>6360</v>
      </c>
      <c r="N60" s="421">
        <f>SUM(B60:M60)</f>
        <v>76320</v>
      </c>
    </row>
    <row r="61" spans="1:15" s="20" customFormat="1" ht="10.199999999999999">
      <c r="A61" s="418"/>
      <c r="B61" s="420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1"/>
    </row>
    <row r="62" spans="1:15" s="20" customFormat="1" ht="10.199999999999999">
      <c r="A62" s="414" t="s">
        <v>239</v>
      </c>
      <c r="B62" s="420"/>
      <c r="C62" s="420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1"/>
    </row>
    <row r="63" spans="1:15" s="20" customFormat="1" ht="10.199999999999999">
      <c r="A63" s="415" t="s">
        <v>16</v>
      </c>
      <c r="B63" s="420">
        <v>160000</v>
      </c>
      <c r="C63" s="420">
        <v>160000</v>
      </c>
      <c r="D63" s="420">
        <v>160000</v>
      </c>
      <c r="E63" s="420">
        <v>160000</v>
      </c>
      <c r="F63" s="420">
        <v>160000</v>
      </c>
      <c r="G63" s="420">
        <v>160000</v>
      </c>
      <c r="H63" s="420">
        <v>160000</v>
      </c>
      <c r="I63" s="420">
        <v>160000</v>
      </c>
      <c r="J63" s="420">
        <v>160000</v>
      </c>
      <c r="K63" s="420">
        <v>160000</v>
      </c>
      <c r="L63" s="420">
        <v>160000</v>
      </c>
      <c r="M63" s="420">
        <v>160000</v>
      </c>
      <c r="N63" s="417">
        <f>SUM(B63:M63)</f>
        <v>1920000</v>
      </c>
    </row>
    <row r="64" spans="1:15" s="20" customFormat="1" ht="10.199999999999999">
      <c r="A64" s="418" t="s">
        <v>20</v>
      </c>
      <c r="B64" s="423">
        <f>B59</f>
        <v>1.59</v>
      </c>
      <c r="C64" s="423">
        <f t="shared" ref="C64:M64" si="24">C59</f>
        <v>1.59</v>
      </c>
      <c r="D64" s="423">
        <f t="shared" si="24"/>
        <v>1.59</v>
      </c>
      <c r="E64" s="423">
        <f t="shared" si="24"/>
        <v>1.59</v>
      </c>
      <c r="F64" s="423">
        <f t="shared" si="24"/>
        <v>1.59</v>
      </c>
      <c r="G64" s="423">
        <f t="shared" si="24"/>
        <v>1.59</v>
      </c>
      <c r="H64" s="423">
        <f t="shared" si="24"/>
        <v>1.59</v>
      </c>
      <c r="I64" s="423">
        <f t="shared" si="24"/>
        <v>1.59</v>
      </c>
      <c r="J64" s="423">
        <f t="shared" si="24"/>
        <v>1.59</v>
      </c>
      <c r="K64" s="423">
        <f t="shared" si="24"/>
        <v>1.59</v>
      </c>
      <c r="L64" s="423">
        <f t="shared" si="24"/>
        <v>1.59</v>
      </c>
      <c r="M64" s="423">
        <f t="shared" si="24"/>
        <v>1.59</v>
      </c>
      <c r="N64" s="257"/>
    </row>
    <row r="65" spans="1:16" s="20" customFormat="1" ht="10.199999999999999">
      <c r="A65" s="418" t="s">
        <v>17</v>
      </c>
      <c r="B65" s="420">
        <f t="shared" ref="B65:M65" si="25">B63*B64</f>
        <v>254400</v>
      </c>
      <c r="C65" s="420">
        <f t="shared" si="25"/>
        <v>254400</v>
      </c>
      <c r="D65" s="420">
        <f t="shared" si="25"/>
        <v>254400</v>
      </c>
      <c r="E65" s="420">
        <f t="shared" si="25"/>
        <v>254400</v>
      </c>
      <c r="F65" s="420">
        <f t="shared" si="25"/>
        <v>254400</v>
      </c>
      <c r="G65" s="420">
        <f t="shared" si="25"/>
        <v>254400</v>
      </c>
      <c r="H65" s="420">
        <f t="shared" si="25"/>
        <v>254400</v>
      </c>
      <c r="I65" s="420">
        <f t="shared" si="25"/>
        <v>254400</v>
      </c>
      <c r="J65" s="420">
        <f t="shared" si="25"/>
        <v>254400</v>
      </c>
      <c r="K65" s="420">
        <f t="shared" si="25"/>
        <v>254400</v>
      </c>
      <c r="L65" s="420">
        <f t="shared" si="25"/>
        <v>254400</v>
      </c>
      <c r="M65" s="420">
        <f t="shared" si="25"/>
        <v>254400</v>
      </c>
      <c r="N65" s="421">
        <f>SUM(B65:M65)</f>
        <v>3052800</v>
      </c>
    </row>
    <row r="66" spans="1:16" s="20" customFormat="1" ht="10.199999999999999">
      <c r="A66" s="418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1"/>
    </row>
    <row r="67" spans="1:16" s="20" customFormat="1" ht="10.199999999999999">
      <c r="A67" s="418"/>
      <c r="B67" s="420"/>
      <c r="C67" s="420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1"/>
    </row>
    <row r="68" spans="1:16" s="20" customFormat="1" ht="10.199999999999999">
      <c r="A68" s="424" t="s">
        <v>25</v>
      </c>
      <c r="B68" s="425">
        <f>B15+B20+B25+B30+B35+B40+B45+B50+B55+B60+B65</f>
        <v>799859.04</v>
      </c>
      <c r="C68" s="425">
        <f t="shared" ref="C68:M68" si="26">C15+C20+C25+C30+C35+C40+C45+C50+C55+C60+C65</f>
        <v>799859.04</v>
      </c>
      <c r="D68" s="425">
        <f t="shared" si="26"/>
        <v>799859.04</v>
      </c>
      <c r="E68" s="425">
        <f t="shared" si="26"/>
        <v>799859.04</v>
      </c>
      <c r="F68" s="425">
        <f t="shared" si="26"/>
        <v>799859.04</v>
      </c>
      <c r="G68" s="425">
        <f t="shared" si="26"/>
        <v>799859.04</v>
      </c>
      <c r="H68" s="425">
        <f t="shared" si="26"/>
        <v>799859.04</v>
      </c>
      <c r="I68" s="425">
        <f t="shared" si="26"/>
        <v>799859.04</v>
      </c>
      <c r="J68" s="425">
        <f t="shared" si="26"/>
        <v>799859.04</v>
      </c>
      <c r="K68" s="425">
        <f t="shared" si="26"/>
        <v>799859.04</v>
      </c>
      <c r="L68" s="425">
        <f t="shared" si="26"/>
        <v>799859.04</v>
      </c>
      <c r="M68" s="425">
        <f t="shared" si="26"/>
        <v>799859.04</v>
      </c>
      <c r="N68" s="426">
        <f>SUM(B68:M68)</f>
        <v>9598308.4800000004</v>
      </c>
    </row>
    <row r="69" spans="1:16" s="20" customFormat="1" ht="10.199999999999999">
      <c r="A69" s="427" t="s">
        <v>60</v>
      </c>
      <c r="B69" s="428">
        <f>B13+B18+B23+B28+B33+B53+B38+B58+B43+B48+B63</f>
        <v>503056</v>
      </c>
      <c r="C69" s="428">
        <f t="shared" ref="C69:M69" si="27">C13+C18+C23+C28+C33+C53+C38+C58+C43+C48+C63</f>
        <v>503056</v>
      </c>
      <c r="D69" s="428">
        <f t="shared" si="27"/>
        <v>503056</v>
      </c>
      <c r="E69" s="428">
        <f t="shared" si="27"/>
        <v>503056</v>
      </c>
      <c r="F69" s="428">
        <f t="shared" si="27"/>
        <v>503056</v>
      </c>
      <c r="G69" s="428">
        <f t="shared" si="27"/>
        <v>503056</v>
      </c>
      <c r="H69" s="428">
        <f t="shared" si="27"/>
        <v>503056</v>
      </c>
      <c r="I69" s="428">
        <f t="shared" si="27"/>
        <v>503056</v>
      </c>
      <c r="J69" s="428">
        <f t="shared" si="27"/>
        <v>503056</v>
      </c>
      <c r="K69" s="428">
        <f t="shared" si="27"/>
        <v>503056</v>
      </c>
      <c r="L69" s="428">
        <f t="shared" si="27"/>
        <v>503056</v>
      </c>
      <c r="M69" s="428">
        <f t="shared" si="27"/>
        <v>503056</v>
      </c>
      <c r="N69" s="429">
        <f>SUM(B69:M69)</f>
        <v>6036672</v>
      </c>
      <c r="O69" s="28">
        <f>'TSAS Scheduling Revenue (1)'!N68</f>
        <v>6036672</v>
      </c>
      <c r="P69" s="28">
        <f>'TSAS Reactive Revenues (2)'!N68</f>
        <v>6036672</v>
      </c>
    </row>
    <row r="70" spans="1:16" s="20" customFormat="1" ht="10.199999999999999">
      <c r="A70" s="406">
        <f>+A8+1</f>
        <v>2015</v>
      </c>
      <c r="B70" s="407"/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8"/>
    </row>
    <row r="71" spans="1:16" s="20" customFormat="1" ht="13.2">
      <c r="A71" s="409" t="s">
        <v>19</v>
      </c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3"/>
    </row>
    <row r="72" spans="1:16" s="20" customFormat="1" ht="10.199999999999999">
      <c r="A72" s="409"/>
      <c r="B72" s="410"/>
      <c r="C72" s="410"/>
      <c r="D72" s="410"/>
      <c r="E72" s="410"/>
      <c r="F72" s="410"/>
      <c r="G72" s="410"/>
      <c r="H72" s="410"/>
      <c r="I72" s="410"/>
      <c r="J72" s="410"/>
      <c r="K72" s="410"/>
      <c r="L72" s="410"/>
      <c r="M72" s="410"/>
      <c r="N72" s="411"/>
    </row>
    <row r="73" spans="1:16" s="20" customFormat="1" ht="10.199999999999999">
      <c r="A73" s="414" t="s">
        <v>359</v>
      </c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257"/>
      <c r="O73" s="457"/>
    </row>
    <row r="74" spans="1:16" s="29" customFormat="1">
      <c r="A74" s="415" t="s">
        <v>16</v>
      </c>
      <c r="B74" s="416">
        <f>B13</f>
        <v>5000</v>
      </c>
      <c r="C74" s="416">
        <f t="shared" ref="C74:M74" si="28">C13</f>
        <v>5000</v>
      </c>
      <c r="D74" s="416">
        <f t="shared" si="28"/>
        <v>5000</v>
      </c>
      <c r="E74" s="416">
        <f t="shared" si="28"/>
        <v>5000</v>
      </c>
      <c r="F74" s="416">
        <f t="shared" si="28"/>
        <v>5000</v>
      </c>
      <c r="G74" s="416">
        <f t="shared" si="28"/>
        <v>5000</v>
      </c>
      <c r="H74" s="416">
        <f t="shared" si="28"/>
        <v>5000</v>
      </c>
      <c r="I74" s="416">
        <f t="shared" si="28"/>
        <v>5000</v>
      </c>
      <c r="J74" s="416">
        <f t="shared" si="28"/>
        <v>5000</v>
      </c>
      <c r="K74" s="416">
        <f t="shared" si="28"/>
        <v>5000</v>
      </c>
      <c r="L74" s="416">
        <f t="shared" si="28"/>
        <v>5000</v>
      </c>
      <c r="M74" s="416">
        <f t="shared" si="28"/>
        <v>5000</v>
      </c>
      <c r="N74" s="417">
        <f>SUM(B74:M74)</f>
        <v>60000</v>
      </c>
      <c r="O74" s="22"/>
    </row>
    <row r="75" spans="1:16" s="20" customFormat="1">
      <c r="A75" s="418" t="s">
        <v>20</v>
      </c>
      <c r="B75" s="419">
        <f>'Transmission Formula Rate (7)'!B10</f>
        <v>1.59</v>
      </c>
      <c r="C75" s="419">
        <f>'Transmission Formula Rate (7)'!C10</f>
        <v>1.59</v>
      </c>
      <c r="D75" s="419">
        <f>'Transmission Formula Rate (7)'!D10</f>
        <v>1.59</v>
      </c>
      <c r="E75" s="419">
        <f>'Transmission Formula Rate (7)'!E10</f>
        <v>1.59</v>
      </c>
      <c r="F75" s="419">
        <f>'Transmission Formula Rate (7)'!F10</f>
        <v>1.59</v>
      </c>
      <c r="G75" s="419">
        <f>'Transmission Formula Rate (7)'!G10</f>
        <v>1.59</v>
      </c>
      <c r="H75" s="419">
        <f>'Transmission Formula Rate (7)'!H10</f>
        <v>1.59</v>
      </c>
      <c r="I75" s="419">
        <f>'Transmission Formula Rate (7)'!I10</f>
        <v>1.59</v>
      </c>
      <c r="J75" s="419">
        <f>'Transmission Formula Rate (7)'!J10</f>
        <v>1.59</v>
      </c>
      <c r="K75" s="419">
        <f>'Transmission Formula Rate (7)'!K10</f>
        <v>1.59</v>
      </c>
      <c r="L75" s="419">
        <f>'Transmission Formula Rate (7)'!L10</f>
        <v>1.59</v>
      </c>
      <c r="M75" s="419">
        <f>'Transmission Formula Rate (7)'!M10</f>
        <v>1.59</v>
      </c>
      <c r="N75" s="257"/>
      <c r="O75" s="22"/>
    </row>
    <row r="76" spans="1:16" s="20" customFormat="1">
      <c r="A76" s="418" t="s">
        <v>17</v>
      </c>
      <c r="B76" s="420">
        <f t="shared" ref="B76:M76" si="29">B74*B75</f>
        <v>7950</v>
      </c>
      <c r="C76" s="420">
        <f t="shared" si="29"/>
        <v>7950</v>
      </c>
      <c r="D76" s="420">
        <f t="shared" si="29"/>
        <v>7950</v>
      </c>
      <c r="E76" s="420">
        <f t="shared" si="29"/>
        <v>7950</v>
      </c>
      <c r="F76" s="420">
        <f t="shared" si="29"/>
        <v>7950</v>
      </c>
      <c r="G76" s="420">
        <f t="shared" si="29"/>
        <v>7950</v>
      </c>
      <c r="H76" s="420">
        <f t="shared" si="29"/>
        <v>7950</v>
      </c>
      <c r="I76" s="420">
        <f t="shared" si="29"/>
        <v>7950</v>
      </c>
      <c r="J76" s="420">
        <f t="shared" si="29"/>
        <v>7950</v>
      </c>
      <c r="K76" s="420">
        <f t="shared" si="29"/>
        <v>7950</v>
      </c>
      <c r="L76" s="420">
        <f t="shared" si="29"/>
        <v>7950</v>
      </c>
      <c r="M76" s="420">
        <f t="shared" si="29"/>
        <v>7950</v>
      </c>
      <c r="N76" s="421">
        <f>SUM(B76:M76)</f>
        <v>95400</v>
      </c>
      <c r="O76" s="22"/>
    </row>
    <row r="77" spans="1:16" s="20" customFormat="1">
      <c r="A77" s="422"/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257"/>
      <c r="O77" s="22"/>
    </row>
    <row r="78" spans="1:16" s="20" customFormat="1">
      <c r="A78" s="431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257"/>
      <c r="O78" s="22"/>
    </row>
    <row r="79" spans="1:16" s="29" customFormat="1">
      <c r="A79" s="415" t="s">
        <v>16</v>
      </c>
      <c r="B79" s="416">
        <v>0</v>
      </c>
      <c r="C79" s="416">
        <v>0</v>
      </c>
      <c r="D79" s="416">
        <v>0</v>
      </c>
      <c r="E79" s="416">
        <v>0</v>
      </c>
      <c r="F79" s="416">
        <v>0</v>
      </c>
      <c r="G79" s="416">
        <v>0</v>
      </c>
      <c r="H79" s="416">
        <v>0</v>
      </c>
      <c r="I79" s="416">
        <v>0</v>
      </c>
      <c r="J79" s="416">
        <v>0</v>
      </c>
      <c r="K79" s="416">
        <v>0</v>
      </c>
      <c r="L79" s="416">
        <v>0</v>
      </c>
      <c r="M79" s="416">
        <v>0</v>
      </c>
      <c r="N79" s="417">
        <f>SUM(B79:M79)</f>
        <v>0</v>
      </c>
      <c r="O79" s="22"/>
    </row>
    <row r="80" spans="1:16" s="20" customFormat="1">
      <c r="A80" s="418" t="s">
        <v>20</v>
      </c>
      <c r="B80" s="419">
        <f>B75</f>
        <v>1.59</v>
      </c>
      <c r="C80" s="419">
        <f t="shared" ref="C80:M80" si="30">C75</f>
        <v>1.59</v>
      </c>
      <c r="D80" s="419">
        <f t="shared" si="30"/>
        <v>1.59</v>
      </c>
      <c r="E80" s="419">
        <f t="shared" si="30"/>
        <v>1.59</v>
      </c>
      <c r="F80" s="419">
        <f t="shared" si="30"/>
        <v>1.59</v>
      </c>
      <c r="G80" s="419">
        <f t="shared" si="30"/>
        <v>1.59</v>
      </c>
      <c r="H80" s="419">
        <f t="shared" si="30"/>
        <v>1.59</v>
      </c>
      <c r="I80" s="419">
        <f t="shared" si="30"/>
        <v>1.59</v>
      </c>
      <c r="J80" s="419">
        <f t="shared" si="30"/>
        <v>1.59</v>
      </c>
      <c r="K80" s="419">
        <f t="shared" si="30"/>
        <v>1.59</v>
      </c>
      <c r="L80" s="419">
        <f t="shared" si="30"/>
        <v>1.59</v>
      </c>
      <c r="M80" s="419">
        <f t="shared" si="30"/>
        <v>1.59</v>
      </c>
      <c r="N80" s="257"/>
      <c r="O80" s="22"/>
    </row>
    <row r="81" spans="1:15" s="20" customFormat="1">
      <c r="A81" s="418" t="s">
        <v>17</v>
      </c>
      <c r="B81" s="420">
        <f t="shared" ref="B81:M81" si="31">B79*B80</f>
        <v>0</v>
      </c>
      <c r="C81" s="420">
        <f t="shared" si="31"/>
        <v>0</v>
      </c>
      <c r="D81" s="420">
        <f t="shared" si="31"/>
        <v>0</v>
      </c>
      <c r="E81" s="420">
        <f t="shared" si="31"/>
        <v>0</v>
      </c>
      <c r="F81" s="420">
        <f t="shared" si="31"/>
        <v>0</v>
      </c>
      <c r="G81" s="420">
        <f t="shared" si="31"/>
        <v>0</v>
      </c>
      <c r="H81" s="420">
        <f t="shared" si="31"/>
        <v>0</v>
      </c>
      <c r="I81" s="420">
        <f t="shared" si="31"/>
        <v>0</v>
      </c>
      <c r="J81" s="420">
        <f t="shared" si="31"/>
        <v>0</v>
      </c>
      <c r="K81" s="420">
        <f t="shared" si="31"/>
        <v>0</v>
      </c>
      <c r="L81" s="420">
        <f t="shared" si="31"/>
        <v>0</v>
      </c>
      <c r="M81" s="420">
        <f t="shared" si="31"/>
        <v>0</v>
      </c>
      <c r="N81" s="421">
        <f>SUM(B81:M81)</f>
        <v>0</v>
      </c>
      <c r="O81" s="22"/>
    </row>
    <row r="82" spans="1:15" s="20" customFormat="1">
      <c r="A82" s="422"/>
      <c r="B82" s="420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257"/>
      <c r="O82" s="22"/>
    </row>
    <row r="83" spans="1:15" s="20" customFormat="1">
      <c r="A83" s="431"/>
      <c r="B83" s="304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257"/>
      <c r="O83" s="22"/>
    </row>
    <row r="84" spans="1:15" s="29" customFormat="1">
      <c r="A84" s="415" t="s">
        <v>16</v>
      </c>
      <c r="B84" s="416">
        <v>0</v>
      </c>
      <c r="C84" s="416">
        <v>0</v>
      </c>
      <c r="D84" s="416">
        <v>0</v>
      </c>
      <c r="E84" s="416">
        <v>0</v>
      </c>
      <c r="F84" s="416">
        <v>0</v>
      </c>
      <c r="G84" s="416">
        <v>0</v>
      </c>
      <c r="H84" s="416">
        <v>0</v>
      </c>
      <c r="I84" s="416">
        <v>0</v>
      </c>
      <c r="J84" s="416">
        <v>0</v>
      </c>
      <c r="K84" s="416">
        <v>0</v>
      </c>
      <c r="L84" s="416">
        <v>0</v>
      </c>
      <c r="M84" s="416">
        <v>0</v>
      </c>
      <c r="N84" s="417">
        <f>SUM(B84:M84)</f>
        <v>0</v>
      </c>
      <c r="O84" s="22"/>
    </row>
    <row r="85" spans="1:15" s="20" customFormat="1">
      <c r="A85" s="418" t="s">
        <v>20</v>
      </c>
      <c r="B85" s="423">
        <f>B80</f>
        <v>1.59</v>
      </c>
      <c r="C85" s="423">
        <f t="shared" ref="C85:M85" si="32">C80</f>
        <v>1.59</v>
      </c>
      <c r="D85" s="423">
        <f t="shared" si="32"/>
        <v>1.59</v>
      </c>
      <c r="E85" s="423">
        <f t="shared" si="32"/>
        <v>1.59</v>
      </c>
      <c r="F85" s="423">
        <f t="shared" si="32"/>
        <v>1.59</v>
      </c>
      <c r="G85" s="423">
        <f t="shared" si="32"/>
        <v>1.59</v>
      </c>
      <c r="H85" s="423">
        <f t="shared" si="32"/>
        <v>1.59</v>
      </c>
      <c r="I85" s="423">
        <f t="shared" si="32"/>
        <v>1.59</v>
      </c>
      <c r="J85" s="423">
        <f t="shared" si="32"/>
        <v>1.59</v>
      </c>
      <c r="K85" s="423">
        <f t="shared" si="32"/>
        <v>1.59</v>
      </c>
      <c r="L85" s="423">
        <f t="shared" si="32"/>
        <v>1.59</v>
      </c>
      <c r="M85" s="423">
        <f t="shared" si="32"/>
        <v>1.59</v>
      </c>
      <c r="N85" s="257"/>
      <c r="O85" s="22"/>
    </row>
    <row r="86" spans="1:15" s="20" customFormat="1">
      <c r="A86" s="418" t="s">
        <v>17</v>
      </c>
      <c r="B86" s="420">
        <f t="shared" ref="B86:M86" si="33">B84*B85</f>
        <v>0</v>
      </c>
      <c r="C86" s="420">
        <f t="shared" si="33"/>
        <v>0</v>
      </c>
      <c r="D86" s="420">
        <f t="shared" si="33"/>
        <v>0</v>
      </c>
      <c r="E86" s="420">
        <f t="shared" si="33"/>
        <v>0</v>
      </c>
      <c r="F86" s="420">
        <f t="shared" si="33"/>
        <v>0</v>
      </c>
      <c r="G86" s="420">
        <f t="shared" si="33"/>
        <v>0</v>
      </c>
      <c r="H86" s="420">
        <f t="shared" si="33"/>
        <v>0</v>
      </c>
      <c r="I86" s="420">
        <f t="shared" si="33"/>
        <v>0</v>
      </c>
      <c r="J86" s="420">
        <f t="shared" si="33"/>
        <v>0</v>
      </c>
      <c r="K86" s="420">
        <f t="shared" si="33"/>
        <v>0</v>
      </c>
      <c r="L86" s="420">
        <f t="shared" si="33"/>
        <v>0</v>
      </c>
      <c r="M86" s="420">
        <f t="shared" si="33"/>
        <v>0</v>
      </c>
      <c r="N86" s="421">
        <f>SUM(B86:M86)</f>
        <v>0</v>
      </c>
      <c r="O86" s="22"/>
    </row>
    <row r="87" spans="1:15" s="20" customFormat="1">
      <c r="A87" s="422"/>
      <c r="B87" s="420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257"/>
      <c r="O87" s="22"/>
    </row>
    <row r="88" spans="1:15" s="20" customFormat="1" ht="10.199999999999999">
      <c r="A88" s="414" t="s">
        <v>23</v>
      </c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257"/>
      <c r="O88" s="29"/>
    </row>
    <row r="89" spans="1:15" s="29" customFormat="1" ht="10.199999999999999">
      <c r="A89" s="415" t="s">
        <v>16</v>
      </c>
      <c r="B89" s="416">
        <v>37056</v>
      </c>
      <c r="C89" s="416">
        <f>B89</f>
        <v>37056</v>
      </c>
      <c r="D89" s="416">
        <f t="shared" ref="D89:M89" si="34">C89</f>
        <v>37056</v>
      </c>
      <c r="E89" s="416">
        <f t="shared" si="34"/>
        <v>37056</v>
      </c>
      <c r="F89" s="416">
        <f t="shared" si="34"/>
        <v>37056</v>
      </c>
      <c r="G89" s="416">
        <f t="shared" si="34"/>
        <v>37056</v>
      </c>
      <c r="H89" s="416">
        <f t="shared" si="34"/>
        <v>37056</v>
      </c>
      <c r="I89" s="416">
        <f t="shared" si="34"/>
        <v>37056</v>
      </c>
      <c r="J89" s="416">
        <f t="shared" si="34"/>
        <v>37056</v>
      </c>
      <c r="K89" s="416">
        <f t="shared" si="34"/>
        <v>37056</v>
      </c>
      <c r="L89" s="416">
        <f t="shared" si="34"/>
        <v>37056</v>
      </c>
      <c r="M89" s="416">
        <f t="shared" si="34"/>
        <v>37056</v>
      </c>
      <c r="N89" s="417">
        <f>SUM(B89:M89)</f>
        <v>444672</v>
      </c>
      <c r="O89" s="458"/>
    </row>
    <row r="90" spans="1:15" s="20" customFormat="1" ht="10.199999999999999">
      <c r="A90" s="418" t="s">
        <v>20</v>
      </c>
      <c r="B90" s="423">
        <f t="shared" ref="B90:M90" si="35">B85</f>
        <v>1.59</v>
      </c>
      <c r="C90" s="423">
        <f t="shared" si="35"/>
        <v>1.59</v>
      </c>
      <c r="D90" s="423">
        <f t="shared" si="35"/>
        <v>1.59</v>
      </c>
      <c r="E90" s="423">
        <f t="shared" si="35"/>
        <v>1.59</v>
      </c>
      <c r="F90" s="423">
        <f t="shared" si="35"/>
        <v>1.59</v>
      </c>
      <c r="G90" s="423">
        <f t="shared" si="35"/>
        <v>1.59</v>
      </c>
      <c r="H90" s="423">
        <f t="shared" si="35"/>
        <v>1.59</v>
      </c>
      <c r="I90" s="423">
        <f t="shared" si="35"/>
        <v>1.59</v>
      </c>
      <c r="J90" s="423">
        <f t="shared" si="35"/>
        <v>1.59</v>
      </c>
      <c r="K90" s="423">
        <f t="shared" si="35"/>
        <v>1.59</v>
      </c>
      <c r="L90" s="423">
        <f t="shared" si="35"/>
        <v>1.59</v>
      </c>
      <c r="M90" s="423">
        <f t="shared" si="35"/>
        <v>1.59</v>
      </c>
      <c r="N90" s="257"/>
    </row>
    <row r="91" spans="1:15" s="20" customFormat="1" ht="10.199999999999999">
      <c r="A91" s="418" t="s">
        <v>17</v>
      </c>
      <c r="B91" s="420">
        <f t="shared" ref="B91:M91" si="36">B89*B90</f>
        <v>58919.040000000001</v>
      </c>
      <c r="C91" s="420">
        <f t="shared" si="36"/>
        <v>58919.040000000001</v>
      </c>
      <c r="D91" s="420">
        <f t="shared" si="36"/>
        <v>58919.040000000001</v>
      </c>
      <c r="E91" s="420">
        <f t="shared" si="36"/>
        <v>58919.040000000001</v>
      </c>
      <c r="F91" s="420">
        <f t="shared" si="36"/>
        <v>58919.040000000001</v>
      </c>
      <c r="G91" s="420">
        <f t="shared" si="36"/>
        <v>58919.040000000001</v>
      </c>
      <c r="H91" s="420">
        <f t="shared" si="36"/>
        <v>58919.040000000001</v>
      </c>
      <c r="I91" s="420">
        <f t="shared" si="36"/>
        <v>58919.040000000001</v>
      </c>
      <c r="J91" s="420">
        <f t="shared" si="36"/>
        <v>58919.040000000001</v>
      </c>
      <c r="K91" s="420">
        <f t="shared" si="36"/>
        <v>58919.040000000001</v>
      </c>
      <c r="L91" s="420">
        <f t="shared" si="36"/>
        <v>58919.040000000001</v>
      </c>
      <c r="M91" s="420">
        <f t="shared" si="36"/>
        <v>58919.040000000001</v>
      </c>
      <c r="N91" s="421">
        <f>SUM(B91:M91)</f>
        <v>707028.4800000001</v>
      </c>
    </row>
    <row r="92" spans="1:15" s="20" customFormat="1" ht="10.199999999999999">
      <c r="A92" s="422"/>
      <c r="B92" s="420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257"/>
    </row>
    <row r="93" spans="1:15" s="20" customFormat="1" ht="10.199999999999999">
      <c r="A93" s="414" t="s">
        <v>24</v>
      </c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257"/>
    </row>
    <row r="94" spans="1:15" s="29" customFormat="1" ht="10.199999999999999">
      <c r="A94" s="415" t="s">
        <v>16</v>
      </c>
      <c r="B94" s="416">
        <v>62000</v>
      </c>
      <c r="C94" s="416">
        <v>62000</v>
      </c>
      <c r="D94" s="416">
        <v>62000</v>
      </c>
      <c r="E94" s="416">
        <v>62000</v>
      </c>
      <c r="F94" s="416">
        <v>62000</v>
      </c>
      <c r="G94" s="416">
        <v>62000</v>
      </c>
      <c r="H94" s="416">
        <v>62000</v>
      </c>
      <c r="I94" s="416">
        <v>62000</v>
      </c>
      <c r="J94" s="416">
        <v>62000</v>
      </c>
      <c r="K94" s="416">
        <v>62000</v>
      </c>
      <c r="L94" s="416">
        <v>62000</v>
      </c>
      <c r="M94" s="416">
        <v>62000</v>
      </c>
      <c r="N94" s="417">
        <f>SUM(B94:M94)</f>
        <v>744000</v>
      </c>
      <c r="O94" s="458"/>
    </row>
    <row r="95" spans="1:15" s="20" customFormat="1" ht="10.199999999999999">
      <c r="A95" s="418" t="s">
        <v>20</v>
      </c>
      <c r="B95" s="423">
        <f>B90</f>
        <v>1.59</v>
      </c>
      <c r="C95" s="423">
        <f t="shared" ref="C95:M95" si="37">C90</f>
        <v>1.59</v>
      </c>
      <c r="D95" s="423">
        <f t="shared" si="37"/>
        <v>1.59</v>
      </c>
      <c r="E95" s="423">
        <f t="shared" si="37"/>
        <v>1.59</v>
      </c>
      <c r="F95" s="423">
        <f t="shared" si="37"/>
        <v>1.59</v>
      </c>
      <c r="G95" s="423">
        <f t="shared" si="37"/>
        <v>1.59</v>
      </c>
      <c r="H95" s="423">
        <f t="shared" si="37"/>
        <v>1.59</v>
      </c>
      <c r="I95" s="423">
        <f t="shared" si="37"/>
        <v>1.59</v>
      </c>
      <c r="J95" s="423">
        <f t="shared" si="37"/>
        <v>1.59</v>
      </c>
      <c r="K95" s="423">
        <f t="shared" si="37"/>
        <v>1.59</v>
      </c>
      <c r="L95" s="423">
        <f t="shared" si="37"/>
        <v>1.59</v>
      </c>
      <c r="M95" s="423">
        <f t="shared" si="37"/>
        <v>1.59</v>
      </c>
      <c r="N95" s="257"/>
    </row>
    <row r="96" spans="1:15" s="20" customFormat="1" ht="10.199999999999999">
      <c r="A96" s="418" t="s">
        <v>17</v>
      </c>
      <c r="B96" s="420">
        <f t="shared" ref="B96:M96" si="38">B94*B95</f>
        <v>98580</v>
      </c>
      <c r="C96" s="420">
        <f t="shared" si="38"/>
        <v>98580</v>
      </c>
      <c r="D96" s="420">
        <f t="shared" si="38"/>
        <v>98580</v>
      </c>
      <c r="E96" s="420">
        <f t="shared" si="38"/>
        <v>98580</v>
      </c>
      <c r="F96" s="420">
        <f t="shared" si="38"/>
        <v>98580</v>
      </c>
      <c r="G96" s="420">
        <f t="shared" si="38"/>
        <v>98580</v>
      </c>
      <c r="H96" s="420">
        <f t="shared" si="38"/>
        <v>98580</v>
      </c>
      <c r="I96" s="420">
        <f t="shared" si="38"/>
        <v>98580</v>
      </c>
      <c r="J96" s="420">
        <f t="shared" si="38"/>
        <v>98580</v>
      </c>
      <c r="K96" s="420">
        <f t="shared" si="38"/>
        <v>98580</v>
      </c>
      <c r="L96" s="420">
        <f t="shared" si="38"/>
        <v>98580</v>
      </c>
      <c r="M96" s="420">
        <f t="shared" si="38"/>
        <v>98580</v>
      </c>
      <c r="N96" s="421">
        <f>SUM(B96:M96)</f>
        <v>1182960</v>
      </c>
    </row>
    <row r="97" spans="1:15" s="20" customFormat="1" ht="10.199999999999999">
      <c r="A97" s="418"/>
      <c r="B97" s="420"/>
      <c r="C97" s="420"/>
      <c r="D97" s="420"/>
      <c r="E97" s="420"/>
      <c r="F97" s="420"/>
      <c r="G97" s="420"/>
      <c r="H97" s="420"/>
      <c r="I97" s="420"/>
      <c r="J97" s="420"/>
      <c r="K97" s="420"/>
      <c r="L97" s="420"/>
      <c r="M97" s="420"/>
      <c r="N97" s="257"/>
    </row>
    <row r="98" spans="1:15" s="20" customFormat="1" ht="10.199999999999999">
      <c r="A98" s="414" t="s">
        <v>116</v>
      </c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257"/>
    </row>
    <row r="99" spans="1:15" s="20" customFormat="1" ht="10.199999999999999">
      <c r="A99" s="415" t="s">
        <v>16</v>
      </c>
      <c r="B99" s="416">
        <v>40000</v>
      </c>
      <c r="C99" s="416">
        <v>40000</v>
      </c>
      <c r="D99" s="416">
        <v>40000</v>
      </c>
      <c r="E99" s="416">
        <v>40000</v>
      </c>
      <c r="F99" s="416">
        <v>40000</v>
      </c>
      <c r="G99" s="416">
        <v>40000</v>
      </c>
      <c r="H99" s="416">
        <v>40000</v>
      </c>
      <c r="I99" s="416">
        <v>40000</v>
      </c>
      <c r="J99" s="416">
        <v>40000</v>
      </c>
      <c r="K99" s="416">
        <v>40000</v>
      </c>
      <c r="L99" s="416">
        <v>40000</v>
      </c>
      <c r="M99" s="416">
        <v>40000</v>
      </c>
      <c r="N99" s="417">
        <f>SUM(B99:M99)</f>
        <v>480000</v>
      </c>
      <c r="O99" s="457"/>
    </row>
    <row r="100" spans="1:15" s="20" customFormat="1" ht="10.199999999999999">
      <c r="A100" s="418" t="s">
        <v>20</v>
      </c>
      <c r="B100" s="423">
        <f>B95</f>
        <v>1.59</v>
      </c>
      <c r="C100" s="423">
        <f t="shared" ref="C100:M100" si="39">C95</f>
        <v>1.59</v>
      </c>
      <c r="D100" s="423">
        <f t="shared" si="39"/>
        <v>1.59</v>
      </c>
      <c r="E100" s="423">
        <f t="shared" si="39"/>
        <v>1.59</v>
      </c>
      <c r="F100" s="423">
        <f t="shared" si="39"/>
        <v>1.59</v>
      </c>
      <c r="G100" s="423">
        <f t="shared" si="39"/>
        <v>1.59</v>
      </c>
      <c r="H100" s="423">
        <f t="shared" si="39"/>
        <v>1.59</v>
      </c>
      <c r="I100" s="423">
        <f t="shared" si="39"/>
        <v>1.59</v>
      </c>
      <c r="J100" s="423">
        <f t="shared" si="39"/>
        <v>1.59</v>
      </c>
      <c r="K100" s="423">
        <f t="shared" si="39"/>
        <v>1.59</v>
      </c>
      <c r="L100" s="423">
        <f t="shared" si="39"/>
        <v>1.59</v>
      </c>
      <c r="M100" s="423">
        <f t="shared" si="39"/>
        <v>1.59</v>
      </c>
      <c r="N100" s="257"/>
    </row>
    <row r="101" spans="1:15" s="20" customFormat="1" ht="10.199999999999999">
      <c r="A101" s="418" t="s">
        <v>17</v>
      </c>
      <c r="B101" s="420">
        <f t="shared" ref="B101:M101" si="40">B99*B100</f>
        <v>63600</v>
      </c>
      <c r="C101" s="420">
        <f t="shared" si="40"/>
        <v>63600</v>
      </c>
      <c r="D101" s="420">
        <f t="shared" si="40"/>
        <v>63600</v>
      </c>
      <c r="E101" s="420">
        <f t="shared" si="40"/>
        <v>63600</v>
      </c>
      <c r="F101" s="420">
        <f t="shared" si="40"/>
        <v>63600</v>
      </c>
      <c r="G101" s="420">
        <f t="shared" si="40"/>
        <v>63600</v>
      </c>
      <c r="H101" s="420">
        <f t="shared" si="40"/>
        <v>63600</v>
      </c>
      <c r="I101" s="420">
        <f t="shared" si="40"/>
        <v>63600</v>
      </c>
      <c r="J101" s="420">
        <f t="shared" si="40"/>
        <v>63600</v>
      </c>
      <c r="K101" s="420">
        <f t="shared" si="40"/>
        <v>63600</v>
      </c>
      <c r="L101" s="420">
        <f t="shared" si="40"/>
        <v>63600</v>
      </c>
      <c r="M101" s="420">
        <f t="shared" si="40"/>
        <v>63600</v>
      </c>
      <c r="N101" s="421">
        <f>SUM(B101:M101)</f>
        <v>763200</v>
      </c>
    </row>
    <row r="102" spans="1:15" s="20" customFormat="1" ht="10.199999999999999">
      <c r="A102" s="418"/>
      <c r="B102" s="420"/>
      <c r="C102" s="420"/>
      <c r="D102" s="420"/>
      <c r="E102" s="420"/>
      <c r="F102" s="420"/>
      <c r="G102" s="420"/>
      <c r="H102" s="420"/>
      <c r="I102" s="420"/>
      <c r="J102" s="420"/>
      <c r="K102" s="420"/>
      <c r="L102" s="420"/>
      <c r="M102" s="420"/>
      <c r="N102" s="421"/>
    </row>
    <row r="103" spans="1:15" s="20" customFormat="1" ht="10.199999999999999">
      <c r="A103" s="414" t="s">
        <v>237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257"/>
      <c r="O103" s="457"/>
    </row>
    <row r="104" spans="1:15" s="20" customFormat="1" ht="10.199999999999999">
      <c r="A104" s="415" t="s">
        <v>16</v>
      </c>
      <c r="B104" s="416">
        <v>4000</v>
      </c>
      <c r="C104" s="416">
        <f t="shared" ref="C104:H104" si="41">B104</f>
        <v>4000</v>
      </c>
      <c r="D104" s="416">
        <f t="shared" si="41"/>
        <v>4000</v>
      </c>
      <c r="E104" s="416">
        <f t="shared" si="41"/>
        <v>4000</v>
      </c>
      <c r="F104" s="416">
        <f t="shared" si="41"/>
        <v>4000</v>
      </c>
      <c r="G104" s="416">
        <f t="shared" si="41"/>
        <v>4000</v>
      </c>
      <c r="H104" s="416">
        <f t="shared" si="41"/>
        <v>4000</v>
      </c>
      <c r="I104" s="416">
        <f>H104</f>
        <v>4000</v>
      </c>
      <c r="J104" s="416">
        <f>I104</f>
        <v>4000</v>
      </c>
      <c r="K104" s="416">
        <f>J104</f>
        <v>4000</v>
      </c>
      <c r="L104" s="416">
        <f>K104</f>
        <v>4000</v>
      </c>
      <c r="M104" s="416">
        <f>L104</f>
        <v>4000</v>
      </c>
      <c r="N104" s="417">
        <f>SUM(B104:M104)</f>
        <v>48000</v>
      </c>
    </row>
    <row r="105" spans="1:15" s="20" customFormat="1" ht="10.199999999999999">
      <c r="A105" s="418" t="s">
        <v>20</v>
      </c>
      <c r="B105" s="423">
        <f>B100</f>
        <v>1.59</v>
      </c>
      <c r="C105" s="423">
        <f t="shared" ref="C105:M105" si="42">C100</f>
        <v>1.59</v>
      </c>
      <c r="D105" s="423">
        <f t="shared" si="42"/>
        <v>1.59</v>
      </c>
      <c r="E105" s="423">
        <f t="shared" si="42"/>
        <v>1.59</v>
      </c>
      <c r="F105" s="423">
        <f t="shared" si="42"/>
        <v>1.59</v>
      </c>
      <c r="G105" s="423">
        <f t="shared" si="42"/>
        <v>1.59</v>
      </c>
      <c r="H105" s="423">
        <f t="shared" si="42"/>
        <v>1.59</v>
      </c>
      <c r="I105" s="423">
        <f t="shared" si="42"/>
        <v>1.59</v>
      </c>
      <c r="J105" s="423">
        <f t="shared" si="42"/>
        <v>1.59</v>
      </c>
      <c r="K105" s="423">
        <f t="shared" si="42"/>
        <v>1.59</v>
      </c>
      <c r="L105" s="423">
        <f t="shared" si="42"/>
        <v>1.59</v>
      </c>
      <c r="M105" s="423">
        <f t="shared" si="42"/>
        <v>1.59</v>
      </c>
      <c r="N105" s="257"/>
    </row>
    <row r="106" spans="1:15" s="20" customFormat="1" ht="10.199999999999999">
      <c r="A106" s="418" t="s">
        <v>17</v>
      </c>
      <c r="B106" s="420">
        <f t="shared" ref="B106:M106" si="43">B104*B105</f>
        <v>6360</v>
      </c>
      <c r="C106" s="420">
        <f t="shared" si="43"/>
        <v>6360</v>
      </c>
      <c r="D106" s="420">
        <f t="shared" si="43"/>
        <v>6360</v>
      </c>
      <c r="E106" s="420">
        <f t="shared" si="43"/>
        <v>6360</v>
      </c>
      <c r="F106" s="420">
        <f t="shared" si="43"/>
        <v>6360</v>
      </c>
      <c r="G106" s="420">
        <f t="shared" si="43"/>
        <v>6360</v>
      </c>
      <c r="H106" s="420">
        <f t="shared" si="43"/>
        <v>6360</v>
      </c>
      <c r="I106" s="420">
        <f t="shared" si="43"/>
        <v>6360</v>
      </c>
      <c r="J106" s="420">
        <f t="shared" si="43"/>
        <v>6360</v>
      </c>
      <c r="K106" s="420">
        <f t="shared" si="43"/>
        <v>6360</v>
      </c>
      <c r="L106" s="420">
        <f t="shared" si="43"/>
        <v>6360</v>
      </c>
      <c r="M106" s="420">
        <f t="shared" si="43"/>
        <v>6360</v>
      </c>
      <c r="N106" s="421">
        <f>SUM(B106:M106)</f>
        <v>76320</v>
      </c>
    </row>
    <row r="107" spans="1:15" s="20" customFormat="1" ht="10.199999999999999">
      <c r="A107" s="418"/>
      <c r="B107" s="420"/>
      <c r="C107" s="420"/>
      <c r="D107" s="420"/>
      <c r="E107" s="420"/>
      <c r="F107" s="420"/>
      <c r="G107" s="420"/>
      <c r="H107" s="420"/>
      <c r="I107" s="420"/>
      <c r="J107" s="420"/>
      <c r="K107" s="420"/>
      <c r="L107" s="420"/>
      <c r="M107" s="420"/>
      <c r="N107" s="421"/>
    </row>
    <row r="108" spans="1:15">
      <c r="A108" s="414" t="s">
        <v>179</v>
      </c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257"/>
      <c r="O108" s="459"/>
    </row>
    <row r="109" spans="1:15">
      <c r="A109" s="415" t="s">
        <v>16</v>
      </c>
      <c r="B109" s="416"/>
      <c r="C109" s="416">
        <f t="shared" ref="C109:M109" si="44">B109</f>
        <v>0</v>
      </c>
      <c r="D109" s="416">
        <f t="shared" si="44"/>
        <v>0</v>
      </c>
      <c r="E109" s="416">
        <f t="shared" si="44"/>
        <v>0</v>
      </c>
      <c r="F109" s="416">
        <f t="shared" si="44"/>
        <v>0</v>
      </c>
      <c r="G109" s="416">
        <f t="shared" si="44"/>
        <v>0</v>
      </c>
      <c r="H109" s="416">
        <f t="shared" si="44"/>
        <v>0</v>
      </c>
      <c r="I109" s="416">
        <f t="shared" si="44"/>
        <v>0</v>
      </c>
      <c r="J109" s="416">
        <f t="shared" si="44"/>
        <v>0</v>
      </c>
      <c r="K109" s="416">
        <f t="shared" si="44"/>
        <v>0</v>
      </c>
      <c r="L109" s="416">
        <f t="shared" si="44"/>
        <v>0</v>
      </c>
      <c r="M109" s="416">
        <f t="shared" si="44"/>
        <v>0</v>
      </c>
      <c r="N109" s="417">
        <f>SUM(B109:M109)</f>
        <v>0</v>
      </c>
      <c r="O109" s="371"/>
    </row>
    <row r="110" spans="1:15">
      <c r="A110" s="418" t="s">
        <v>20</v>
      </c>
      <c r="B110" s="423">
        <f>B100</f>
        <v>1.59</v>
      </c>
      <c r="C110" s="423">
        <f t="shared" ref="C110:M110" si="45">C100</f>
        <v>1.59</v>
      </c>
      <c r="D110" s="423">
        <f t="shared" si="45"/>
        <v>1.59</v>
      </c>
      <c r="E110" s="423">
        <f t="shared" si="45"/>
        <v>1.59</v>
      </c>
      <c r="F110" s="423">
        <f t="shared" si="45"/>
        <v>1.59</v>
      </c>
      <c r="G110" s="423">
        <f t="shared" si="45"/>
        <v>1.59</v>
      </c>
      <c r="H110" s="423">
        <f t="shared" si="45"/>
        <v>1.59</v>
      </c>
      <c r="I110" s="423">
        <f t="shared" si="45"/>
        <v>1.59</v>
      </c>
      <c r="J110" s="423">
        <f t="shared" si="45"/>
        <v>1.59</v>
      </c>
      <c r="K110" s="423">
        <f t="shared" si="45"/>
        <v>1.59</v>
      </c>
      <c r="L110" s="423">
        <f t="shared" si="45"/>
        <v>1.59</v>
      </c>
      <c r="M110" s="423">
        <f t="shared" si="45"/>
        <v>1.59</v>
      </c>
      <c r="N110" s="257"/>
    </row>
    <row r="111" spans="1:15">
      <c r="A111" s="418" t="s">
        <v>17</v>
      </c>
      <c r="B111" s="420">
        <f t="shared" ref="B111:M111" si="46">B109*B110</f>
        <v>0</v>
      </c>
      <c r="C111" s="420">
        <f t="shared" si="46"/>
        <v>0</v>
      </c>
      <c r="D111" s="420">
        <f t="shared" si="46"/>
        <v>0</v>
      </c>
      <c r="E111" s="420">
        <f t="shared" si="46"/>
        <v>0</v>
      </c>
      <c r="F111" s="420">
        <f t="shared" si="46"/>
        <v>0</v>
      </c>
      <c r="G111" s="420">
        <f t="shared" si="46"/>
        <v>0</v>
      </c>
      <c r="H111" s="420">
        <f t="shared" si="46"/>
        <v>0</v>
      </c>
      <c r="I111" s="420">
        <f t="shared" si="46"/>
        <v>0</v>
      </c>
      <c r="J111" s="420">
        <f t="shared" si="46"/>
        <v>0</v>
      </c>
      <c r="K111" s="420">
        <f t="shared" si="46"/>
        <v>0</v>
      </c>
      <c r="L111" s="420">
        <f t="shared" si="46"/>
        <v>0</v>
      </c>
      <c r="M111" s="420">
        <f t="shared" si="46"/>
        <v>0</v>
      </c>
      <c r="N111" s="421">
        <f>SUM(B111:M111)</f>
        <v>0</v>
      </c>
    </row>
    <row r="112" spans="1:15" s="20" customFormat="1" ht="10.199999999999999">
      <c r="A112" s="418"/>
      <c r="B112" s="420"/>
      <c r="C112" s="420"/>
      <c r="D112" s="420"/>
      <c r="E112" s="420"/>
      <c r="F112" s="420"/>
      <c r="G112" s="420"/>
      <c r="H112" s="420"/>
      <c r="I112" s="420"/>
      <c r="J112" s="420"/>
      <c r="K112" s="420"/>
      <c r="L112" s="420"/>
      <c r="M112" s="420"/>
      <c r="N112" s="421"/>
    </row>
    <row r="113" spans="1:15" s="20" customFormat="1" ht="10.199999999999999">
      <c r="A113" s="414" t="s">
        <v>44</v>
      </c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257"/>
      <c r="O113" s="457"/>
    </row>
    <row r="114" spans="1:15" s="20" customFormat="1" ht="10.199999999999999">
      <c r="A114" s="415" t="s">
        <v>16</v>
      </c>
      <c r="B114" s="416">
        <v>25000</v>
      </c>
      <c r="C114" s="416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7">
        <f>SUM(B114:M114)</f>
        <v>25000</v>
      </c>
    </row>
    <row r="115" spans="1:15" s="20" customFormat="1" ht="10.199999999999999">
      <c r="A115" s="418" t="s">
        <v>20</v>
      </c>
      <c r="B115" s="423">
        <f>B105</f>
        <v>1.59</v>
      </c>
      <c r="C115" s="423">
        <f t="shared" ref="C115:M115" si="47">C105</f>
        <v>1.59</v>
      </c>
      <c r="D115" s="423">
        <f t="shared" si="47"/>
        <v>1.59</v>
      </c>
      <c r="E115" s="423">
        <f t="shared" si="47"/>
        <v>1.59</v>
      </c>
      <c r="F115" s="423">
        <f t="shared" si="47"/>
        <v>1.59</v>
      </c>
      <c r="G115" s="423">
        <f t="shared" si="47"/>
        <v>1.59</v>
      </c>
      <c r="H115" s="423">
        <f t="shared" si="47"/>
        <v>1.59</v>
      </c>
      <c r="I115" s="423">
        <f t="shared" si="47"/>
        <v>1.59</v>
      </c>
      <c r="J115" s="423">
        <f t="shared" si="47"/>
        <v>1.59</v>
      </c>
      <c r="K115" s="423">
        <f t="shared" si="47"/>
        <v>1.59</v>
      </c>
      <c r="L115" s="423">
        <f t="shared" si="47"/>
        <v>1.59</v>
      </c>
      <c r="M115" s="423">
        <f t="shared" si="47"/>
        <v>1.59</v>
      </c>
      <c r="N115" s="257"/>
    </row>
    <row r="116" spans="1:15" s="20" customFormat="1" ht="10.199999999999999">
      <c r="A116" s="418" t="s">
        <v>17</v>
      </c>
      <c r="B116" s="420">
        <f t="shared" ref="B116:M116" si="48">B114*B115</f>
        <v>39750</v>
      </c>
      <c r="C116" s="420">
        <f t="shared" si="48"/>
        <v>0</v>
      </c>
      <c r="D116" s="420">
        <f t="shared" si="48"/>
        <v>0</v>
      </c>
      <c r="E116" s="420">
        <f t="shared" si="48"/>
        <v>0</v>
      </c>
      <c r="F116" s="420">
        <f t="shared" si="48"/>
        <v>0</v>
      </c>
      <c r="G116" s="420">
        <f t="shared" si="48"/>
        <v>0</v>
      </c>
      <c r="H116" s="420">
        <f t="shared" si="48"/>
        <v>0</v>
      </c>
      <c r="I116" s="420">
        <f t="shared" si="48"/>
        <v>0</v>
      </c>
      <c r="J116" s="420">
        <f t="shared" si="48"/>
        <v>0</v>
      </c>
      <c r="K116" s="420">
        <f t="shared" si="48"/>
        <v>0</v>
      </c>
      <c r="L116" s="420">
        <f t="shared" si="48"/>
        <v>0</v>
      </c>
      <c r="M116" s="420">
        <f t="shared" si="48"/>
        <v>0</v>
      </c>
      <c r="N116" s="421">
        <f>SUM(B116:M116)</f>
        <v>39750</v>
      </c>
    </row>
    <row r="117" spans="1:15" s="20" customFormat="1" ht="10.199999999999999">
      <c r="A117" s="418"/>
      <c r="B117" s="420"/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1"/>
    </row>
    <row r="118" spans="1:15">
      <c r="A118" s="414" t="s">
        <v>117</v>
      </c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257"/>
    </row>
    <row r="119" spans="1:15">
      <c r="A119" s="415" t="s">
        <v>16</v>
      </c>
      <c r="B119" s="416">
        <v>150000</v>
      </c>
      <c r="C119" s="416">
        <f>B119</f>
        <v>150000</v>
      </c>
      <c r="D119" s="416">
        <f>C119</f>
        <v>150000</v>
      </c>
      <c r="E119" s="416">
        <f>D119</f>
        <v>150000</v>
      </c>
      <c r="F119" s="416">
        <f>E119</f>
        <v>150000</v>
      </c>
      <c r="G119" s="416">
        <v>150000</v>
      </c>
      <c r="H119" s="416">
        <f>G119</f>
        <v>150000</v>
      </c>
      <c r="I119" s="416">
        <f t="shared" ref="I119" si="49">H119</f>
        <v>150000</v>
      </c>
      <c r="J119" s="416">
        <f t="shared" ref="J119" si="50">I119</f>
        <v>150000</v>
      </c>
      <c r="K119" s="416">
        <f t="shared" ref="K119" si="51">J119</f>
        <v>150000</v>
      </c>
      <c r="L119" s="416">
        <f t="shared" ref="L119" si="52">K119</f>
        <v>150000</v>
      </c>
      <c r="M119" s="416">
        <f t="shared" ref="M119" si="53">L119</f>
        <v>150000</v>
      </c>
      <c r="N119" s="417">
        <f>SUM(B119:M119)</f>
        <v>1800000</v>
      </c>
    </row>
    <row r="120" spans="1:15">
      <c r="A120" s="418" t="s">
        <v>20</v>
      </c>
      <c r="B120" s="423">
        <f>B115</f>
        <v>1.59</v>
      </c>
      <c r="C120" s="423">
        <f t="shared" ref="C120:M120" si="54">C115</f>
        <v>1.59</v>
      </c>
      <c r="D120" s="423">
        <f t="shared" si="54"/>
        <v>1.59</v>
      </c>
      <c r="E120" s="423">
        <f t="shared" si="54"/>
        <v>1.59</v>
      </c>
      <c r="F120" s="423">
        <f t="shared" si="54"/>
        <v>1.59</v>
      </c>
      <c r="G120" s="423">
        <f t="shared" si="54"/>
        <v>1.59</v>
      </c>
      <c r="H120" s="423">
        <f t="shared" si="54"/>
        <v>1.59</v>
      </c>
      <c r="I120" s="423">
        <f t="shared" si="54"/>
        <v>1.59</v>
      </c>
      <c r="J120" s="423">
        <f t="shared" si="54"/>
        <v>1.59</v>
      </c>
      <c r="K120" s="423">
        <f t="shared" si="54"/>
        <v>1.59</v>
      </c>
      <c r="L120" s="423">
        <f t="shared" si="54"/>
        <v>1.59</v>
      </c>
      <c r="M120" s="423">
        <f t="shared" si="54"/>
        <v>1.59</v>
      </c>
      <c r="N120" s="257"/>
    </row>
    <row r="121" spans="1:15">
      <c r="A121" s="418" t="s">
        <v>17</v>
      </c>
      <c r="B121" s="420">
        <f t="shared" ref="B121:M121" si="55">B119*B120</f>
        <v>238500</v>
      </c>
      <c r="C121" s="420">
        <f t="shared" si="55"/>
        <v>238500</v>
      </c>
      <c r="D121" s="420">
        <f t="shared" si="55"/>
        <v>238500</v>
      </c>
      <c r="E121" s="420">
        <f t="shared" si="55"/>
        <v>238500</v>
      </c>
      <c r="F121" s="420">
        <f t="shared" si="55"/>
        <v>238500</v>
      </c>
      <c r="G121" s="420">
        <f t="shared" si="55"/>
        <v>238500</v>
      </c>
      <c r="H121" s="420">
        <f t="shared" si="55"/>
        <v>238500</v>
      </c>
      <c r="I121" s="420">
        <f t="shared" si="55"/>
        <v>238500</v>
      </c>
      <c r="J121" s="420">
        <f t="shared" si="55"/>
        <v>238500</v>
      </c>
      <c r="K121" s="420">
        <f t="shared" si="55"/>
        <v>238500</v>
      </c>
      <c r="L121" s="420">
        <f t="shared" si="55"/>
        <v>238500</v>
      </c>
      <c r="M121" s="420">
        <f t="shared" si="55"/>
        <v>238500</v>
      </c>
      <c r="N121" s="421">
        <f>SUM(B121:M121)</f>
        <v>2862000</v>
      </c>
    </row>
    <row r="122" spans="1:15">
      <c r="A122" s="418"/>
      <c r="B122" s="420"/>
      <c r="C122" s="420"/>
      <c r="D122" s="420"/>
      <c r="E122" s="420"/>
      <c r="F122" s="420"/>
      <c r="G122" s="420"/>
      <c r="H122" s="420"/>
      <c r="I122" s="420"/>
      <c r="J122" s="420"/>
      <c r="K122" s="420"/>
      <c r="L122" s="420"/>
      <c r="M122" s="420"/>
      <c r="N122" s="421"/>
    </row>
    <row r="123" spans="1:15" s="20" customFormat="1" ht="10.199999999999999">
      <c r="A123" s="414" t="s">
        <v>171</v>
      </c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1"/>
    </row>
    <row r="124" spans="1:15" s="20" customFormat="1" ht="10.199999999999999">
      <c r="A124" s="415" t="s">
        <v>16</v>
      </c>
      <c r="B124" s="420">
        <v>4000</v>
      </c>
      <c r="C124" s="420"/>
      <c r="D124" s="420"/>
      <c r="E124" s="420"/>
      <c r="F124" s="420"/>
      <c r="G124" s="420"/>
      <c r="H124" s="420"/>
      <c r="I124" s="420"/>
      <c r="J124" s="420"/>
      <c r="K124" s="420"/>
      <c r="L124" s="420"/>
      <c r="M124" s="420"/>
      <c r="N124" s="417">
        <f>SUM(B124:M124)</f>
        <v>4000</v>
      </c>
      <c r="O124" s="336" t="s">
        <v>236</v>
      </c>
    </row>
    <row r="125" spans="1:15" s="20" customFormat="1" ht="10.199999999999999">
      <c r="A125" s="418" t="s">
        <v>20</v>
      </c>
      <c r="B125" s="423">
        <f>B115</f>
        <v>1.59</v>
      </c>
      <c r="C125" s="423">
        <f t="shared" ref="C125:M125" si="56">C115</f>
        <v>1.59</v>
      </c>
      <c r="D125" s="423">
        <f t="shared" si="56"/>
        <v>1.59</v>
      </c>
      <c r="E125" s="423">
        <f t="shared" si="56"/>
        <v>1.59</v>
      </c>
      <c r="F125" s="423">
        <f t="shared" si="56"/>
        <v>1.59</v>
      </c>
      <c r="G125" s="423">
        <f t="shared" si="56"/>
        <v>1.59</v>
      </c>
      <c r="H125" s="423">
        <f t="shared" si="56"/>
        <v>1.59</v>
      </c>
      <c r="I125" s="423">
        <f t="shared" si="56"/>
        <v>1.59</v>
      </c>
      <c r="J125" s="423">
        <f t="shared" si="56"/>
        <v>1.59</v>
      </c>
      <c r="K125" s="423">
        <f t="shared" si="56"/>
        <v>1.59</v>
      </c>
      <c r="L125" s="423">
        <f t="shared" si="56"/>
        <v>1.59</v>
      </c>
      <c r="M125" s="423">
        <f t="shared" si="56"/>
        <v>1.59</v>
      </c>
      <c r="N125" s="421"/>
    </row>
    <row r="126" spans="1:15" s="20" customFormat="1" ht="10.199999999999999">
      <c r="A126" s="418" t="s">
        <v>17</v>
      </c>
      <c r="B126" s="420">
        <f t="shared" ref="B126:M126" si="57">B124*B125</f>
        <v>6360</v>
      </c>
      <c r="C126" s="420">
        <f t="shared" si="57"/>
        <v>0</v>
      </c>
      <c r="D126" s="420">
        <f t="shared" si="57"/>
        <v>0</v>
      </c>
      <c r="E126" s="420">
        <f t="shared" si="57"/>
        <v>0</v>
      </c>
      <c r="F126" s="420">
        <f t="shared" si="57"/>
        <v>0</v>
      </c>
      <c r="G126" s="420">
        <f t="shared" si="57"/>
        <v>0</v>
      </c>
      <c r="H126" s="420">
        <f t="shared" si="57"/>
        <v>0</v>
      </c>
      <c r="I126" s="420">
        <f t="shared" si="57"/>
        <v>0</v>
      </c>
      <c r="J126" s="420">
        <f t="shared" si="57"/>
        <v>0</v>
      </c>
      <c r="K126" s="420">
        <f t="shared" si="57"/>
        <v>0</v>
      </c>
      <c r="L126" s="420">
        <f t="shared" si="57"/>
        <v>0</v>
      </c>
      <c r="M126" s="420">
        <f t="shared" si="57"/>
        <v>0</v>
      </c>
      <c r="N126" s="421">
        <f>SUM(B126:M126)</f>
        <v>6360</v>
      </c>
    </row>
    <row r="127" spans="1:15" s="20" customFormat="1" ht="10.199999999999999">
      <c r="A127" s="418"/>
      <c r="B127" s="420"/>
      <c r="C127" s="420"/>
      <c r="D127" s="420"/>
      <c r="E127" s="420"/>
      <c r="F127" s="420"/>
      <c r="G127" s="420"/>
      <c r="H127" s="420"/>
      <c r="I127" s="420"/>
      <c r="J127" s="420"/>
      <c r="K127" s="420"/>
      <c r="L127" s="420"/>
      <c r="M127" s="420"/>
      <c r="N127" s="421"/>
    </row>
    <row r="128" spans="1:15" s="20" customFormat="1" ht="10.199999999999999">
      <c r="A128" s="414" t="s">
        <v>239</v>
      </c>
      <c r="B128" s="420"/>
      <c r="C128" s="420"/>
      <c r="D128" s="420"/>
      <c r="E128" s="420"/>
      <c r="F128" s="420"/>
      <c r="G128" s="420"/>
      <c r="H128" s="420"/>
      <c r="I128" s="420"/>
      <c r="J128" s="420"/>
      <c r="K128" s="420"/>
      <c r="L128" s="420"/>
      <c r="M128" s="420"/>
      <c r="N128" s="421"/>
      <c r="O128" s="457"/>
    </row>
    <row r="129" spans="1:16" s="20" customFormat="1" ht="10.199999999999999">
      <c r="A129" s="415" t="s">
        <v>16</v>
      </c>
      <c r="B129" s="420">
        <v>160000</v>
      </c>
      <c r="C129" s="420">
        <v>160000</v>
      </c>
      <c r="D129" s="420">
        <v>160000</v>
      </c>
      <c r="E129" s="420">
        <v>160000</v>
      </c>
      <c r="F129" s="420">
        <v>160000</v>
      </c>
      <c r="G129" s="420">
        <v>160000</v>
      </c>
      <c r="H129" s="420">
        <v>160000</v>
      </c>
      <c r="I129" s="420">
        <v>160000</v>
      </c>
      <c r="J129" s="420">
        <v>160000</v>
      </c>
      <c r="K129" s="420">
        <v>160000</v>
      </c>
      <c r="L129" s="420">
        <v>160000</v>
      </c>
      <c r="M129" s="420">
        <v>160000</v>
      </c>
      <c r="N129" s="417">
        <f>SUM(B129:M129)</f>
        <v>1920000</v>
      </c>
      <c r="O129" s="20" t="s">
        <v>281</v>
      </c>
    </row>
    <row r="130" spans="1:16" s="20" customFormat="1" ht="10.199999999999999">
      <c r="A130" s="418" t="s">
        <v>20</v>
      </c>
      <c r="B130" s="423">
        <f>B125</f>
        <v>1.59</v>
      </c>
      <c r="C130" s="423">
        <f t="shared" ref="C130:M130" si="58">C125</f>
        <v>1.59</v>
      </c>
      <c r="D130" s="423">
        <f t="shared" si="58"/>
        <v>1.59</v>
      </c>
      <c r="E130" s="423">
        <f t="shared" si="58"/>
        <v>1.59</v>
      </c>
      <c r="F130" s="423">
        <f t="shared" si="58"/>
        <v>1.59</v>
      </c>
      <c r="G130" s="423">
        <f t="shared" si="58"/>
        <v>1.59</v>
      </c>
      <c r="H130" s="423">
        <f t="shared" si="58"/>
        <v>1.59</v>
      </c>
      <c r="I130" s="423">
        <f t="shared" si="58"/>
        <v>1.59</v>
      </c>
      <c r="J130" s="423">
        <f t="shared" si="58"/>
        <v>1.59</v>
      </c>
      <c r="K130" s="423">
        <f t="shared" si="58"/>
        <v>1.59</v>
      </c>
      <c r="L130" s="423">
        <f t="shared" si="58"/>
        <v>1.59</v>
      </c>
      <c r="M130" s="423">
        <f t="shared" si="58"/>
        <v>1.59</v>
      </c>
      <c r="N130" s="257"/>
    </row>
    <row r="131" spans="1:16" s="20" customFormat="1" ht="10.199999999999999">
      <c r="A131" s="418" t="s">
        <v>17</v>
      </c>
      <c r="B131" s="420">
        <f t="shared" ref="B131:M131" si="59">B129*B130</f>
        <v>254400</v>
      </c>
      <c r="C131" s="420">
        <f t="shared" si="59"/>
        <v>254400</v>
      </c>
      <c r="D131" s="420">
        <f t="shared" si="59"/>
        <v>254400</v>
      </c>
      <c r="E131" s="420">
        <f t="shared" si="59"/>
        <v>254400</v>
      </c>
      <c r="F131" s="420">
        <f t="shared" si="59"/>
        <v>254400</v>
      </c>
      <c r="G131" s="420">
        <f t="shared" si="59"/>
        <v>254400</v>
      </c>
      <c r="H131" s="420">
        <f t="shared" si="59"/>
        <v>254400</v>
      </c>
      <c r="I131" s="420">
        <f t="shared" si="59"/>
        <v>254400</v>
      </c>
      <c r="J131" s="420">
        <f t="shared" si="59"/>
        <v>254400</v>
      </c>
      <c r="K131" s="420">
        <f t="shared" si="59"/>
        <v>254400</v>
      </c>
      <c r="L131" s="420">
        <f t="shared" si="59"/>
        <v>254400</v>
      </c>
      <c r="M131" s="420">
        <f t="shared" si="59"/>
        <v>254400</v>
      </c>
      <c r="N131" s="421">
        <f>SUM(B131:M131)</f>
        <v>3052800</v>
      </c>
    </row>
    <row r="132" spans="1:16" s="20" customFormat="1" ht="10.199999999999999">
      <c r="A132" s="418"/>
      <c r="B132" s="420"/>
      <c r="C132" s="420"/>
      <c r="D132" s="420"/>
      <c r="E132" s="420"/>
      <c r="F132" s="420"/>
      <c r="G132" s="420"/>
      <c r="H132" s="420"/>
      <c r="I132" s="420"/>
      <c r="J132" s="420"/>
      <c r="K132" s="420"/>
      <c r="L132" s="420"/>
      <c r="M132" s="420"/>
      <c r="N132" s="421"/>
    </row>
    <row r="133" spans="1:16" s="20" customFormat="1" ht="10.199999999999999">
      <c r="A133" s="414" t="s">
        <v>302</v>
      </c>
      <c r="B133" s="420">
        <f>20*1000</f>
        <v>20000</v>
      </c>
      <c r="C133" s="420"/>
      <c r="D133" s="420"/>
      <c r="E133" s="420"/>
      <c r="F133" s="420"/>
      <c r="G133" s="420"/>
      <c r="H133" s="420"/>
      <c r="I133" s="420"/>
      <c r="J133" s="420"/>
      <c r="K133" s="420"/>
      <c r="L133" s="420"/>
      <c r="M133" s="420"/>
      <c r="N133" s="417">
        <f>SUM(B133:M133)</f>
        <v>20000</v>
      </c>
      <c r="O133" s="336" t="s">
        <v>380</v>
      </c>
    </row>
    <row r="134" spans="1:16" s="20" customFormat="1" ht="10.199999999999999">
      <c r="A134" s="418" t="s">
        <v>20</v>
      </c>
      <c r="B134" s="423">
        <f>B130</f>
        <v>1.59</v>
      </c>
      <c r="C134" s="423">
        <f t="shared" ref="C134:M134" si="60">C130</f>
        <v>1.59</v>
      </c>
      <c r="D134" s="423">
        <f t="shared" si="60"/>
        <v>1.59</v>
      </c>
      <c r="E134" s="423">
        <f t="shared" si="60"/>
        <v>1.59</v>
      </c>
      <c r="F134" s="423">
        <f t="shared" si="60"/>
        <v>1.59</v>
      </c>
      <c r="G134" s="423">
        <f t="shared" si="60"/>
        <v>1.59</v>
      </c>
      <c r="H134" s="423">
        <f t="shared" si="60"/>
        <v>1.59</v>
      </c>
      <c r="I134" s="423">
        <f t="shared" si="60"/>
        <v>1.59</v>
      </c>
      <c r="J134" s="423">
        <f t="shared" si="60"/>
        <v>1.59</v>
      </c>
      <c r="K134" s="423">
        <f t="shared" si="60"/>
        <v>1.59</v>
      </c>
      <c r="L134" s="423">
        <f t="shared" si="60"/>
        <v>1.59</v>
      </c>
      <c r="M134" s="423">
        <f t="shared" si="60"/>
        <v>1.59</v>
      </c>
      <c r="N134" s="257"/>
    </row>
    <row r="135" spans="1:16" s="20" customFormat="1" ht="10.199999999999999">
      <c r="A135" s="418" t="s">
        <v>17</v>
      </c>
      <c r="B135" s="420">
        <f t="shared" ref="B135:M135" si="61">B133*B134</f>
        <v>31800</v>
      </c>
      <c r="C135" s="420">
        <f t="shared" si="61"/>
        <v>0</v>
      </c>
      <c r="D135" s="420">
        <f t="shared" si="61"/>
        <v>0</v>
      </c>
      <c r="E135" s="420">
        <f t="shared" si="61"/>
        <v>0</v>
      </c>
      <c r="F135" s="420">
        <f t="shared" si="61"/>
        <v>0</v>
      </c>
      <c r="G135" s="420">
        <f t="shared" si="61"/>
        <v>0</v>
      </c>
      <c r="H135" s="420">
        <f t="shared" si="61"/>
        <v>0</v>
      </c>
      <c r="I135" s="420">
        <f t="shared" si="61"/>
        <v>0</v>
      </c>
      <c r="J135" s="420">
        <f t="shared" si="61"/>
        <v>0</v>
      </c>
      <c r="K135" s="420">
        <f t="shared" si="61"/>
        <v>0</v>
      </c>
      <c r="L135" s="420">
        <f t="shared" si="61"/>
        <v>0</v>
      </c>
      <c r="M135" s="420">
        <f t="shared" si="61"/>
        <v>0</v>
      </c>
      <c r="N135" s="421">
        <f>SUM(B135:M135)</f>
        <v>31800</v>
      </c>
    </row>
    <row r="136" spans="1:16" s="20" customFormat="1" ht="10.199999999999999">
      <c r="A136" s="418"/>
      <c r="B136" s="420"/>
      <c r="C136" s="420"/>
      <c r="D136" s="420"/>
      <c r="E136" s="420"/>
      <c r="F136" s="420"/>
      <c r="G136" s="420"/>
      <c r="H136" s="420"/>
      <c r="I136" s="420"/>
      <c r="J136" s="420"/>
      <c r="K136" s="420"/>
      <c r="L136" s="420"/>
      <c r="M136" s="420"/>
      <c r="N136" s="257"/>
    </row>
    <row r="137" spans="1:16" s="20" customFormat="1" ht="10.199999999999999">
      <c r="A137" s="424" t="s">
        <v>25</v>
      </c>
      <c r="B137" s="425">
        <f t="shared" ref="B137:M137" si="62">B76+B81+B86+B91+B96+B101+B116+B106+B126+B111+B121+B131+B135</f>
        <v>806219.04</v>
      </c>
      <c r="C137" s="425">
        <f t="shared" si="62"/>
        <v>728309.04</v>
      </c>
      <c r="D137" s="425">
        <f t="shared" si="62"/>
        <v>728309.04</v>
      </c>
      <c r="E137" s="425">
        <f t="shared" si="62"/>
        <v>728309.04</v>
      </c>
      <c r="F137" s="425">
        <f t="shared" si="62"/>
        <v>728309.04</v>
      </c>
      <c r="G137" s="425">
        <f t="shared" si="62"/>
        <v>728309.04</v>
      </c>
      <c r="H137" s="425">
        <f t="shared" si="62"/>
        <v>728309.04</v>
      </c>
      <c r="I137" s="425">
        <f t="shared" si="62"/>
        <v>728309.04</v>
      </c>
      <c r="J137" s="425">
        <f t="shared" si="62"/>
        <v>728309.04</v>
      </c>
      <c r="K137" s="425">
        <f t="shared" si="62"/>
        <v>728309.04</v>
      </c>
      <c r="L137" s="425">
        <f t="shared" si="62"/>
        <v>728309.04</v>
      </c>
      <c r="M137" s="425">
        <f t="shared" si="62"/>
        <v>728309.04</v>
      </c>
      <c r="N137" s="426">
        <f>SUM(B137:M137)</f>
        <v>8817618.4800000004</v>
      </c>
    </row>
    <row r="138" spans="1:16" s="20" customFormat="1" ht="10.199999999999999">
      <c r="A138" s="427" t="s">
        <v>60</v>
      </c>
      <c r="B138" s="428">
        <f t="shared" ref="B138:M138" si="63">B74+B79+B84+B89+B94+B114+B99+B104+B124+B109+B119+B129+B133</f>
        <v>507056</v>
      </c>
      <c r="C138" s="428">
        <f t="shared" si="63"/>
        <v>458056</v>
      </c>
      <c r="D138" s="428">
        <f t="shared" si="63"/>
        <v>458056</v>
      </c>
      <c r="E138" s="428">
        <f t="shared" si="63"/>
        <v>458056</v>
      </c>
      <c r="F138" s="428">
        <f t="shared" si="63"/>
        <v>458056</v>
      </c>
      <c r="G138" s="428">
        <f t="shared" si="63"/>
        <v>458056</v>
      </c>
      <c r="H138" s="428">
        <f t="shared" si="63"/>
        <v>458056</v>
      </c>
      <c r="I138" s="428">
        <f t="shared" si="63"/>
        <v>458056</v>
      </c>
      <c r="J138" s="428">
        <f t="shared" si="63"/>
        <v>458056</v>
      </c>
      <c r="K138" s="428">
        <f t="shared" si="63"/>
        <v>458056</v>
      </c>
      <c r="L138" s="428">
        <f t="shared" si="63"/>
        <v>458056</v>
      </c>
      <c r="M138" s="428">
        <f t="shared" si="63"/>
        <v>458056</v>
      </c>
      <c r="N138" s="429">
        <f>SUM(B138:M138)</f>
        <v>5545672</v>
      </c>
      <c r="O138" s="28">
        <f>'TSAS Scheduling Revenue (1)'!N143</f>
        <v>5545672</v>
      </c>
      <c r="P138" s="28">
        <f>'TSAS Reactive Revenues (2)'!N139</f>
        <v>5545672</v>
      </c>
    </row>
    <row r="139" spans="1:16" s="20" customFormat="1" ht="10.199999999999999">
      <c r="A139" s="406">
        <f>+A70+1</f>
        <v>2016</v>
      </c>
      <c r="B139" s="407"/>
      <c r="C139" s="407"/>
      <c r="D139" s="407"/>
      <c r="E139" s="407"/>
      <c r="F139" s="407"/>
      <c r="G139" s="407"/>
      <c r="H139" s="407"/>
      <c r="I139" s="407"/>
      <c r="J139" s="407"/>
      <c r="K139" s="407"/>
      <c r="L139" s="407"/>
      <c r="M139" s="407"/>
      <c r="N139" s="408"/>
    </row>
    <row r="140" spans="1:16" s="20" customFormat="1" ht="13.2">
      <c r="A140" s="409" t="s">
        <v>19</v>
      </c>
      <c r="B140" s="412"/>
      <c r="C140" s="412"/>
      <c r="D140" s="412"/>
      <c r="E140" s="412"/>
      <c r="F140" s="412"/>
      <c r="G140" s="412"/>
      <c r="H140" s="412"/>
      <c r="I140" s="412"/>
      <c r="J140" s="412"/>
      <c r="K140" s="412"/>
      <c r="L140" s="412"/>
      <c r="M140" s="412"/>
      <c r="N140" s="413"/>
    </row>
    <row r="141" spans="1:16" s="20" customFormat="1" ht="10.199999999999999">
      <c r="A141" s="409"/>
      <c r="B141" s="410"/>
      <c r="C141" s="410"/>
      <c r="D141" s="410"/>
      <c r="E141" s="410"/>
      <c r="F141" s="410"/>
      <c r="G141" s="410"/>
      <c r="H141" s="410"/>
      <c r="I141" s="410"/>
      <c r="J141" s="410"/>
      <c r="K141" s="410"/>
      <c r="L141" s="410"/>
      <c r="M141" s="410"/>
      <c r="N141" s="411"/>
    </row>
    <row r="142" spans="1:16" s="20" customFormat="1" ht="10.199999999999999">
      <c r="A142" s="414" t="s">
        <v>359</v>
      </c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257"/>
    </row>
    <row r="143" spans="1:16" s="29" customFormat="1">
      <c r="A143" s="415" t="s">
        <v>16</v>
      </c>
      <c r="B143" s="416">
        <f>B74</f>
        <v>5000</v>
      </c>
      <c r="C143" s="416">
        <f t="shared" ref="C143:M143" si="64">C74</f>
        <v>5000</v>
      </c>
      <c r="D143" s="416">
        <f t="shared" si="64"/>
        <v>5000</v>
      </c>
      <c r="E143" s="416">
        <f t="shared" si="64"/>
        <v>5000</v>
      </c>
      <c r="F143" s="416">
        <f t="shared" si="64"/>
        <v>5000</v>
      </c>
      <c r="G143" s="416">
        <f t="shared" si="64"/>
        <v>5000</v>
      </c>
      <c r="H143" s="416">
        <f t="shared" si="64"/>
        <v>5000</v>
      </c>
      <c r="I143" s="416">
        <f t="shared" si="64"/>
        <v>5000</v>
      </c>
      <c r="J143" s="416">
        <f t="shared" si="64"/>
        <v>5000</v>
      </c>
      <c r="K143" s="416">
        <f t="shared" si="64"/>
        <v>5000</v>
      </c>
      <c r="L143" s="416">
        <f t="shared" si="64"/>
        <v>5000</v>
      </c>
      <c r="M143" s="416">
        <f t="shared" si="64"/>
        <v>5000</v>
      </c>
      <c r="N143" s="417">
        <f>SUM(B143:M143)</f>
        <v>60000</v>
      </c>
      <c r="O143" s="459"/>
    </row>
    <row r="144" spans="1:16" s="20" customFormat="1">
      <c r="A144" s="418" t="s">
        <v>20</v>
      </c>
      <c r="B144" s="419">
        <f>'Transmission Formula Rate (7)'!B12</f>
        <v>1.59</v>
      </c>
      <c r="C144" s="419">
        <f>'Transmission Formula Rate (7)'!C12</f>
        <v>1.59</v>
      </c>
      <c r="D144" s="419">
        <f>'Transmission Formula Rate (7)'!D12</f>
        <v>1.59</v>
      </c>
      <c r="E144" s="419">
        <f>'Transmission Formula Rate (7)'!E12</f>
        <v>1.59</v>
      </c>
      <c r="F144" s="419">
        <f>'Transmission Formula Rate (7)'!F12</f>
        <v>1.59</v>
      </c>
      <c r="G144" s="419">
        <f>'Transmission Formula Rate (7)'!G12</f>
        <v>1.59</v>
      </c>
      <c r="H144" s="419">
        <f>'Transmission Formula Rate (7)'!H12</f>
        <v>1.59</v>
      </c>
      <c r="I144" s="419">
        <f>'Transmission Formula Rate (7)'!I12</f>
        <v>1.59</v>
      </c>
      <c r="J144" s="419">
        <f>'Transmission Formula Rate (7)'!J12</f>
        <v>1.59</v>
      </c>
      <c r="K144" s="419">
        <f>'Transmission Formula Rate (7)'!K12</f>
        <v>1.59</v>
      </c>
      <c r="L144" s="419">
        <f>'Transmission Formula Rate (7)'!L12</f>
        <v>1.59</v>
      </c>
      <c r="M144" s="419">
        <f>'Transmission Formula Rate (7)'!M12</f>
        <v>1.59</v>
      </c>
      <c r="N144" s="257"/>
      <c r="O144" s="22"/>
    </row>
    <row r="145" spans="1:15" s="20" customFormat="1">
      <c r="A145" s="418" t="s">
        <v>17</v>
      </c>
      <c r="B145" s="420">
        <f t="shared" ref="B145:M145" si="65">B143*B144</f>
        <v>7950</v>
      </c>
      <c r="C145" s="420">
        <f t="shared" si="65"/>
        <v>7950</v>
      </c>
      <c r="D145" s="420">
        <f t="shared" si="65"/>
        <v>7950</v>
      </c>
      <c r="E145" s="420">
        <f t="shared" si="65"/>
        <v>7950</v>
      </c>
      <c r="F145" s="420">
        <f t="shared" si="65"/>
        <v>7950</v>
      </c>
      <c r="G145" s="420">
        <f t="shared" si="65"/>
        <v>7950</v>
      </c>
      <c r="H145" s="420">
        <f t="shared" si="65"/>
        <v>7950</v>
      </c>
      <c r="I145" s="420">
        <f t="shared" si="65"/>
        <v>7950</v>
      </c>
      <c r="J145" s="420">
        <f t="shared" si="65"/>
        <v>7950</v>
      </c>
      <c r="K145" s="420">
        <f t="shared" si="65"/>
        <v>7950</v>
      </c>
      <c r="L145" s="420">
        <f t="shared" si="65"/>
        <v>7950</v>
      </c>
      <c r="M145" s="420">
        <f t="shared" si="65"/>
        <v>7950</v>
      </c>
      <c r="N145" s="421">
        <f>SUM(B145:M145)</f>
        <v>95400</v>
      </c>
      <c r="O145" s="22"/>
    </row>
    <row r="146" spans="1:15" s="20" customFormat="1">
      <c r="A146" s="422"/>
      <c r="B146" s="304"/>
      <c r="C146" s="304"/>
      <c r="D146" s="304"/>
      <c r="E146" s="304"/>
      <c r="F146" s="304"/>
      <c r="G146" s="304"/>
      <c r="H146" s="304"/>
      <c r="I146" s="304"/>
      <c r="J146" s="304"/>
      <c r="K146" s="304"/>
      <c r="L146" s="304"/>
      <c r="M146" s="304"/>
      <c r="N146" s="257"/>
      <c r="O146" s="22"/>
    </row>
    <row r="147" spans="1:15" s="20" customFormat="1">
      <c r="A147" s="431"/>
      <c r="B147" s="304"/>
      <c r="C147" s="304"/>
      <c r="D147" s="304"/>
      <c r="E147" s="304"/>
      <c r="F147" s="304"/>
      <c r="G147" s="304"/>
      <c r="H147" s="304"/>
      <c r="I147" s="304"/>
      <c r="J147" s="304"/>
      <c r="K147" s="304"/>
      <c r="L147" s="304"/>
      <c r="M147" s="304"/>
      <c r="N147" s="257"/>
      <c r="O147" s="22"/>
    </row>
    <row r="148" spans="1:15" s="29" customFormat="1">
      <c r="A148" s="415" t="s">
        <v>16</v>
      </c>
      <c r="B148" s="416">
        <v>0</v>
      </c>
      <c r="C148" s="416">
        <v>0</v>
      </c>
      <c r="D148" s="416">
        <v>0</v>
      </c>
      <c r="E148" s="416">
        <v>0</v>
      </c>
      <c r="F148" s="416">
        <v>0</v>
      </c>
      <c r="G148" s="416">
        <v>0</v>
      </c>
      <c r="H148" s="416">
        <v>0</v>
      </c>
      <c r="I148" s="416">
        <v>0</v>
      </c>
      <c r="J148" s="416">
        <v>0</v>
      </c>
      <c r="K148" s="416">
        <v>0</v>
      </c>
      <c r="L148" s="416">
        <v>0</v>
      </c>
      <c r="M148" s="416">
        <v>0</v>
      </c>
      <c r="N148" s="417">
        <f>SUM(B148:M148)</f>
        <v>0</v>
      </c>
      <c r="O148" s="22"/>
    </row>
    <row r="149" spans="1:15" s="20" customFormat="1">
      <c r="A149" s="418" t="s">
        <v>20</v>
      </c>
      <c r="B149" s="419">
        <f>B144</f>
        <v>1.59</v>
      </c>
      <c r="C149" s="419">
        <f t="shared" ref="C149:M149" si="66">C144</f>
        <v>1.59</v>
      </c>
      <c r="D149" s="419">
        <f t="shared" si="66"/>
        <v>1.59</v>
      </c>
      <c r="E149" s="419">
        <f t="shared" si="66"/>
        <v>1.59</v>
      </c>
      <c r="F149" s="419">
        <f t="shared" si="66"/>
        <v>1.59</v>
      </c>
      <c r="G149" s="419">
        <f t="shared" si="66"/>
        <v>1.59</v>
      </c>
      <c r="H149" s="419">
        <f t="shared" si="66"/>
        <v>1.59</v>
      </c>
      <c r="I149" s="419">
        <f t="shared" si="66"/>
        <v>1.59</v>
      </c>
      <c r="J149" s="419">
        <f t="shared" si="66"/>
        <v>1.59</v>
      </c>
      <c r="K149" s="419">
        <f t="shared" si="66"/>
        <v>1.59</v>
      </c>
      <c r="L149" s="419">
        <f t="shared" si="66"/>
        <v>1.59</v>
      </c>
      <c r="M149" s="419">
        <f t="shared" si="66"/>
        <v>1.59</v>
      </c>
      <c r="N149" s="257"/>
      <c r="O149" s="22"/>
    </row>
    <row r="150" spans="1:15" s="20" customFormat="1">
      <c r="A150" s="418" t="s">
        <v>17</v>
      </c>
      <c r="B150" s="420">
        <f t="shared" ref="B150:M150" si="67">B148*B149</f>
        <v>0</v>
      </c>
      <c r="C150" s="420">
        <f t="shared" si="67"/>
        <v>0</v>
      </c>
      <c r="D150" s="420">
        <f t="shared" si="67"/>
        <v>0</v>
      </c>
      <c r="E150" s="420">
        <f t="shared" si="67"/>
        <v>0</v>
      </c>
      <c r="F150" s="420">
        <f t="shared" si="67"/>
        <v>0</v>
      </c>
      <c r="G150" s="420">
        <f t="shared" si="67"/>
        <v>0</v>
      </c>
      <c r="H150" s="420">
        <f t="shared" si="67"/>
        <v>0</v>
      </c>
      <c r="I150" s="420">
        <f t="shared" si="67"/>
        <v>0</v>
      </c>
      <c r="J150" s="420">
        <f t="shared" si="67"/>
        <v>0</v>
      </c>
      <c r="K150" s="420">
        <f t="shared" si="67"/>
        <v>0</v>
      </c>
      <c r="L150" s="420">
        <f t="shared" si="67"/>
        <v>0</v>
      </c>
      <c r="M150" s="420">
        <f t="shared" si="67"/>
        <v>0</v>
      </c>
      <c r="N150" s="421">
        <f>SUM(B150:M150)</f>
        <v>0</v>
      </c>
      <c r="O150" s="22"/>
    </row>
    <row r="151" spans="1:15" s="20" customFormat="1">
      <c r="A151" s="422"/>
      <c r="B151" s="420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257"/>
      <c r="O151" s="22"/>
    </row>
    <row r="152" spans="1:15" s="20" customFormat="1">
      <c r="A152" s="431"/>
      <c r="B152" s="304"/>
      <c r="C152" s="304"/>
      <c r="D152" s="304"/>
      <c r="E152" s="304"/>
      <c r="F152" s="304"/>
      <c r="G152" s="304"/>
      <c r="H152" s="304"/>
      <c r="I152" s="304"/>
      <c r="J152" s="304"/>
      <c r="K152" s="304"/>
      <c r="L152" s="304"/>
      <c r="M152" s="304"/>
      <c r="N152" s="257"/>
      <c r="O152" s="22"/>
    </row>
    <row r="153" spans="1:15" s="29" customFormat="1">
      <c r="A153" s="415" t="s">
        <v>16</v>
      </c>
      <c r="B153" s="416">
        <v>0</v>
      </c>
      <c r="C153" s="416">
        <v>0</v>
      </c>
      <c r="D153" s="416">
        <v>0</v>
      </c>
      <c r="E153" s="416">
        <v>0</v>
      </c>
      <c r="F153" s="416">
        <v>0</v>
      </c>
      <c r="G153" s="416">
        <v>0</v>
      </c>
      <c r="H153" s="416">
        <v>0</v>
      </c>
      <c r="I153" s="416">
        <v>0</v>
      </c>
      <c r="J153" s="416">
        <v>0</v>
      </c>
      <c r="K153" s="416">
        <v>0</v>
      </c>
      <c r="L153" s="416">
        <v>0</v>
      </c>
      <c r="M153" s="416">
        <v>0</v>
      </c>
      <c r="N153" s="417">
        <f>SUM(B153:M153)</f>
        <v>0</v>
      </c>
      <c r="O153" s="22"/>
    </row>
    <row r="154" spans="1:15" s="20" customFormat="1">
      <c r="A154" s="418" t="s">
        <v>20</v>
      </c>
      <c r="B154" s="423">
        <f>B149</f>
        <v>1.59</v>
      </c>
      <c r="C154" s="423">
        <f t="shared" ref="C154:M154" si="68">C149</f>
        <v>1.59</v>
      </c>
      <c r="D154" s="423">
        <f t="shared" si="68"/>
        <v>1.59</v>
      </c>
      <c r="E154" s="423">
        <f t="shared" si="68"/>
        <v>1.59</v>
      </c>
      <c r="F154" s="423">
        <f t="shared" si="68"/>
        <v>1.59</v>
      </c>
      <c r="G154" s="423">
        <f t="shared" si="68"/>
        <v>1.59</v>
      </c>
      <c r="H154" s="423">
        <f t="shared" si="68"/>
        <v>1.59</v>
      </c>
      <c r="I154" s="423">
        <f t="shared" si="68"/>
        <v>1.59</v>
      </c>
      <c r="J154" s="423">
        <f t="shared" si="68"/>
        <v>1.59</v>
      </c>
      <c r="K154" s="423">
        <f t="shared" si="68"/>
        <v>1.59</v>
      </c>
      <c r="L154" s="423">
        <f t="shared" si="68"/>
        <v>1.59</v>
      </c>
      <c r="M154" s="423">
        <f t="shared" si="68"/>
        <v>1.59</v>
      </c>
      <c r="N154" s="257"/>
      <c r="O154" s="22"/>
    </row>
    <row r="155" spans="1:15" s="20" customFormat="1">
      <c r="A155" s="418" t="s">
        <v>17</v>
      </c>
      <c r="B155" s="420">
        <f t="shared" ref="B155:M155" si="69">B153*B154</f>
        <v>0</v>
      </c>
      <c r="C155" s="420">
        <f t="shared" si="69"/>
        <v>0</v>
      </c>
      <c r="D155" s="420">
        <f t="shared" si="69"/>
        <v>0</v>
      </c>
      <c r="E155" s="420">
        <f t="shared" si="69"/>
        <v>0</v>
      </c>
      <c r="F155" s="420">
        <f t="shared" si="69"/>
        <v>0</v>
      </c>
      <c r="G155" s="420">
        <f t="shared" si="69"/>
        <v>0</v>
      </c>
      <c r="H155" s="420">
        <f t="shared" si="69"/>
        <v>0</v>
      </c>
      <c r="I155" s="420">
        <f t="shared" si="69"/>
        <v>0</v>
      </c>
      <c r="J155" s="420">
        <f t="shared" si="69"/>
        <v>0</v>
      </c>
      <c r="K155" s="420">
        <f t="shared" si="69"/>
        <v>0</v>
      </c>
      <c r="L155" s="420">
        <f t="shared" si="69"/>
        <v>0</v>
      </c>
      <c r="M155" s="420">
        <f t="shared" si="69"/>
        <v>0</v>
      </c>
      <c r="N155" s="421">
        <f>SUM(B155:M155)</f>
        <v>0</v>
      </c>
      <c r="O155" s="22"/>
    </row>
    <row r="156" spans="1:15" s="20" customFormat="1">
      <c r="A156" s="422"/>
      <c r="B156" s="420"/>
      <c r="C156" s="304"/>
      <c r="D156" s="304"/>
      <c r="E156" s="304"/>
      <c r="F156" s="304"/>
      <c r="G156" s="304"/>
      <c r="H156" s="304"/>
      <c r="I156" s="304"/>
      <c r="J156" s="304"/>
      <c r="K156" s="304"/>
      <c r="L156" s="304"/>
      <c r="M156" s="304"/>
      <c r="N156" s="257"/>
      <c r="O156" s="22"/>
    </row>
    <row r="157" spans="1:15" s="20" customFormat="1" ht="10.199999999999999">
      <c r="A157" s="414" t="s">
        <v>23</v>
      </c>
      <c r="B157" s="304"/>
      <c r="C157" s="304"/>
      <c r="D157" s="304"/>
      <c r="E157" s="304"/>
      <c r="F157" s="304"/>
      <c r="G157" s="304"/>
      <c r="H157" s="304"/>
      <c r="I157" s="304"/>
      <c r="J157" s="304"/>
      <c r="K157" s="304"/>
      <c r="L157" s="304"/>
      <c r="M157" s="304"/>
      <c r="N157" s="257"/>
      <c r="O157" s="458"/>
    </row>
    <row r="158" spans="1:15" s="29" customFormat="1" ht="10.199999999999999">
      <c r="A158" s="415" t="s">
        <v>16</v>
      </c>
      <c r="B158" s="416">
        <f>B89</f>
        <v>37056</v>
      </c>
      <c r="C158" s="416">
        <f t="shared" ref="C158:M158" si="70">C89</f>
        <v>37056</v>
      </c>
      <c r="D158" s="416">
        <f t="shared" si="70"/>
        <v>37056</v>
      </c>
      <c r="E158" s="416">
        <f t="shared" si="70"/>
        <v>37056</v>
      </c>
      <c r="F158" s="416">
        <f t="shared" si="70"/>
        <v>37056</v>
      </c>
      <c r="G158" s="416">
        <f t="shared" si="70"/>
        <v>37056</v>
      </c>
      <c r="H158" s="416">
        <f t="shared" si="70"/>
        <v>37056</v>
      </c>
      <c r="I158" s="416">
        <f t="shared" si="70"/>
        <v>37056</v>
      </c>
      <c r="J158" s="416">
        <f t="shared" si="70"/>
        <v>37056</v>
      </c>
      <c r="K158" s="416">
        <f t="shared" si="70"/>
        <v>37056</v>
      </c>
      <c r="L158" s="416">
        <f t="shared" si="70"/>
        <v>37056</v>
      </c>
      <c r="M158" s="416">
        <f t="shared" si="70"/>
        <v>37056</v>
      </c>
      <c r="N158" s="417">
        <f>SUM(B158:M158)</f>
        <v>444672</v>
      </c>
    </row>
    <row r="159" spans="1:15" s="20" customFormat="1" ht="10.199999999999999">
      <c r="A159" s="418" t="s">
        <v>20</v>
      </c>
      <c r="B159" s="423">
        <f>B154</f>
        <v>1.59</v>
      </c>
      <c r="C159" s="423">
        <f t="shared" ref="C159:M159" si="71">C154</f>
        <v>1.59</v>
      </c>
      <c r="D159" s="423">
        <f t="shared" si="71"/>
        <v>1.59</v>
      </c>
      <c r="E159" s="423">
        <f t="shared" si="71"/>
        <v>1.59</v>
      </c>
      <c r="F159" s="423">
        <f t="shared" si="71"/>
        <v>1.59</v>
      </c>
      <c r="G159" s="423">
        <f t="shared" si="71"/>
        <v>1.59</v>
      </c>
      <c r="H159" s="423">
        <f t="shared" si="71"/>
        <v>1.59</v>
      </c>
      <c r="I159" s="423">
        <f t="shared" si="71"/>
        <v>1.59</v>
      </c>
      <c r="J159" s="423">
        <f t="shared" si="71"/>
        <v>1.59</v>
      </c>
      <c r="K159" s="423">
        <f t="shared" si="71"/>
        <v>1.59</v>
      </c>
      <c r="L159" s="423">
        <f t="shared" si="71"/>
        <v>1.59</v>
      </c>
      <c r="M159" s="423">
        <f t="shared" si="71"/>
        <v>1.59</v>
      </c>
      <c r="N159" s="257"/>
    </row>
    <row r="160" spans="1:15" s="20" customFormat="1" ht="10.199999999999999">
      <c r="A160" s="418" t="s">
        <v>17</v>
      </c>
      <c r="B160" s="420">
        <f t="shared" ref="B160:M160" si="72">B158*B159</f>
        <v>58919.040000000001</v>
      </c>
      <c r="C160" s="420">
        <f t="shared" si="72"/>
        <v>58919.040000000001</v>
      </c>
      <c r="D160" s="420">
        <f t="shared" si="72"/>
        <v>58919.040000000001</v>
      </c>
      <c r="E160" s="420">
        <f t="shared" si="72"/>
        <v>58919.040000000001</v>
      </c>
      <c r="F160" s="420">
        <f t="shared" si="72"/>
        <v>58919.040000000001</v>
      </c>
      <c r="G160" s="420">
        <f t="shared" si="72"/>
        <v>58919.040000000001</v>
      </c>
      <c r="H160" s="420">
        <f t="shared" si="72"/>
        <v>58919.040000000001</v>
      </c>
      <c r="I160" s="420">
        <f t="shared" si="72"/>
        <v>58919.040000000001</v>
      </c>
      <c r="J160" s="420">
        <f t="shared" si="72"/>
        <v>58919.040000000001</v>
      </c>
      <c r="K160" s="420">
        <f t="shared" si="72"/>
        <v>58919.040000000001</v>
      </c>
      <c r="L160" s="420">
        <f t="shared" si="72"/>
        <v>58919.040000000001</v>
      </c>
      <c r="M160" s="420">
        <f t="shared" si="72"/>
        <v>58919.040000000001</v>
      </c>
      <c r="N160" s="421">
        <f>SUM(B160:M160)</f>
        <v>707028.4800000001</v>
      </c>
    </row>
    <row r="161" spans="1:16" s="20" customFormat="1" ht="10.199999999999999">
      <c r="A161" s="422"/>
      <c r="B161" s="420"/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  <c r="M161" s="304"/>
      <c r="N161" s="257"/>
    </row>
    <row r="162" spans="1:16" s="20" customFormat="1" ht="10.199999999999999">
      <c r="A162" s="414" t="s">
        <v>24</v>
      </c>
      <c r="B162" s="304"/>
      <c r="C162" s="304"/>
      <c r="D162" s="304"/>
      <c r="E162" s="304"/>
      <c r="F162" s="304"/>
      <c r="G162" s="304"/>
      <c r="H162" s="304"/>
      <c r="I162" s="304"/>
      <c r="J162" s="304"/>
      <c r="K162" s="304"/>
      <c r="L162" s="304"/>
      <c r="M162" s="304"/>
      <c r="N162" s="257"/>
      <c r="O162" s="457"/>
    </row>
    <row r="163" spans="1:16" s="29" customFormat="1" ht="10.199999999999999">
      <c r="A163" s="415" t="s">
        <v>16</v>
      </c>
      <c r="B163" s="416">
        <v>62000</v>
      </c>
      <c r="C163" s="416">
        <v>62000</v>
      </c>
      <c r="D163" s="416">
        <v>62000</v>
      </c>
      <c r="E163" s="416">
        <v>62000</v>
      </c>
      <c r="F163" s="416">
        <v>62000</v>
      </c>
      <c r="G163" s="416">
        <v>62000</v>
      </c>
      <c r="H163" s="416">
        <v>62000</v>
      </c>
      <c r="I163" s="416">
        <v>62000</v>
      </c>
      <c r="J163" s="416">
        <v>62000</v>
      </c>
      <c r="K163" s="416">
        <v>62000</v>
      </c>
      <c r="L163" s="416">
        <v>62000</v>
      </c>
      <c r="M163" s="416">
        <v>62000</v>
      </c>
      <c r="N163" s="417">
        <f>SUM(B163:M163)</f>
        <v>744000</v>
      </c>
    </row>
    <row r="164" spans="1:16" s="20" customFormat="1" ht="10.199999999999999">
      <c r="A164" s="418" t="s">
        <v>20</v>
      </c>
      <c r="B164" s="423">
        <f>B159</f>
        <v>1.59</v>
      </c>
      <c r="C164" s="423">
        <f t="shared" ref="C164:M164" si="73">C159</f>
        <v>1.59</v>
      </c>
      <c r="D164" s="423">
        <f t="shared" si="73"/>
        <v>1.59</v>
      </c>
      <c r="E164" s="423">
        <f t="shared" si="73"/>
        <v>1.59</v>
      </c>
      <c r="F164" s="423">
        <f t="shared" si="73"/>
        <v>1.59</v>
      </c>
      <c r="G164" s="423">
        <f t="shared" si="73"/>
        <v>1.59</v>
      </c>
      <c r="H164" s="423">
        <f t="shared" si="73"/>
        <v>1.59</v>
      </c>
      <c r="I164" s="423">
        <f t="shared" si="73"/>
        <v>1.59</v>
      </c>
      <c r="J164" s="423">
        <f t="shared" si="73"/>
        <v>1.59</v>
      </c>
      <c r="K164" s="423">
        <f t="shared" si="73"/>
        <v>1.59</v>
      </c>
      <c r="L164" s="423">
        <f t="shared" si="73"/>
        <v>1.59</v>
      </c>
      <c r="M164" s="423">
        <f t="shared" si="73"/>
        <v>1.59</v>
      </c>
      <c r="N164" s="257"/>
    </row>
    <row r="165" spans="1:16" s="20" customFormat="1" ht="10.199999999999999">
      <c r="A165" s="418" t="s">
        <v>17</v>
      </c>
      <c r="B165" s="420">
        <f t="shared" ref="B165:M165" si="74">B163*B164</f>
        <v>98580</v>
      </c>
      <c r="C165" s="420">
        <f t="shared" si="74"/>
        <v>98580</v>
      </c>
      <c r="D165" s="420">
        <f t="shared" si="74"/>
        <v>98580</v>
      </c>
      <c r="E165" s="420">
        <f t="shared" si="74"/>
        <v>98580</v>
      </c>
      <c r="F165" s="420">
        <f t="shared" si="74"/>
        <v>98580</v>
      </c>
      <c r="G165" s="420">
        <f t="shared" si="74"/>
        <v>98580</v>
      </c>
      <c r="H165" s="420">
        <f t="shared" si="74"/>
        <v>98580</v>
      </c>
      <c r="I165" s="420">
        <f t="shared" si="74"/>
        <v>98580</v>
      </c>
      <c r="J165" s="420">
        <f t="shared" si="74"/>
        <v>98580</v>
      </c>
      <c r="K165" s="420">
        <f t="shared" si="74"/>
        <v>98580</v>
      </c>
      <c r="L165" s="420">
        <f t="shared" si="74"/>
        <v>98580</v>
      </c>
      <c r="M165" s="420">
        <f t="shared" si="74"/>
        <v>98580</v>
      </c>
      <c r="N165" s="421">
        <f>SUM(B165:M165)</f>
        <v>1182960</v>
      </c>
    </row>
    <row r="166" spans="1:16" s="20" customFormat="1" ht="10.199999999999999">
      <c r="A166" s="418"/>
      <c r="B166" s="420"/>
      <c r="C166" s="420"/>
      <c r="D166" s="420"/>
      <c r="E166" s="420"/>
      <c r="F166" s="420"/>
      <c r="G166" s="420"/>
      <c r="H166" s="420"/>
      <c r="I166" s="420"/>
      <c r="J166" s="420"/>
      <c r="K166" s="420"/>
      <c r="L166" s="420"/>
      <c r="M166" s="420"/>
      <c r="N166" s="421"/>
    </row>
    <row r="167" spans="1:16" s="20" customFormat="1" ht="10.199999999999999">
      <c r="A167" s="414" t="s">
        <v>116</v>
      </c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257"/>
      <c r="O167" s="457"/>
    </row>
    <row r="168" spans="1:16" s="20" customFormat="1" ht="10.199999999999999">
      <c r="A168" s="415" t="s">
        <v>16</v>
      </c>
      <c r="B168" s="416">
        <v>40000</v>
      </c>
      <c r="C168" s="416">
        <f>B168</f>
        <v>40000</v>
      </c>
      <c r="D168" s="416">
        <f t="shared" ref="D168:M168" si="75">C168</f>
        <v>40000</v>
      </c>
      <c r="E168" s="416">
        <f t="shared" si="75"/>
        <v>40000</v>
      </c>
      <c r="F168" s="416">
        <f t="shared" si="75"/>
        <v>40000</v>
      </c>
      <c r="G168" s="416">
        <f t="shared" si="75"/>
        <v>40000</v>
      </c>
      <c r="H168" s="416">
        <f t="shared" si="75"/>
        <v>40000</v>
      </c>
      <c r="I168" s="416">
        <f t="shared" si="75"/>
        <v>40000</v>
      </c>
      <c r="J168" s="416">
        <f t="shared" si="75"/>
        <v>40000</v>
      </c>
      <c r="K168" s="416">
        <f t="shared" si="75"/>
        <v>40000</v>
      </c>
      <c r="L168" s="416">
        <f t="shared" si="75"/>
        <v>40000</v>
      </c>
      <c r="M168" s="416">
        <f t="shared" si="75"/>
        <v>40000</v>
      </c>
      <c r="N168" s="417">
        <f>SUM(B168:M168)</f>
        <v>480000</v>
      </c>
    </row>
    <row r="169" spans="1:16" s="20" customFormat="1" ht="10.199999999999999">
      <c r="A169" s="418" t="s">
        <v>20</v>
      </c>
      <c r="B169" s="423">
        <f>B164</f>
        <v>1.59</v>
      </c>
      <c r="C169" s="423">
        <f t="shared" ref="C169:M169" si="76">C164</f>
        <v>1.59</v>
      </c>
      <c r="D169" s="423">
        <f t="shared" si="76"/>
        <v>1.59</v>
      </c>
      <c r="E169" s="423">
        <f t="shared" si="76"/>
        <v>1.59</v>
      </c>
      <c r="F169" s="423">
        <f t="shared" si="76"/>
        <v>1.59</v>
      </c>
      <c r="G169" s="423">
        <f t="shared" si="76"/>
        <v>1.59</v>
      </c>
      <c r="H169" s="423">
        <f t="shared" si="76"/>
        <v>1.59</v>
      </c>
      <c r="I169" s="423">
        <f t="shared" si="76"/>
        <v>1.59</v>
      </c>
      <c r="J169" s="423">
        <f t="shared" si="76"/>
        <v>1.59</v>
      </c>
      <c r="K169" s="423">
        <f t="shared" si="76"/>
        <v>1.59</v>
      </c>
      <c r="L169" s="423">
        <f t="shared" si="76"/>
        <v>1.59</v>
      </c>
      <c r="M169" s="423">
        <f t="shared" si="76"/>
        <v>1.59</v>
      </c>
      <c r="N169" s="257"/>
    </row>
    <row r="170" spans="1:16" s="20" customFormat="1" ht="10.199999999999999">
      <c r="A170" s="418" t="s">
        <v>17</v>
      </c>
      <c r="B170" s="420">
        <f t="shared" ref="B170:M170" si="77">B168*B169</f>
        <v>63600</v>
      </c>
      <c r="C170" s="420">
        <f t="shared" si="77"/>
        <v>63600</v>
      </c>
      <c r="D170" s="420">
        <f t="shared" si="77"/>
        <v>63600</v>
      </c>
      <c r="E170" s="420">
        <f t="shared" si="77"/>
        <v>63600</v>
      </c>
      <c r="F170" s="420">
        <f t="shared" si="77"/>
        <v>63600</v>
      </c>
      <c r="G170" s="420">
        <f t="shared" si="77"/>
        <v>63600</v>
      </c>
      <c r="H170" s="420">
        <f t="shared" si="77"/>
        <v>63600</v>
      </c>
      <c r="I170" s="420">
        <f t="shared" si="77"/>
        <v>63600</v>
      </c>
      <c r="J170" s="420">
        <f t="shared" si="77"/>
        <v>63600</v>
      </c>
      <c r="K170" s="420">
        <f t="shared" si="77"/>
        <v>63600</v>
      </c>
      <c r="L170" s="420">
        <f t="shared" si="77"/>
        <v>63600</v>
      </c>
      <c r="M170" s="420">
        <f t="shared" si="77"/>
        <v>63600</v>
      </c>
      <c r="N170" s="421">
        <f>SUM(B170:M170)</f>
        <v>763200</v>
      </c>
    </row>
    <row r="171" spans="1:16" s="20" customFormat="1" ht="10.199999999999999">
      <c r="A171" s="418"/>
      <c r="B171" s="420"/>
      <c r="C171" s="420"/>
      <c r="D171" s="420"/>
      <c r="E171" s="420"/>
      <c r="F171" s="420"/>
      <c r="G171" s="420"/>
      <c r="H171" s="420"/>
      <c r="I171" s="420"/>
      <c r="J171" s="420"/>
      <c r="K171" s="420"/>
      <c r="L171" s="420"/>
      <c r="M171" s="420"/>
      <c r="N171" s="421"/>
    </row>
    <row r="172" spans="1:16" s="20" customFormat="1" ht="10.199999999999999">
      <c r="A172" s="414" t="s">
        <v>237</v>
      </c>
      <c r="B172" s="304"/>
      <c r="C172" s="304"/>
      <c r="D172" s="304"/>
      <c r="E172" s="304"/>
      <c r="F172" s="304"/>
      <c r="G172" s="304"/>
      <c r="H172" s="304"/>
      <c r="I172" s="304"/>
      <c r="J172" s="304"/>
      <c r="K172" s="304"/>
      <c r="L172" s="304"/>
      <c r="M172" s="304"/>
      <c r="N172" s="257"/>
      <c r="O172" s="457"/>
      <c r="P172" s="336" t="s">
        <v>411</v>
      </c>
    </row>
    <row r="173" spans="1:16" s="20" customFormat="1" ht="10.199999999999999">
      <c r="A173" s="415" t="s">
        <v>16</v>
      </c>
      <c r="B173" s="416">
        <f>B104</f>
        <v>4000</v>
      </c>
      <c r="C173" s="416">
        <f t="shared" ref="C173:K173" si="78">C104</f>
        <v>4000</v>
      </c>
      <c r="D173" s="416">
        <f t="shared" si="78"/>
        <v>4000</v>
      </c>
      <c r="E173" s="416">
        <f t="shared" si="78"/>
        <v>4000</v>
      </c>
      <c r="F173" s="416">
        <f t="shared" si="78"/>
        <v>4000</v>
      </c>
      <c r="G173" s="416">
        <f t="shared" si="78"/>
        <v>4000</v>
      </c>
      <c r="H173" s="416">
        <f t="shared" si="78"/>
        <v>4000</v>
      </c>
      <c r="I173" s="416">
        <f t="shared" si="78"/>
        <v>4000</v>
      </c>
      <c r="J173" s="416">
        <f t="shared" si="78"/>
        <v>4000</v>
      </c>
      <c r="K173" s="416">
        <f t="shared" si="78"/>
        <v>4000</v>
      </c>
      <c r="L173" s="416">
        <v>3000</v>
      </c>
      <c r="M173" s="416">
        <f t="shared" ref="M173" si="79">L173</f>
        <v>3000</v>
      </c>
      <c r="N173" s="417">
        <f>SUM(B173:M173)</f>
        <v>46000</v>
      </c>
    </row>
    <row r="174" spans="1:16" s="20" customFormat="1" ht="10.199999999999999">
      <c r="A174" s="418" t="s">
        <v>20</v>
      </c>
      <c r="B174" s="423">
        <f>B169</f>
        <v>1.59</v>
      </c>
      <c r="C174" s="423">
        <f t="shared" ref="C174:M174" si="80">C169</f>
        <v>1.59</v>
      </c>
      <c r="D174" s="423">
        <f t="shared" si="80"/>
        <v>1.59</v>
      </c>
      <c r="E174" s="423">
        <f t="shared" si="80"/>
        <v>1.59</v>
      </c>
      <c r="F174" s="423">
        <f t="shared" si="80"/>
        <v>1.59</v>
      </c>
      <c r="G174" s="423">
        <f t="shared" si="80"/>
        <v>1.59</v>
      </c>
      <c r="H174" s="423">
        <f t="shared" si="80"/>
        <v>1.59</v>
      </c>
      <c r="I174" s="423">
        <f t="shared" si="80"/>
        <v>1.59</v>
      </c>
      <c r="J174" s="423">
        <f t="shared" si="80"/>
        <v>1.59</v>
      </c>
      <c r="K174" s="423">
        <f t="shared" si="80"/>
        <v>1.59</v>
      </c>
      <c r="L174" s="423">
        <f t="shared" si="80"/>
        <v>1.59</v>
      </c>
      <c r="M174" s="423">
        <f t="shared" si="80"/>
        <v>1.59</v>
      </c>
      <c r="N174" s="257"/>
    </row>
    <row r="175" spans="1:16" s="20" customFormat="1" ht="10.199999999999999">
      <c r="A175" s="418" t="s">
        <v>17</v>
      </c>
      <c r="B175" s="420">
        <f t="shared" ref="B175:M175" si="81">B173*B174</f>
        <v>6360</v>
      </c>
      <c r="C175" s="420">
        <f t="shared" si="81"/>
        <v>6360</v>
      </c>
      <c r="D175" s="420">
        <f t="shared" si="81"/>
        <v>6360</v>
      </c>
      <c r="E175" s="420">
        <f t="shared" si="81"/>
        <v>6360</v>
      </c>
      <c r="F175" s="420">
        <f t="shared" si="81"/>
        <v>6360</v>
      </c>
      <c r="G175" s="420">
        <f t="shared" si="81"/>
        <v>6360</v>
      </c>
      <c r="H175" s="420">
        <f t="shared" si="81"/>
        <v>6360</v>
      </c>
      <c r="I175" s="420">
        <f t="shared" si="81"/>
        <v>6360</v>
      </c>
      <c r="J175" s="420">
        <f t="shared" si="81"/>
        <v>6360</v>
      </c>
      <c r="K175" s="420">
        <f t="shared" si="81"/>
        <v>6360</v>
      </c>
      <c r="L175" s="420">
        <f t="shared" si="81"/>
        <v>4770</v>
      </c>
      <c r="M175" s="420">
        <f t="shared" si="81"/>
        <v>4770</v>
      </c>
      <c r="N175" s="421">
        <f>SUM(B175:M175)</f>
        <v>73140</v>
      </c>
    </row>
    <row r="176" spans="1:16" s="20" customFormat="1" ht="10.199999999999999">
      <c r="A176" s="418"/>
      <c r="B176" s="420"/>
      <c r="C176" s="420"/>
      <c r="D176" s="420"/>
      <c r="E176" s="420"/>
      <c r="F176" s="420"/>
      <c r="G176" s="420"/>
      <c r="H176" s="420"/>
      <c r="I176" s="420"/>
      <c r="J176" s="420"/>
      <c r="K176" s="420"/>
      <c r="L176" s="420"/>
      <c r="M176" s="420"/>
      <c r="N176" s="421"/>
    </row>
    <row r="177" spans="1:15">
      <c r="A177" s="414" t="s">
        <v>179</v>
      </c>
      <c r="B177" s="304"/>
      <c r="C177" s="304"/>
      <c r="D177" s="304"/>
      <c r="E177" s="304"/>
      <c r="F177" s="304"/>
      <c r="G177" s="304"/>
      <c r="H177" s="304"/>
      <c r="I177" s="304"/>
      <c r="J177" s="304"/>
      <c r="K177" s="304"/>
      <c r="L177" s="304"/>
      <c r="M177" s="304"/>
      <c r="N177" s="257"/>
      <c r="O177" s="459"/>
    </row>
    <row r="178" spans="1:15">
      <c r="A178" s="415" t="s">
        <v>16</v>
      </c>
      <c r="B178" s="416"/>
      <c r="C178" s="416"/>
      <c r="D178" s="416"/>
      <c r="E178" s="416"/>
      <c r="F178" s="416"/>
      <c r="G178" s="416"/>
      <c r="H178" s="416"/>
      <c r="I178" s="416"/>
      <c r="J178" s="416"/>
      <c r="K178" s="416"/>
      <c r="L178" s="416"/>
      <c r="M178" s="416"/>
      <c r="N178" s="417">
        <f>SUM(B178:M178)</f>
        <v>0</v>
      </c>
    </row>
    <row r="179" spans="1:15">
      <c r="A179" s="418" t="s">
        <v>20</v>
      </c>
      <c r="B179" s="423">
        <f>B169</f>
        <v>1.59</v>
      </c>
      <c r="C179" s="423">
        <f t="shared" ref="C179:M179" si="82">C169</f>
        <v>1.59</v>
      </c>
      <c r="D179" s="423">
        <f t="shared" si="82"/>
        <v>1.59</v>
      </c>
      <c r="E179" s="423">
        <f t="shared" si="82"/>
        <v>1.59</v>
      </c>
      <c r="F179" s="423">
        <f t="shared" si="82"/>
        <v>1.59</v>
      </c>
      <c r="G179" s="423">
        <f t="shared" si="82"/>
        <v>1.59</v>
      </c>
      <c r="H179" s="423">
        <f t="shared" si="82"/>
        <v>1.59</v>
      </c>
      <c r="I179" s="423">
        <f t="shared" si="82"/>
        <v>1.59</v>
      </c>
      <c r="J179" s="423">
        <f t="shared" si="82"/>
        <v>1.59</v>
      </c>
      <c r="K179" s="423">
        <f t="shared" si="82"/>
        <v>1.59</v>
      </c>
      <c r="L179" s="423">
        <f t="shared" si="82"/>
        <v>1.59</v>
      </c>
      <c r="M179" s="423">
        <f t="shared" si="82"/>
        <v>1.59</v>
      </c>
      <c r="N179" s="257"/>
    </row>
    <row r="180" spans="1:15">
      <c r="A180" s="418" t="s">
        <v>17</v>
      </c>
      <c r="B180" s="420">
        <f t="shared" ref="B180:M180" si="83">B178*B179</f>
        <v>0</v>
      </c>
      <c r="C180" s="420">
        <f t="shared" si="83"/>
        <v>0</v>
      </c>
      <c r="D180" s="420">
        <f t="shared" si="83"/>
        <v>0</v>
      </c>
      <c r="E180" s="420">
        <f t="shared" si="83"/>
        <v>0</v>
      </c>
      <c r="F180" s="420">
        <f t="shared" si="83"/>
        <v>0</v>
      </c>
      <c r="G180" s="420">
        <f t="shared" si="83"/>
        <v>0</v>
      </c>
      <c r="H180" s="420">
        <f t="shared" si="83"/>
        <v>0</v>
      </c>
      <c r="I180" s="420">
        <f t="shared" si="83"/>
        <v>0</v>
      </c>
      <c r="J180" s="420">
        <f t="shared" si="83"/>
        <v>0</v>
      </c>
      <c r="K180" s="420">
        <f t="shared" si="83"/>
        <v>0</v>
      </c>
      <c r="L180" s="420">
        <f t="shared" si="83"/>
        <v>0</v>
      </c>
      <c r="M180" s="420">
        <f t="shared" si="83"/>
        <v>0</v>
      </c>
      <c r="N180" s="421">
        <f>SUM(B180:M180)</f>
        <v>0</v>
      </c>
    </row>
    <row r="181" spans="1:15" s="20" customFormat="1" ht="10.199999999999999">
      <c r="A181" s="418"/>
      <c r="B181" s="420"/>
      <c r="C181" s="420"/>
      <c r="D181" s="420"/>
      <c r="E181" s="420"/>
      <c r="F181" s="420"/>
      <c r="G181" s="420"/>
      <c r="H181" s="420"/>
      <c r="I181" s="420"/>
      <c r="J181" s="420"/>
      <c r="K181" s="420"/>
      <c r="L181" s="420"/>
      <c r="M181" s="420"/>
      <c r="N181" s="421"/>
    </row>
    <row r="182" spans="1:15" s="20" customFormat="1" ht="10.199999999999999">
      <c r="A182" s="414" t="s">
        <v>44</v>
      </c>
      <c r="B182" s="304"/>
      <c r="C182" s="304"/>
      <c r="D182" s="304"/>
      <c r="E182" s="304"/>
      <c r="F182" s="304"/>
      <c r="G182" s="304"/>
      <c r="H182" s="304"/>
      <c r="I182" s="304"/>
      <c r="J182" s="304"/>
      <c r="K182" s="304"/>
      <c r="L182" s="304"/>
      <c r="M182" s="304"/>
      <c r="N182" s="257"/>
      <c r="O182" s="457"/>
    </row>
    <row r="183" spans="1:15" s="20" customFormat="1" ht="10.199999999999999">
      <c r="A183" s="415" t="s">
        <v>16</v>
      </c>
      <c r="B183" s="416"/>
      <c r="C183" s="416"/>
      <c r="D183" s="416"/>
      <c r="E183" s="416"/>
      <c r="F183" s="416"/>
      <c r="G183" s="416"/>
      <c r="H183" s="416"/>
      <c r="I183" s="416"/>
      <c r="J183" s="416"/>
      <c r="K183" s="416"/>
      <c r="L183" s="416"/>
      <c r="M183" s="416"/>
      <c r="N183" s="417">
        <f>SUM(B183:M183)</f>
        <v>0</v>
      </c>
    </row>
    <row r="184" spans="1:15" s="20" customFormat="1" ht="10.199999999999999">
      <c r="A184" s="418" t="s">
        <v>20</v>
      </c>
      <c r="B184" s="423">
        <f>B179</f>
        <v>1.59</v>
      </c>
      <c r="C184" s="423">
        <f t="shared" ref="C184:M184" si="84">C179</f>
        <v>1.59</v>
      </c>
      <c r="D184" s="423">
        <f t="shared" si="84"/>
        <v>1.59</v>
      </c>
      <c r="E184" s="423">
        <f t="shared" si="84"/>
        <v>1.59</v>
      </c>
      <c r="F184" s="423">
        <f t="shared" si="84"/>
        <v>1.59</v>
      </c>
      <c r="G184" s="423">
        <f t="shared" si="84"/>
        <v>1.59</v>
      </c>
      <c r="H184" s="423">
        <f t="shared" si="84"/>
        <v>1.59</v>
      </c>
      <c r="I184" s="423">
        <f t="shared" si="84"/>
        <v>1.59</v>
      </c>
      <c r="J184" s="423">
        <f t="shared" si="84"/>
        <v>1.59</v>
      </c>
      <c r="K184" s="423">
        <f t="shared" si="84"/>
        <v>1.59</v>
      </c>
      <c r="L184" s="423">
        <f t="shared" si="84"/>
        <v>1.59</v>
      </c>
      <c r="M184" s="423">
        <f t="shared" si="84"/>
        <v>1.59</v>
      </c>
      <c r="N184" s="257"/>
    </row>
    <row r="185" spans="1:15" s="20" customFormat="1" ht="10.199999999999999">
      <c r="A185" s="418" t="s">
        <v>17</v>
      </c>
      <c r="B185" s="420">
        <f t="shared" ref="B185:M185" si="85">B183*B184</f>
        <v>0</v>
      </c>
      <c r="C185" s="420">
        <f t="shared" si="85"/>
        <v>0</v>
      </c>
      <c r="D185" s="420">
        <f t="shared" si="85"/>
        <v>0</v>
      </c>
      <c r="E185" s="420">
        <f t="shared" si="85"/>
        <v>0</v>
      </c>
      <c r="F185" s="420">
        <f t="shared" si="85"/>
        <v>0</v>
      </c>
      <c r="G185" s="420">
        <f t="shared" si="85"/>
        <v>0</v>
      </c>
      <c r="H185" s="420">
        <f t="shared" si="85"/>
        <v>0</v>
      </c>
      <c r="I185" s="420">
        <f t="shared" si="85"/>
        <v>0</v>
      </c>
      <c r="J185" s="420">
        <f t="shared" si="85"/>
        <v>0</v>
      </c>
      <c r="K185" s="420">
        <f t="shared" si="85"/>
        <v>0</v>
      </c>
      <c r="L185" s="420">
        <f t="shared" si="85"/>
        <v>0</v>
      </c>
      <c r="M185" s="420">
        <f t="shared" si="85"/>
        <v>0</v>
      </c>
      <c r="N185" s="421">
        <f>SUM(B185:M185)</f>
        <v>0</v>
      </c>
    </row>
    <row r="186" spans="1:15" s="20" customFormat="1" ht="10.199999999999999">
      <c r="A186" s="418"/>
      <c r="B186" s="420"/>
      <c r="C186" s="420"/>
      <c r="D186" s="420"/>
      <c r="E186" s="420"/>
      <c r="F186" s="420"/>
      <c r="G186" s="420"/>
      <c r="H186" s="420"/>
      <c r="I186" s="420"/>
      <c r="J186" s="420"/>
      <c r="K186" s="420"/>
      <c r="L186" s="420"/>
      <c r="M186" s="420"/>
      <c r="N186" s="421"/>
    </row>
    <row r="187" spans="1:15">
      <c r="A187" s="414" t="s">
        <v>117</v>
      </c>
      <c r="B187" s="304"/>
      <c r="C187" s="304"/>
      <c r="D187" s="304"/>
      <c r="E187" s="304"/>
      <c r="F187" s="304"/>
      <c r="G187" s="304"/>
      <c r="H187" s="304"/>
      <c r="I187" s="304"/>
      <c r="J187" s="304"/>
      <c r="K187" s="304"/>
      <c r="L187" s="304"/>
      <c r="M187" s="304"/>
      <c r="N187" s="257"/>
    </row>
    <row r="188" spans="1:15">
      <c r="A188" s="415" t="s">
        <v>16</v>
      </c>
      <c r="B188" s="416">
        <v>150000</v>
      </c>
      <c r="C188" s="416">
        <f>B188</f>
        <v>150000</v>
      </c>
      <c r="D188" s="416">
        <f>C188</f>
        <v>150000</v>
      </c>
      <c r="E188" s="416">
        <f>D188</f>
        <v>150000</v>
      </c>
      <c r="F188" s="416">
        <f>E188</f>
        <v>150000</v>
      </c>
      <c r="G188" s="416">
        <v>150000</v>
      </c>
      <c r="H188" s="416">
        <f t="shared" ref="H188:M188" si="86">G188</f>
        <v>150000</v>
      </c>
      <c r="I188" s="416">
        <f t="shared" si="86"/>
        <v>150000</v>
      </c>
      <c r="J188" s="416">
        <f t="shared" si="86"/>
        <v>150000</v>
      </c>
      <c r="K188" s="416">
        <f t="shared" si="86"/>
        <v>150000</v>
      </c>
      <c r="L188" s="416">
        <f t="shared" si="86"/>
        <v>150000</v>
      </c>
      <c r="M188" s="416">
        <f t="shared" si="86"/>
        <v>150000</v>
      </c>
      <c r="N188" s="417">
        <f>SUM(B188:M188)</f>
        <v>1800000</v>
      </c>
    </row>
    <row r="189" spans="1:15">
      <c r="A189" s="418" t="s">
        <v>20</v>
      </c>
      <c r="B189" s="423">
        <f>B184</f>
        <v>1.59</v>
      </c>
      <c r="C189" s="423">
        <f t="shared" ref="C189:M189" si="87">C184</f>
        <v>1.59</v>
      </c>
      <c r="D189" s="423">
        <f t="shared" si="87"/>
        <v>1.59</v>
      </c>
      <c r="E189" s="423">
        <f t="shared" si="87"/>
        <v>1.59</v>
      </c>
      <c r="F189" s="423">
        <f t="shared" si="87"/>
        <v>1.59</v>
      </c>
      <c r="G189" s="423">
        <f t="shared" si="87"/>
        <v>1.59</v>
      </c>
      <c r="H189" s="423">
        <f t="shared" si="87"/>
        <v>1.59</v>
      </c>
      <c r="I189" s="423">
        <f t="shared" si="87"/>
        <v>1.59</v>
      </c>
      <c r="J189" s="423">
        <f t="shared" si="87"/>
        <v>1.59</v>
      </c>
      <c r="K189" s="423">
        <f t="shared" si="87"/>
        <v>1.59</v>
      </c>
      <c r="L189" s="423">
        <f t="shared" si="87"/>
        <v>1.59</v>
      </c>
      <c r="M189" s="423">
        <f t="shared" si="87"/>
        <v>1.59</v>
      </c>
      <c r="N189" s="257"/>
    </row>
    <row r="190" spans="1:15">
      <c r="A190" s="418" t="s">
        <v>17</v>
      </c>
      <c r="B190" s="420">
        <f t="shared" ref="B190:M190" si="88">B188*B189</f>
        <v>238500</v>
      </c>
      <c r="C190" s="420">
        <f t="shared" si="88"/>
        <v>238500</v>
      </c>
      <c r="D190" s="420">
        <f t="shared" si="88"/>
        <v>238500</v>
      </c>
      <c r="E190" s="420">
        <f t="shared" si="88"/>
        <v>238500</v>
      </c>
      <c r="F190" s="420">
        <f t="shared" si="88"/>
        <v>238500</v>
      </c>
      <c r="G190" s="420">
        <f t="shared" si="88"/>
        <v>238500</v>
      </c>
      <c r="H190" s="420">
        <f t="shared" si="88"/>
        <v>238500</v>
      </c>
      <c r="I190" s="420">
        <f t="shared" si="88"/>
        <v>238500</v>
      </c>
      <c r="J190" s="420">
        <f t="shared" si="88"/>
        <v>238500</v>
      </c>
      <c r="K190" s="420">
        <f t="shared" si="88"/>
        <v>238500</v>
      </c>
      <c r="L190" s="420">
        <f t="shared" si="88"/>
        <v>238500</v>
      </c>
      <c r="M190" s="420">
        <f t="shared" si="88"/>
        <v>238500</v>
      </c>
      <c r="N190" s="421">
        <f>SUM(B190:M190)</f>
        <v>2862000</v>
      </c>
    </row>
    <row r="191" spans="1:15">
      <c r="A191" s="418"/>
      <c r="B191" s="420"/>
      <c r="C191" s="420"/>
      <c r="D191" s="420"/>
      <c r="E191" s="420"/>
      <c r="F191" s="420"/>
      <c r="G191" s="420"/>
      <c r="H191" s="420"/>
      <c r="I191" s="420"/>
      <c r="J191" s="420"/>
      <c r="K191" s="420"/>
      <c r="L191" s="420"/>
      <c r="M191" s="420"/>
      <c r="N191" s="421"/>
    </row>
    <row r="192" spans="1:15" s="20" customFormat="1" ht="10.199999999999999">
      <c r="A192" s="414" t="s">
        <v>171</v>
      </c>
      <c r="B192" s="420"/>
      <c r="C192" s="420"/>
      <c r="D192" s="420"/>
      <c r="E192" s="420"/>
      <c r="F192" s="420"/>
      <c r="G192" s="420"/>
      <c r="H192" s="420"/>
      <c r="I192" s="420"/>
      <c r="J192" s="420"/>
      <c r="K192" s="420"/>
      <c r="L192" s="420"/>
      <c r="M192" s="420"/>
      <c r="N192" s="421"/>
      <c r="O192" s="457"/>
    </row>
    <row r="193" spans="1:16" s="20" customFormat="1" ht="10.199999999999999">
      <c r="A193" s="415" t="s">
        <v>16</v>
      </c>
      <c r="B193" s="420">
        <v>0</v>
      </c>
      <c r="C193" s="420">
        <v>0</v>
      </c>
      <c r="D193" s="420">
        <v>0</v>
      </c>
      <c r="E193" s="420">
        <v>0</v>
      </c>
      <c r="F193" s="420">
        <v>0</v>
      </c>
      <c r="G193" s="420">
        <v>0</v>
      </c>
      <c r="H193" s="420">
        <v>0</v>
      </c>
      <c r="I193" s="420">
        <v>0</v>
      </c>
      <c r="J193" s="420">
        <v>0</v>
      </c>
      <c r="K193" s="420">
        <v>0</v>
      </c>
      <c r="L193" s="420">
        <v>0</v>
      </c>
      <c r="M193" s="420">
        <v>0</v>
      </c>
      <c r="N193" s="417">
        <f>SUM(B193:M193)</f>
        <v>0</v>
      </c>
    </row>
    <row r="194" spans="1:16" s="20" customFormat="1" ht="10.199999999999999">
      <c r="A194" s="418" t="s">
        <v>20</v>
      </c>
      <c r="B194" s="423">
        <f>B184</f>
        <v>1.59</v>
      </c>
      <c r="C194" s="423">
        <f t="shared" ref="C194:M194" si="89">C184</f>
        <v>1.59</v>
      </c>
      <c r="D194" s="423">
        <f t="shared" si="89"/>
        <v>1.59</v>
      </c>
      <c r="E194" s="423">
        <f t="shared" si="89"/>
        <v>1.59</v>
      </c>
      <c r="F194" s="423">
        <f t="shared" si="89"/>
        <v>1.59</v>
      </c>
      <c r="G194" s="423">
        <f t="shared" si="89"/>
        <v>1.59</v>
      </c>
      <c r="H194" s="423">
        <f t="shared" si="89"/>
        <v>1.59</v>
      </c>
      <c r="I194" s="423">
        <f t="shared" si="89"/>
        <v>1.59</v>
      </c>
      <c r="J194" s="423">
        <f t="shared" si="89"/>
        <v>1.59</v>
      </c>
      <c r="K194" s="423">
        <f t="shared" si="89"/>
        <v>1.59</v>
      </c>
      <c r="L194" s="423">
        <f t="shared" si="89"/>
        <v>1.59</v>
      </c>
      <c r="M194" s="423">
        <f t="shared" si="89"/>
        <v>1.59</v>
      </c>
      <c r="N194" s="257"/>
    </row>
    <row r="195" spans="1:16" s="20" customFormat="1" ht="10.199999999999999">
      <c r="A195" s="418" t="s">
        <v>17</v>
      </c>
      <c r="B195" s="420">
        <f t="shared" ref="B195:M195" si="90">B193*B194</f>
        <v>0</v>
      </c>
      <c r="C195" s="420">
        <f t="shared" si="90"/>
        <v>0</v>
      </c>
      <c r="D195" s="420">
        <f t="shared" si="90"/>
        <v>0</v>
      </c>
      <c r="E195" s="420">
        <f t="shared" si="90"/>
        <v>0</v>
      </c>
      <c r="F195" s="420">
        <f t="shared" si="90"/>
        <v>0</v>
      </c>
      <c r="G195" s="420">
        <f t="shared" si="90"/>
        <v>0</v>
      </c>
      <c r="H195" s="420">
        <f t="shared" si="90"/>
        <v>0</v>
      </c>
      <c r="I195" s="420">
        <f t="shared" si="90"/>
        <v>0</v>
      </c>
      <c r="J195" s="420">
        <f t="shared" si="90"/>
        <v>0</v>
      </c>
      <c r="K195" s="420">
        <f t="shared" si="90"/>
        <v>0</v>
      </c>
      <c r="L195" s="420">
        <f t="shared" si="90"/>
        <v>0</v>
      </c>
      <c r="M195" s="420">
        <f t="shared" si="90"/>
        <v>0</v>
      </c>
      <c r="N195" s="421">
        <f>SUM(B195:M195)</f>
        <v>0</v>
      </c>
    </row>
    <row r="196" spans="1:16" s="20" customFormat="1" ht="10.199999999999999">
      <c r="A196" s="418"/>
      <c r="B196" s="420"/>
      <c r="C196" s="420"/>
      <c r="D196" s="420"/>
      <c r="E196" s="420"/>
      <c r="F196" s="420"/>
      <c r="G196" s="420"/>
      <c r="H196" s="420"/>
      <c r="I196" s="420"/>
      <c r="J196" s="420"/>
      <c r="K196" s="420"/>
      <c r="L196" s="420"/>
      <c r="M196" s="420"/>
      <c r="N196" s="421"/>
    </row>
    <row r="197" spans="1:16" s="20" customFormat="1" ht="10.199999999999999">
      <c r="A197" s="414" t="s">
        <v>239</v>
      </c>
      <c r="B197" s="420"/>
      <c r="C197" s="420"/>
      <c r="D197" s="420"/>
      <c r="E197" s="420"/>
      <c r="F197" s="420"/>
      <c r="G197" s="420"/>
      <c r="H197" s="420"/>
      <c r="I197" s="420"/>
      <c r="J197" s="420"/>
      <c r="K197" s="420"/>
      <c r="L197" s="420"/>
      <c r="M197" s="420"/>
      <c r="N197" s="421"/>
      <c r="O197" s="457"/>
    </row>
    <row r="198" spans="1:16" s="20" customFormat="1" ht="10.199999999999999">
      <c r="A198" s="415" t="s">
        <v>16</v>
      </c>
      <c r="B198" s="420">
        <v>160000</v>
      </c>
      <c r="C198" s="420">
        <v>160000</v>
      </c>
      <c r="D198" s="420"/>
      <c r="E198" s="420"/>
      <c r="F198" s="420"/>
      <c r="G198" s="420"/>
      <c r="H198" s="420"/>
      <c r="I198" s="420"/>
      <c r="J198" s="420"/>
      <c r="K198" s="420"/>
      <c r="L198" s="420"/>
      <c r="M198" s="420"/>
      <c r="N198" s="417">
        <f>SUM(B198:M198)</f>
        <v>320000</v>
      </c>
      <c r="O198" s="336" t="s">
        <v>240</v>
      </c>
    </row>
    <row r="199" spans="1:16" s="20" customFormat="1" ht="10.199999999999999">
      <c r="A199" s="418" t="s">
        <v>20</v>
      </c>
      <c r="B199" s="423">
        <f>B194</f>
        <v>1.59</v>
      </c>
      <c r="C199" s="423">
        <f t="shared" ref="C199:M199" si="91">C194</f>
        <v>1.59</v>
      </c>
      <c r="D199" s="423">
        <f t="shared" si="91"/>
        <v>1.59</v>
      </c>
      <c r="E199" s="423">
        <f t="shared" si="91"/>
        <v>1.59</v>
      </c>
      <c r="F199" s="423">
        <f t="shared" si="91"/>
        <v>1.59</v>
      </c>
      <c r="G199" s="423">
        <f t="shared" si="91"/>
        <v>1.59</v>
      </c>
      <c r="H199" s="423">
        <f t="shared" si="91"/>
        <v>1.59</v>
      </c>
      <c r="I199" s="423">
        <f t="shared" si="91"/>
        <v>1.59</v>
      </c>
      <c r="J199" s="423">
        <f t="shared" si="91"/>
        <v>1.59</v>
      </c>
      <c r="K199" s="423">
        <f t="shared" si="91"/>
        <v>1.59</v>
      </c>
      <c r="L199" s="423">
        <f t="shared" si="91"/>
        <v>1.59</v>
      </c>
      <c r="M199" s="423">
        <f t="shared" si="91"/>
        <v>1.59</v>
      </c>
      <c r="N199" s="257"/>
    </row>
    <row r="200" spans="1:16" s="20" customFormat="1" ht="10.199999999999999">
      <c r="A200" s="418" t="s">
        <v>17</v>
      </c>
      <c r="B200" s="420">
        <f t="shared" ref="B200:M200" si="92">B198*B199</f>
        <v>254400</v>
      </c>
      <c r="C200" s="420">
        <f t="shared" si="92"/>
        <v>254400</v>
      </c>
      <c r="D200" s="420">
        <f t="shared" si="92"/>
        <v>0</v>
      </c>
      <c r="E200" s="420">
        <f t="shared" si="92"/>
        <v>0</v>
      </c>
      <c r="F200" s="420">
        <f t="shared" si="92"/>
        <v>0</v>
      </c>
      <c r="G200" s="420">
        <f t="shared" si="92"/>
        <v>0</v>
      </c>
      <c r="H200" s="420">
        <f t="shared" si="92"/>
        <v>0</v>
      </c>
      <c r="I200" s="420">
        <f t="shared" si="92"/>
        <v>0</v>
      </c>
      <c r="J200" s="420">
        <f t="shared" si="92"/>
        <v>0</v>
      </c>
      <c r="K200" s="420">
        <f t="shared" si="92"/>
        <v>0</v>
      </c>
      <c r="L200" s="420">
        <f t="shared" si="92"/>
        <v>0</v>
      </c>
      <c r="M200" s="420">
        <f t="shared" si="92"/>
        <v>0</v>
      </c>
      <c r="N200" s="421">
        <f>SUM(B200:M200)</f>
        <v>508800</v>
      </c>
    </row>
    <row r="201" spans="1:16" s="20" customFormat="1" ht="10.199999999999999">
      <c r="A201" s="418"/>
      <c r="B201" s="420"/>
      <c r="C201" s="420"/>
      <c r="D201" s="420"/>
      <c r="E201" s="420"/>
      <c r="F201" s="420"/>
      <c r="G201" s="420"/>
      <c r="H201" s="420"/>
      <c r="I201" s="420"/>
      <c r="J201" s="420"/>
      <c r="K201" s="420"/>
      <c r="L201" s="420"/>
      <c r="M201" s="420"/>
      <c r="N201" s="421"/>
    </row>
    <row r="202" spans="1:16" s="20" customFormat="1" ht="10.199999999999999">
      <c r="A202" s="431"/>
      <c r="B202" s="420"/>
      <c r="C202" s="420">
        <v>0</v>
      </c>
      <c r="D202" s="420">
        <v>0</v>
      </c>
      <c r="E202" s="420">
        <v>0</v>
      </c>
      <c r="F202" s="420">
        <v>0</v>
      </c>
      <c r="G202" s="420">
        <v>0</v>
      </c>
      <c r="H202" s="420">
        <v>0</v>
      </c>
      <c r="I202" s="420">
        <v>0</v>
      </c>
      <c r="J202" s="420">
        <v>0</v>
      </c>
      <c r="K202" s="420">
        <v>0</v>
      </c>
      <c r="L202" s="420">
        <v>0</v>
      </c>
      <c r="M202" s="420">
        <v>0</v>
      </c>
      <c r="N202" s="417">
        <f>SUM(B202:M202)</f>
        <v>0</v>
      </c>
      <c r="O202" s="20" t="s">
        <v>303</v>
      </c>
    </row>
    <row r="203" spans="1:16" s="20" customFormat="1" ht="10.199999999999999">
      <c r="A203" s="418" t="s">
        <v>20</v>
      </c>
      <c r="B203" s="423">
        <f>B199</f>
        <v>1.59</v>
      </c>
      <c r="C203" s="423">
        <f t="shared" ref="C203:M203" si="93">C199</f>
        <v>1.59</v>
      </c>
      <c r="D203" s="423">
        <f t="shared" si="93"/>
        <v>1.59</v>
      </c>
      <c r="E203" s="423">
        <f t="shared" si="93"/>
        <v>1.59</v>
      </c>
      <c r="F203" s="423">
        <f t="shared" si="93"/>
        <v>1.59</v>
      </c>
      <c r="G203" s="423">
        <f t="shared" si="93"/>
        <v>1.59</v>
      </c>
      <c r="H203" s="423">
        <f t="shared" si="93"/>
        <v>1.59</v>
      </c>
      <c r="I203" s="423">
        <f t="shared" si="93"/>
        <v>1.59</v>
      </c>
      <c r="J203" s="423">
        <f t="shared" si="93"/>
        <v>1.59</v>
      </c>
      <c r="K203" s="423">
        <f t="shared" si="93"/>
        <v>1.59</v>
      </c>
      <c r="L203" s="423">
        <f t="shared" si="93"/>
        <v>1.59</v>
      </c>
      <c r="M203" s="423">
        <f t="shared" si="93"/>
        <v>1.59</v>
      </c>
      <c r="N203" s="257"/>
    </row>
    <row r="204" spans="1:16" s="20" customFormat="1" ht="10.199999999999999">
      <c r="A204" s="418" t="s">
        <v>17</v>
      </c>
      <c r="B204" s="420">
        <f t="shared" ref="B204:M204" si="94">B202*B203</f>
        <v>0</v>
      </c>
      <c r="C204" s="420">
        <f t="shared" si="94"/>
        <v>0</v>
      </c>
      <c r="D204" s="420">
        <f t="shared" si="94"/>
        <v>0</v>
      </c>
      <c r="E204" s="420">
        <f t="shared" si="94"/>
        <v>0</v>
      </c>
      <c r="F204" s="420">
        <f t="shared" si="94"/>
        <v>0</v>
      </c>
      <c r="G204" s="420">
        <f t="shared" si="94"/>
        <v>0</v>
      </c>
      <c r="H204" s="420">
        <f t="shared" si="94"/>
        <v>0</v>
      </c>
      <c r="I204" s="420">
        <f t="shared" si="94"/>
        <v>0</v>
      </c>
      <c r="J204" s="420">
        <f t="shared" si="94"/>
        <v>0</v>
      </c>
      <c r="K204" s="420">
        <f t="shared" si="94"/>
        <v>0</v>
      </c>
      <c r="L204" s="420">
        <f t="shared" si="94"/>
        <v>0</v>
      </c>
      <c r="M204" s="420">
        <f t="shared" si="94"/>
        <v>0</v>
      </c>
      <c r="N204" s="421">
        <f>SUM(B204:M204)</f>
        <v>0</v>
      </c>
    </row>
    <row r="205" spans="1:16" s="20" customFormat="1" ht="10.199999999999999">
      <c r="A205" s="418"/>
      <c r="B205" s="420"/>
      <c r="C205" s="420"/>
      <c r="D205" s="420"/>
      <c r="E205" s="420"/>
      <c r="F205" s="420"/>
      <c r="G205" s="420"/>
      <c r="H205" s="420"/>
      <c r="I205" s="420"/>
      <c r="J205" s="420"/>
      <c r="K205" s="420"/>
      <c r="L205" s="420"/>
      <c r="M205" s="420"/>
      <c r="N205" s="421"/>
    </row>
    <row r="206" spans="1:16" s="20" customFormat="1" ht="10.199999999999999">
      <c r="A206" s="424" t="s">
        <v>25</v>
      </c>
      <c r="B206" s="425">
        <f>B145+B150+B155+B160+B165+B170+B185+B180+B195+B175+B190+B200+B204</f>
        <v>728309.04</v>
      </c>
      <c r="C206" s="425">
        <f t="shared" ref="C206:M206" si="95">C145+C150+C155+C160+C165+C170+C185+C180+C195+C175+C190+C200+C204</f>
        <v>728309.04</v>
      </c>
      <c r="D206" s="425">
        <f t="shared" si="95"/>
        <v>473909.04000000004</v>
      </c>
      <c r="E206" s="425">
        <f t="shared" si="95"/>
        <v>473909.04000000004</v>
      </c>
      <c r="F206" s="425">
        <f t="shared" si="95"/>
        <v>473909.04000000004</v>
      </c>
      <c r="G206" s="425">
        <f t="shared" si="95"/>
        <v>473909.04000000004</v>
      </c>
      <c r="H206" s="425">
        <f t="shared" si="95"/>
        <v>473909.04000000004</v>
      </c>
      <c r="I206" s="425">
        <f t="shared" si="95"/>
        <v>473909.04000000004</v>
      </c>
      <c r="J206" s="425">
        <f t="shared" si="95"/>
        <v>473909.04000000004</v>
      </c>
      <c r="K206" s="425">
        <f t="shared" si="95"/>
        <v>473909.04000000004</v>
      </c>
      <c r="L206" s="425">
        <f t="shared" si="95"/>
        <v>472319.04000000004</v>
      </c>
      <c r="M206" s="425">
        <f t="shared" si="95"/>
        <v>472319.04000000004</v>
      </c>
      <c r="N206" s="426">
        <f>SUM(B206:M206)</f>
        <v>6192528.4800000004</v>
      </c>
    </row>
    <row r="207" spans="1:16">
      <c r="A207" s="427" t="s">
        <v>60</v>
      </c>
      <c r="B207" s="428">
        <f>B143+B148+B153+B158+B163+B183+B168+B178+B193+B173+B188+B198+B202</f>
        <v>458056</v>
      </c>
      <c r="C207" s="428">
        <f t="shared" ref="C207:M207" si="96">C143+C148+C153+C158+C163+C183+C168+C178+C193+C173+C188+C198+C202</f>
        <v>458056</v>
      </c>
      <c r="D207" s="428">
        <f t="shared" si="96"/>
        <v>298056</v>
      </c>
      <c r="E207" s="428">
        <f t="shared" si="96"/>
        <v>298056</v>
      </c>
      <c r="F207" s="428">
        <f t="shared" si="96"/>
        <v>298056</v>
      </c>
      <c r="G207" s="428">
        <f t="shared" si="96"/>
        <v>298056</v>
      </c>
      <c r="H207" s="428">
        <f t="shared" si="96"/>
        <v>298056</v>
      </c>
      <c r="I207" s="428">
        <f t="shared" si="96"/>
        <v>298056</v>
      </c>
      <c r="J207" s="428">
        <f t="shared" si="96"/>
        <v>298056</v>
      </c>
      <c r="K207" s="428">
        <f t="shared" si="96"/>
        <v>298056</v>
      </c>
      <c r="L207" s="428">
        <f t="shared" si="96"/>
        <v>297056</v>
      </c>
      <c r="M207" s="428">
        <f t="shared" si="96"/>
        <v>297056</v>
      </c>
      <c r="N207" s="429">
        <f>SUM(B207:M207)</f>
        <v>3894672</v>
      </c>
      <c r="O207" s="28">
        <f>'TSAS Scheduling Revenue (1)'!N209</f>
        <v>3894672</v>
      </c>
      <c r="P207" s="28">
        <f>'TSAS Reactive Revenues (2)'!N209</f>
        <v>3894672</v>
      </c>
    </row>
    <row r="208" spans="1:16">
      <c r="A208" s="406">
        <f>+A139+1</f>
        <v>2017</v>
      </c>
      <c r="B208" s="407"/>
      <c r="C208" s="407"/>
      <c r="D208" s="407"/>
      <c r="E208" s="407"/>
      <c r="F208" s="407"/>
      <c r="G208" s="407"/>
      <c r="H208" s="407"/>
      <c r="I208" s="407"/>
      <c r="J208" s="407"/>
      <c r="K208" s="407"/>
      <c r="L208" s="407"/>
      <c r="M208" s="407"/>
      <c r="N208" s="408"/>
    </row>
    <row r="209" spans="1:15" ht="13.2">
      <c r="A209" s="409" t="s">
        <v>19</v>
      </c>
      <c r="B209" s="412"/>
      <c r="C209" s="412"/>
      <c r="D209" s="412"/>
      <c r="E209" s="412"/>
      <c r="F209" s="412"/>
      <c r="G209" s="412"/>
      <c r="H209" s="412"/>
      <c r="I209" s="412"/>
      <c r="J209" s="412"/>
      <c r="K209" s="412"/>
      <c r="L209" s="412"/>
      <c r="M209" s="412"/>
      <c r="N209" s="413"/>
    </row>
    <row r="210" spans="1:15" ht="5.25" customHeight="1">
      <c r="A210" s="409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11"/>
    </row>
    <row r="211" spans="1:15">
      <c r="A211" s="414" t="s">
        <v>359</v>
      </c>
      <c r="B211" s="304"/>
      <c r="C211" s="304"/>
      <c r="D211" s="304"/>
      <c r="E211" s="304"/>
      <c r="F211" s="304"/>
      <c r="G211" s="304"/>
      <c r="H211" s="304"/>
      <c r="I211" s="304"/>
      <c r="J211" s="304"/>
      <c r="K211" s="304"/>
      <c r="L211" s="304"/>
      <c r="M211" s="304"/>
      <c r="N211" s="257"/>
      <c r="O211" s="459"/>
    </row>
    <row r="212" spans="1:15">
      <c r="A212" s="415" t="s">
        <v>16</v>
      </c>
      <c r="B212" s="416">
        <f>B143</f>
        <v>5000</v>
      </c>
      <c r="C212" s="416">
        <f>$B212</f>
        <v>5000</v>
      </c>
      <c r="D212" s="416">
        <f t="shared" ref="D212:M212" si="97">$B212</f>
        <v>5000</v>
      </c>
      <c r="E212" s="416">
        <f t="shared" si="97"/>
        <v>5000</v>
      </c>
      <c r="F212" s="416">
        <f t="shared" si="97"/>
        <v>5000</v>
      </c>
      <c r="G212" s="416">
        <f t="shared" si="97"/>
        <v>5000</v>
      </c>
      <c r="H212" s="416">
        <f t="shared" si="97"/>
        <v>5000</v>
      </c>
      <c r="I212" s="416">
        <f t="shared" si="97"/>
        <v>5000</v>
      </c>
      <c r="J212" s="416">
        <f t="shared" si="97"/>
        <v>5000</v>
      </c>
      <c r="K212" s="416">
        <f t="shared" si="97"/>
        <v>5000</v>
      </c>
      <c r="L212" s="416">
        <f t="shared" si="97"/>
        <v>5000</v>
      </c>
      <c r="M212" s="416">
        <f t="shared" si="97"/>
        <v>5000</v>
      </c>
      <c r="N212" s="417">
        <f>SUM(B212:M212)</f>
        <v>60000</v>
      </c>
    </row>
    <row r="213" spans="1:15">
      <c r="A213" s="418" t="s">
        <v>20</v>
      </c>
      <c r="B213" s="419">
        <f>'Transmission Formula Rate (7)'!B14</f>
        <v>1.59</v>
      </c>
      <c r="C213" s="419">
        <f>'Transmission Formula Rate (7)'!C14</f>
        <v>1.59</v>
      </c>
      <c r="D213" s="419">
        <f>'Transmission Formula Rate (7)'!D14</f>
        <v>1.59</v>
      </c>
      <c r="E213" s="419">
        <f>'Transmission Formula Rate (7)'!E14</f>
        <v>1.59</v>
      </c>
      <c r="F213" s="419">
        <f>'Transmission Formula Rate (7)'!F14</f>
        <v>1.59</v>
      </c>
      <c r="G213" s="419">
        <f>'Transmission Formula Rate (7)'!G14</f>
        <v>1.59</v>
      </c>
      <c r="H213" s="419">
        <f>'Transmission Formula Rate (7)'!H14</f>
        <v>1.59</v>
      </c>
      <c r="I213" s="419">
        <f>'Transmission Formula Rate (7)'!I14</f>
        <v>1.59</v>
      </c>
      <c r="J213" s="419">
        <f>'Transmission Formula Rate (7)'!J14</f>
        <v>1.59</v>
      </c>
      <c r="K213" s="419">
        <f>'Transmission Formula Rate (7)'!K14</f>
        <v>1.59</v>
      </c>
      <c r="L213" s="419">
        <f>'Transmission Formula Rate (7)'!L14</f>
        <v>1.59</v>
      </c>
      <c r="M213" s="419">
        <f>'Transmission Formula Rate (7)'!M14</f>
        <v>1.59</v>
      </c>
      <c r="N213" s="257"/>
    </row>
    <row r="214" spans="1:15">
      <c r="A214" s="418" t="s">
        <v>17</v>
      </c>
      <c r="B214" s="420">
        <f t="shared" ref="B214:M214" si="98">B212*B213</f>
        <v>7950</v>
      </c>
      <c r="C214" s="420">
        <f t="shared" si="98"/>
        <v>7950</v>
      </c>
      <c r="D214" s="420">
        <f t="shared" si="98"/>
        <v>7950</v>
      </c>
      <c r="E214" s="420">
        <f t="shared" si="98"/>
        <v>7950</v>
      </c>
      <c r="F214" s="420">
        <f t="shared" si="98"/>
        <v>7950</v>
      </c>
      <c r="G214" s="420">
        <f t="shared" si="98"/>
        <v>7950</v>
      </c>
      <c r="H214" s="420">
        <f t="shared" si="98"/>
        <v>7950</v>
      </c>
      <c r="I214" s="420">
        <f t="shared" si="98"/>
        <v>7950</v>
      </c>
      <c r="J214" s="420">
        <f t="shared" si="98"/>
        <v>7950</v>
      </c>
      <c r="K214" s="420">
        <f t="shared" si="98"/>
        <v>7950</v>
      </c>
      <c r="L214" s="420">
        <f t="shared" si="98"/>
        <v>7950</v>
      </c>
      <c r="M214" s="420">
        <f t="shared" si="98"/>
        <v>7950</v>
      </c>
      <c r="N214" s="421">
        <f>SUM(B214:M214)</f>
        <v>95400</v>
      </c>
    </row>
    <row r="215" spans="1:15" ht="7.5" customHeight="1">
      <c r="A215" s="422"/>
      <c r="B215" s="304"/>
      <c r="C215" s="304"/>
      <c r="D215" s="304"/>
      <c r="E215" s="304"/>
      <c r="F215" s="304"/>
      <c r="G215" s="304"/>
      <c r="H215" s="304"/>
      <c r="I215" s="304"/>
      <c r="J215" s="304"/>
      <c r="K215" s="304"/>
      <c r="L215" s="304"/>
      <c r="M215" s="304"/>
      <c r="N215" s="257"/>
    </row>
    <row r="216" spans="1:15">
      <c r="A216" s="431"/>
      <c r="B216" s="304"/>
      <c r="C216" s="304"/>
      <c r="D216" s="304"/>
      <c r="E216" s="304"/>
      <c r="F216" s="304"/>
      <c r="G216" s="304"/>
      <c r="H216" s="304"/>
      <c r="I216" s="304"/>
      <c r="J216" s="304"/>
      <c r="K216" s="304"/>
      <c r="L216" s="304"/>
      <c r="M216" s="304"/>
      <c r="N216" s="257"/>
    </row>
    <row r="217" spans="1:15">
      <c r="A217" s="415" t="s">
        <v>16</v>
      </c>
      <c r="B217" s="416">
        <v>0</v>
      </c>
      <c r="C217" s="416">
        <v>0</v>
      </c>
      <c r="D217" s="416">
        <v>0</v>
      </c>
      <c r="E217" s="416">
        <v>0</v>
      </c>
      <c r="F217" s="416">
        <v>0</v>
      </c>
      <c r="G217" s="416">
        <v>0</v>
      </c>
      <c r="H217" s="416">
        <v>0</v>
      </c>
      <c r="I217" s="416">
        <v>0</v>
      </c>
      <c r="J217" s="416">
        <v>0</v>
      </c>
      <c r="K217" s="416">
        <v>0</v>
      </c>
      <c r="L217" s="416">
        <v>0</v>
      </c>
      <c r="M217" s="416">
        <v>0</v>
      </c>
      <c r="N217" s="417">
        <f>SUM(B217:M217)</f>
        <v>0</v>
      </c>
    </row>
    <row r="218" spans="1:15">
      <c r="A218" s="418" t="s">
        <v>20</v>
      </c>
      <c r="B218" s="419">
        <f>B213</f>
        <v>1.59</v>
      </c>
      <c r="C218" s="419">
        <f t="shared" ref="C218:M218" si="99">C213</f>
        <v>1.59</v>
      </c>
      <c r="D218" s="419">
        <f t="shared" si="99"/>
        <v>1.59</v>
      </c>
      <c r="E218" s="419">
        <f t="shared" si="99"/>
        <v>1.59</v>
      </c>
      <c r="F218" s="419">
        <f t="shared" si="99"/>
        <v>1.59</v>
      </c>
      <c r="G218" s="419">
        <f t="shared" si="99"/>
        <v>1.59</v>
      </c>
      <c r="H218" s="419">
        <f t="shared" si="99"/>
        <v>1.59</v>
      </c>
      <c r="I218" s="419">
        <f t="shared" si="99"/>
        <v>1.59</v>
      </c>
      <c r="J218" s="419">
        <f t="shared" si="99"/>
        <v>1.59</v>
      </c>
      <c r="K218" s="419">
        <f t="shared" si="99"/>
        <v>1.59</v>
      </c>
      <c r="L218" s="419">
        <f t="shared" si="99"/>
        <v>1.59</v>
      </c>
      <c r="M218" s="419">
        <f t="shared" si="99"/>
        <v>1.59</v>
      </c>
      <c r="N218" s="257"/>
    </row>
    <row r="219" spans="1:15">
      <c r="A219" s="418" t="s">
        <v>17</v>
      </c>
      <c r="B219" s="420">
        <f t="shared" ref="B219:M219" si="100">B217*B218</f>
        <v>0</v>
      </c>
      <c r="C219" s="420">
        <f t="shared" si="100"/>
        <v>0</v>
      </c>
      <c r="D219" s="420">
        <f t="shared" si="100"/>
        <v>0</v>
      </c>
      <c r="E219" s="420">
        <f t="shared" si="100"/>
        <v>0</v>
      </c>
      <c r="F219" s="420">
        <f t="shared" si="100"/>
        <v>0</v>
      </c>
      <c r="G219" s="420">
        <f t="shared" si="100"/>
        <v>0</v>
      </c>
      <c r="H219" s="420">
        <f t="shared" si="100"/>
        <v>0</v>
      </c>
      <c r="I219" s="420">
        <f t="shared" si="100"/>
        <v>0</v>
      </c>
      <c r="J219" s="420">
        <f t="shared" si="100"/>
        <v>0</v>
      </c>
      <c r="K219" s="420">
        <f t="shared" si="100"/>
        <v>0</v>
      </c>
      <c r="L219" s="420">
        <f t="shared" si="100"/>
        <v>0</v>
      </c>
      <c r="M219" s="420">
        <f t="shared" si="100"/>
        <v>0</v>
      </c>
      <c r="N219" s="421">
        <f>SUM(B219:M219)</f>
        <v>0</v>
      </c>
    </row>
    <row r="220" spans="1:15" ht="7.5" customHeight="1">
      <c r="A220" s="422"/>
      <c r="B220" s="420"/>
      <c r="C220" s="304"/>
      <c r="D220" s="304"/>
      <c r="E220" s="304"/>
      <c r="F220" s="304"/>
      <c r="G220" s="304"/>
      <c r="H220" s="304"/>
      <c r="I220" s="304"/>
      <c r="J220" s="304"/>
      <c r="K220" s="304"/>
      <c r="L220" s="304"/>
      <c r="M220" s="304"/>
      <c r="N220" s="257"/>
    </row>
    <row r="221" spans="1:15">
      <c r="A221" s="431"/>
      <c r="B221" s="304"/>
      <c r="C221" s="304"/>
      <c r="D221" s="304"/>
      <c r="E221" s="304"/>
      <c r="F221" s="304"/>
      <c r="G221" s="304"/>
      <c r="H221" s="304"/>
      <c r="I221" s="304"/>
      <c r="J221" s="304"/>
      <c r="K221" s="304"/>
      <c r="L221" s="304"/>
      <c r="M221" s="304"/>
      <c r="N221" s="257"/>
    </row>
    <row r="222" spans="1:15">
      <c r="A222" s="415" t="s">
        <v>16</v>
      </c>
      <c r="B222" s="416">
        <v>0</v>
      </c>
      <c r="C222" s="416">
        <v>0</v>
      </c>
      <c r="D222" s="416">
        <v>0</v>
      </c>
      <c r="E222" s="416">
        <v>0</v>
      </c>
      <c r="F222" s="416">
        <v>0</v>
      </c>
      <c r="G222" s="416">
        <v>0</v>
      </c>
      <c r="H222" s="416">
        <v>0</v>
      </c>
      <c r="I222" s="416">
        <v>0</v>
      </c>
      <c r="J222" s="416">
        <v>0</v>
      </c>
      <c r="K222" s="416">
        <v>0</v>
      </c>
      <c r="L222" s="416">
        <v>0</v>
      </c>
      <c r="M222" s="416">
        <v>0</v>
      </c>
      <c r="N222" s="417">
        <f>SUM(B222:M222)</f>
        <v>0</v>
      </c>
    </row>
    <row r="223" spans="1:15">
      <c r="A223" s="418" t="s">
        <v>20</v>
      </c>
      <c r="B223" s="423">
        <f>B218</f>
        <v>1.59</v>
      </c>
      <c r="C223" s="423">
        <f t="shared" ref="C223:M223" si="101">C218</f>
        <v>1.59</v>
      </c>
      <c r="D223" s="423">
        <f t="shared" si="101"/>
        <v>1.59</v>
      </c>
      <c r="E223" s="423">
        <f t="shared" si="101"/>
        <v>1.59</v>
      </c>
      <c r="F223" s="423">
        <f t="shared" si="101"/>
        <v>1.59</v>
      </c>
      <c r="G223" s="423">
        <f t="shared" si="101"/>
        <v>1.59</v>
      </c>
      <c r="H223" s="423">
        <f t="shared" si="101"/>
        <v>1.59</v>
      </c>
      <c r="I223" s="423">
        <f t="shared" si="101"/>
        <v>1.59</v>
      </c>
      <c r="J223" s="423">
        <f t="shared" si="101"/>
        <v>1.59</v>
      </c>
      <c r="K223" s="423">
        <f t="shared" si="101"/>
        <v>1.59</v>
      </c>
      <c r="L223" s="423">
        <f t="shared" si="101"/>
        <v>1.59</v>
      </c>
      <c r="M223" s="423">
        <f t="shared" si="101"/>
        <v>1.59</v>
      </c>
      <c r="N223" s="257"/>
    </row>
    <row r="224" spans="1:15">
      <c r="A224" s="418" t="s">
        <v>17</v>
      </c>
      <c r="B224" s="420">
        <f t="shared" ref="B224:M224" si="102">B222*B223</f>
        <v>0</v>
      </c>
      <c r="C224" s="420">
        <f t="shared" si="102"/>
        <v>0</v>
      </c>
      <c r="D224" s="420">
        <f t="shared" si="102"/>
        <v>0</v>
      </c>
      <c r="E224" s="420">
        <f t="shared" si="102"/>
        <v>0</v>
      </c>
      <c r="F224" s="420">
        <f t="shared" si="102"/>
        <v>0</v>
      </c>
      <c r="G224" s="420">
        <f t="shared" si="102"/>
        <v>0</v>
      </c>
      <c r="H224" s="420">
        <f t="shared" si="102"/>
        <v>0</v>
      </c>
      <c r="I224" s="420">
        <f t="shared" si="102"/>
        <v>0</v>
      </c>
      <c r="J224" s="420">
        <f t="shared" si="102"/>
        <v>0</v>
      </c>
      <c r="K224" s="420">
        <f t="shared" si="102"/>
        <v>0</v>
      </c>
      <c r="L224" s="420">
        <f t="shared" si="102"/>
        <v>0</v>
      </c>
      <c r="M224" s="420">
        <f t="shared" si="102"/>
        <v>0</v>
      </c>
      <c r="N224" s="421">
        <f>SUM(B224:M224)</f>
        <v>0</v>
      </c>
    </row>
    <row r="225" spans="1:15" ht="7.5" customHeight="1">
      <c r="A225" s="422"/>
      <c r="B225" s="420"/>
      <c r="C225" s="304"/>
      <c r="D225" s="304"/>
      <c r="E225" s="304"/>
      <c r="F225" s="304"/>
      <c r="G225" s="304"/>
      <c r="H225" s="304"/>
      <c r="I225" s="304"/>
      <c r="J225" s="304"/>
      <c r="K225" s="304"/>
      <c r="L225" s="304"/>
      <c r="M225" s="304"/>
      <c r="N225" s="257"/>
    </row>
    <row r="226" spans="1:15">
      <c r="A226" s="414" t="s">
        <v>23</v>
      </c>
      <c r="B226" s="304"/>
      <c r="C226" s="304"/>
      <c r="D226" s="304"/>
      <c r="E226" s="304"/>
      <c r="F226" s="304"/>
      <c r="G226" s="304"/>
      <c r="H226" s="304"/>
      <c r="I226" s="304"/>
      <c r="J226" s="304"/>
      <c r="K226" s="304"/>
      <c r="L226" s="304"/>
      <c r="M226" s="304"/>
      <c r="N226" s="257"/>
      <c r="O226" s="459"/>
    </row>
    <row r="227" spans="1:15">
      <c r="A227" s="415" t="s">
        <v>16</v>
      </c>
      <c r="B227" s="416">
        <f>B89</f>
        <v>37056</v>
      </c>
      <c r="C227" s="416">
        <f t="shared" ref="C227:M227" si="103">C89</f>
        <v>37056</v>
      </c>
      <c r="D227" s="416">
        <f t="shared" si="103"/>
        <v>37056</v>
      </c>
      <c r="E227" s="416">
        <f t="shared" si="103"/>
        <v>37056</v>
      </c>
      <c r="F227" s="416">
        <f t="shared" si="103"/>
        <v>37056</v>
      </c>
      <c r="G227" s="416">
        <f t="shared" si="103"/>
        <v>37056</v>
      </c>
      <c r="H227" s="416">
        <f t="shared" si="103"/>
        <v>37056</v>
      </c>
      <c r="I227" s="416">
        <f t="shared" si="103"/>
        <v>37056</v>
      </c>
      <c r="J227" s="416">
        <f t="shared" si="103"/>
        <v>37056</v>
      </c>
      <c r="K227" s="416">
        <f t="shared" si="103"/>
        <v>37056</v>
      </c>
      <c r="L227" s="416">
        <f t="shared" si="103"/>
        <v>37056</v>
      </c>
      <c r="M227" s="416">
        <f t="shared" si="103"/>
        <v>37056</v>
      </c>
      <c r="N227" s="417">
        <f>SUM(B227:M227)</f>
        <v>444672</v>
      </c>
    </row>
    <row r="228" spans="1:15">
      <c r="A228" s="418" t="s">
        <v>20</v>
      </c>
      <c r="B228" s="423">
        <f>B223</f>
        <v>1.59</v>
      </c>
      <c r="C228" s="423">
        <f t="shared" ref="C228:M228" si="104">C223</f>
        <v>1.59</v>
      </c>
      <c r="D228" s="423">
        <f t="shared" si="104"/>
        <v>1.59</v>
      </c>
      <c r="E228" s="423">
        <f t="shared" si="104"/>
        <v>1.59</v>
      </c>
      <c r="F228" s="423">
        <f t="shared" si="104"/>
        <v>1.59</v>
      </c>
      <c r="G228" s="423">
        <f t="shared" si="104"/>
        <v>1.59</v>
      </c>
      <c r="H228" s="423">
        <f t="shared" si="104"/>
        <v>1.59</v>
      </c>
      <c r="I228" s="423">
        <f t="shared" si="104"/>
        <v>1.59</v>
      </c>
      <c r="J228" s="423">
        <f t="shared" si="104"/>
        <v>1.59</v>
      </c>
      <c r="K228" s="423">
        <f t="shared" si="104"/>
        <v>1.59</v>
      </c>
      <c r="L228" s="423">
        <f t="shared" si="104"/>
        <v>1.59</v>
      </c>
      <c r="M228" s="423">
        <f t="shared" si="104"/>
        <v>1.59</v>
      </c>
      <c r="N228" s="257"/>
    </row>
    <row r="229" spans="1:15">
      <c r="A229" s="418" t="s">
        <v>17</v>
      </c>
      <c r="B229" s="420">
        <f t="shared" ref="B229:M229" si="105">B227*B228</f>
        <v>58919.040000000001</v>
      </c>
      <c r="C229" s="420">
        <f t="shared" si="105"/>
        <v>58919.040000000001</v>
      </c>
      <c r="D229" s="420">
        <f t="shared" si="105"/>
        <v>58919.040000000001</v>
      </c>
      <c r="E229" s="420">
        <f t="shared" si="105"/>
        <v>58919.040000000001</v>
      </c>
      <c r="F229" s="420">
        <f t="shared" si="105"/>
        <v>58919.040000000001</v>
      </c>
      <c r="G229" s="420">
        <f t="shared" si="105"/>
        <v>58919.040000000001</v>
      </c>
      <c r="H229" s="420">
        <f t="shared" si="105"/>
        <v>58919.040000000001</v>
      </c>
      <c r="I229" s="420">
        <f t="shared" si="105"/>
        <v>58919.040000000001</v>
      </c>
      <c r="J229" s="420">
        <f t="shared" si="105"/>
        <v>58919.040000000001</v>
      </c>
      <c r="K229" s="420">
        <f t="shared" si="105"/>
        <v>58919.040000000001</v>
      </c>
      <c r="L229" s="420">
        <f t="shared" si="105"/>
        <v>58919.040000000001</v>
      </c>
      <c r="M229" s="420">
        <f t="shared" si="105"/>
        <v>58919.040000000001</v>
      </c>
      <c r="N229" s="421">
        <f>SUM(B229:M229)</f>
        <v>707028.4800000001</v>
      </c>
    </row>
    <row r="230" spans="1:15" ht="6.75" customHeight="1">
      <c r="A230" s="422"/>
      <c r="B230" s="420"/>
      <c r="C230" s="304"/>
      <c r="D230" s="304"/>
      <c r="E230" s="304"/>
      <c r="F230" s="304"/>
      <c r="G230" s="304"/>
      <c r="H230" s="304"/>
      <c r="I230" s="304"/>
      <c r="J230" s="304"/>
      <c r="K230" s="304"/>
      <c r="L230" s="304"/>
      <c r="M230" s="304"/>
      <c r="N230" s="257"/>
    </row>
    <row r="231" spans="1:15">
      <c r="A231" s="414" t="s">
        <v>24</v>
      </c>
      <c r="B231" s="304"/>
      <c r="C231" s="304"/>
      <c r="D231" s="304"/>
      <c r="E231" s="304"/>
      <c r="F231" s="304"/>
      <c r="G231" s="304"/>
      <c r="H231" s="304"/>
      <c r="I231" s="304"/>
      <c r="J231" s="304"/>
      <c r="K231" s="304"/>
      <c r="L231" s="304"/>
      <c r="M231" s="304"/>
      <c r="N231" s="257"/>
      <c r="O231" s="459"/>
    </row>
    <row r="232" spans="1:15">
      <c r="A232" s="415" t="s">
        <v>16</v>
      </c>
      <c r="B232" s="416">
        <v>62000</v>
      </c>
      <c r="C232" s="416">
        <v>62000</v>
      </c>
      <c r="D232" s="416">
        <v>62000</v>
      </c>
      <c r="E232" s="416">
        <v>62000</v>
      </c>
      <c r="F232" s="416">
        <v>62000</v>
      </c>
      <c r="G232" s="416">
        <v>62000</v>
      </c>
      <c r="H232" s="416">
        <v>62000</v>
      </c>
      <c r="I232" s="416">
        <v>62000</v>
      </c>
      <c r="J232" s="416">
        <v>62000</v>
      </c>
      <c r="K232" s="416">
        <v>62000</v>
      </c>
      <c r="L232" s="416">
        <v>62000</v>
      </c>
      <c r="M232" s="416">
        <v>62000</v>
      </c>
      <c r="N232" s="417">
        <f>SUM(B232:M232)</f>
        <v>744000</v>
      </c>
    </row>
    <row r="233" spans="1:15">
      <c r="A233" s="418" t="s">
        <v>20</v>
      </c>
      <c r="B233" s="423">
        <f>B228</f>
        <v>1.59</v>
      </c>
      <c r="C233" s="423">
        <f t="shared" ref="C233:M233" si="106">C228</f>
        <v>1.59</v>
      </c>
      <c r="D233" s="423">
        <f t="shared" si="106"/>
        <v>1.59</v>
      </c>
      <c r="E233" s="423">
        <f t="shared" si="106"/>
        <v>1.59</v>
      </c>
      <c r="F233" s="423">
        <f t="shared" si="106"/>
        <v>1.59</v>
      </c>
      <c r="G233" s="423">
        <f t="shared" si="106"/>
        <v>1.59</v>
      </c>
      <c r="H233" s="423">
        <f t="shared" si="106"/>
        <v>1.59</v>
      </c>
      <c r="I233" s="423">
        <f t="shared" si="106"/>
        <v>1.59</v>
      </c>
      <c r="J233" s="423">
        <f t="shared" si="106"/>
        <v>1.59</v>
      </c>
      <c r="K233" s="423">
        <f t="shared" si="106"/>
        <v>1.59</v>
      </c>
      <c r="L233" s="423">
        <f t="shared" si="106"/>
        <v>1.59</v>
      </c>
      <c r="M233" s="423">
        <f t="shared" si="106"/>
        <v>1.59</v>
      </c>
      <c r="N233" s="257"/>
    </row>
    <row r="234" spans="1:15">
      <c r="A234" s="418" t="s">
        <v>17</v>
      </c>
      <c r="B234" s="420">
        <f t="shared" ref="B234:M234" si="107">B232*B233</f>
        <v>98580</v>
      </c>
      <c r="C234" s="420">
        <f t="shared" si="107"/>
        <v>98580</v>
      </c>
      <c r="D234" s="420">
        <f t="shared" si="107"/>
        <v>98580</v>
      </c>
      <c r="E234" s="420">
        <f t="shared" si="107"/>
        <v>98580</v>
      </c>
      <c r="F234" s="420">
        <f t="shared" si="107"/>
        <v>98580</v>
      </c>
      <c r="G234" s="420">
        <f t="shared" si="107"/>
        <v>98580</v>
      </c>
      <c r="H234" s="420">
        <f t="shared" si="107"/>
        <v>98580</v>
      </c>
      <c r="I234" s="420">
        <f t="shared" si="107"/>
        <v>98580</v>
      </c>
      <c r="J234" s="420">
        <f t="shared" si="107"/>
        <v>98580</v>
      </c>
      <c r="K234" s="420">
        <f t="shared" si="107"/>
        <v>98580</v>
      </c>
      <c r="L234" s="420">
        <f t="shared" si="107"/>
        <v>98580</v>
      </c>
      <c r="M234" s="420">
        <f t="shared" si="107"/>
        <v>98580</v>
      </c>
      <c r="N234" s="421">
        <f>SUM(B234:M234)</f>
        <v>1182960</v>
      </c>
    </row>
    <row r="235" spans="1:15" ht="6.75" customHeight="1">
      <c r="A235" s="418"/>
      <c r="B235" s="420"/>
      <c r="C235" s="420"/>
      <c r="D235" s="420"/>
      <c r="E235" s="420"/>
      <c r="F235" s="420"/>
      <c r="G235" s="420"/>
      <c r="H235" s="420"/>
      <c r="I235" s="420"/>
      <c r="J235" s="420"/>
      <c r="K235" s="420"/>
      <c r="L235" s="420"/>
      <c r="M235" s="420"/>
      <c r="N235" s="421"/>
    </row>
    <row r="236" spans="1:15">
      <c r="A236" s="414" t="s">
        <v>116</v>
      </c>
      <c r="B236" s="304"/>
      <c r="C236" s="304"/>
      <c r="D236" s="304"/>
      <c r="E236" s="304"/>
      <c r="F236" s="304"/>
      <c r="G236" s="304"/>
      <c r="H236" s="304"/>
      <c r="I236" s="304"/>
      <c r="J236" s="304"/>
      <c r="K236" s="304"/>
      <c r="L236" s="304"/>
      <c r="M236" s="304"/>
      <c r="N236" s="257"/>
      <c r="O236" s="459"/>
    </row>
    <row r="237" spans="1:15">
      <c r="A237" s="415" t="s">
        <v>16</v>
      </c>
      <c r="B237" s="416">
        <v>40000</v>
      </c>
      <c r="C237" s="416">
        <f>B237</f>
        <v>40000</v>
      </c>
      <c r="D237" s="416">
        <f>C237</f>
        <v>40000</v>
      </c>
      <c r="E237" s="416">
        <f>D237</f>
        <v>40000</v>
      </c>
      <c r="F237" s="416">
        <f>E237</f>
        <v>40000</v>
      </c>
      <c r="G237" s="416">
        <f>F237</f>
        <v>40000</v>
      </c>
      <c r="H237" s="416">
        <f t="shared" ref="H237:M237" si="108">G237</f>
        <v>40000</v>
      </c>
      <c r="I237" s="416">
        <f t="shared" si="108"/>
        <v>40000</v>
      </c>
      <c r="J237" s="416">
        <f t="shared" si="108"/>
        <v>40000</v>
      </c>
      <c r="K237" s="416">
        <f t="shared" si="108"/>
        <v>40000</v>
      </c>
      <c r="L237" s="416">
        <f t="shared" si="108"/>
        <v>40000</v>
      </c>
      <c r="M237" s="416">
        <f t="shared" si="108"/>
        <v>40000</v>
      </c>
      <c r="N237" s="417">
        <f>SUM(B237:M237)</f>
        <v>480000</v>
      </c>
    </row>
    <row r="238" spans="1:15">
      <c r="A238" s="418" t="s">
        <v>20</v>
      </c>
      <c r="B238" s="423">
        <f>B233</f>
        <v>1.59</v>
      </c>
      <c r="C238" s="423">
        <f t="shared" ref="C238:M238" si="109">C233</f>
        <v>1.59</v>
      </c>
      <c r="D238" s="423">
        <f t="shared" si="109"/>
        <v>1.59</v>
      </c>
      <c r="E238" s="423">
        <f t="shared" si="109"/>
        <v>1.59</v>
      </c>
      <c r="F238" s="423">
        <f t="shared" si="109"/>
        <v>1.59</v>
      </c>
      <c r="G238" s="423">
        <f t="shared" si="109"/>
        <v>1.59</v>
      </c>
      <c r="H238" s="423">
        <f t="shared" si="109"/>
        <v>1.59</v>
      </c>
      <c r="I238" s="423">
        <f t="shared" si="109"/>
        <v>1.59</v>
      </c>
      <c r="J238" s="423">
        <f t="shared" si="109"/>
        <v>1.59</v>
      </c>
      <c r="K238" s="423">
        <f t="shared" si="109"/>
        <v>1.59</v>
      </c>
      <c r="L238" s="423">
        <f t="shared" si="109"/>
        <v>1.59</v>
      </c>
      <c r="M238" s="423">
        <f t="shared" si="109"/>
        <v>1.59</v>
      </c>
      <c r="N238" s="257"/>
    </row>
    <row r="239" spans="1:15">
      <c r="A239" s="418" t="s">
        <v>17</v>
      </c>
      <c r="B239" s="420">
        <f t="shared" ref="B239:M239" si="110">B237*B238</f>
        <v>63600</v>
      </c>
      <c r="C239" s="420">
        <f t="shared" si="110"/>
        <v>63600</v>
      </c>
      <c r="D239" s="420">
        <f t="shared" si="110"/>
        <v>63600</v>
      </c>
      <c r="E239" s="420">
        <f t="shared" si="110"/>
        <v>63600</v>
      </c>
      <c r="F239" s="420">
        <f t="shared" si="110"/>
        <v>63600</v>
      </c>
      <c r="G239" s="420">
        <f t="shared" si="110"/>
        <v>63600</v>
      </c>
      <c r="H239" s="420">
        <f t="shared" si="110"/>
        <v>63600</v>
      </c>
      <c r="I239" s="420">
        <f t="shared" si="110"/>
        <v>63600</v>
      </c>
      <c r="J239" s="420">
        <f t="shared" si="110"/>
        <v>63600</v>
      </c>
      <c r="K239" s="420">
        <f t="shared" si="110"/>
        <v>63600</v>
      </c>
      <c r="L239" s="420">
        <f t="shared" si="110"/>
        <v>63600</v>
      </c>
      <c r="M239" s="420">
        <f t="shared" si="110"/>
        <v>63600</v>
      </c>
      <c r="N239" s="421">
        <f>SUM(B239:M239)</f>
        <v>763200</v>
      </c>
    </row>
    <row r="240" spans="1:15" ht="7.5" customHeight="1">
      <c r="A240" s="418"/>
      <c r="B240" s="420"/>
      <c r="C240" s="420"/>
      <c r="D240" s="420"/>
      <c r="E240" s="420"/>
      <c r="F240" s="420"/>
      <c r="G240" s="420"/>
      <c r="H240" s="420"/>
      <c r="I240" s="420"/>
      <c r="J240" s="420"/>
      <c r="K240" s="420"/>
      <c r="L240" s="420"/>
      <c r="M240" s="420"/>
      <c r="N240" s="421"/>
    </row>
    <row r="241" spans="1:15" s="20" customFormat="1" ht="10.199999999999999">
      <c r="A241" s="414" t="s">
        <v>237</v>
      </c>
      <c r="B241" s="304"/>
      <c r="C241" s="304"/>
      <c r="D241" s="304"/>
      <c r="E241" s="304"/>
      <c r="F241" s="304"/>
      <c r="G241" s="304"/>
      <c r="H241" s="304"/>
      <c r="I241" s="304"/>
      <c r="J241" s="304"/>
      <c r="K241" s="304"/>
      <c r="L241" s="304"/>
      <c r="M241" s="304"/>
      <c r="N241" s="257"/>
      <c r="O241" s="457"/>
    </row>
    <row r="242" spans="1:15" s="20" customFormat="1" ht="10.199999999999999">
      <c r="A242" s="415" t="s">
        <v>16</v>
      </c>
      <c r="B242" s="416">
        <v>3000</v>
      </c>
      <c r="C242" s="416">
        <f>B242</f>
        <v>3000</v>
      </c>
      <c r="D242" s="416">
        <f t="shared" ref="D242:M242" si="111">C242</f>
        <v>3000</v>
      </c>
      <c r="E242" s="416">
        <f t="shared" si="111"/>
        <v>3000</v>
      </c>
      <c r="F242" s="416">
        <f t="shared" si="111"/>
        <v>3000</v>
      </c>
      <c r="G242" s="416">
        <f t="shared" si="111"/>
        <v>3000</v>
      </c>
      <c r="H242" s="416">
        <f t="shared" si="111"/>
        <v>3000</v>
      </c>
      <c r="I242" s="416">
        <f t="shared" si="111"/>
        <v>3000</v>
      </c>
      <c r="J242" s="416">
        <f t="shared" si="111"/>
        <v>3000</v>
      </c>
      <c r="K242" s="416">
        <f t="shared" si="111"/>
        <v>3000</v>
      </c>
      <c r="L242" s="416">
        <f t="shared" si="111"/>
        <v>3000</v>
      </c>
      <c r="M242" s="416">
        <f t="shared" si="111"/>
        <v>3000</v>
      </c>
      <c r="N242" s="417">
        <f>SUM(B242:M242)</f>
        <v>36000</v>
      </c>
      <c r="O242" s="336" t="s">
        <v>238</v>
      </c>
    </row>
    <row r="243" spans="1:15" s="20" customFormat="1" ht="10.199999999999999">
      <c r="A243" s="418" t="s">
        <v>20</v>
      </c>
      <c r="B243" s="423">
        <f>B238</f>
        <v>1.59</v>
      </c>
      <c r="C243" s="423">
        <f t="shared" ref="C243:M243" si="112">C238</f>
        <v>1.59</v>
      </c>
      <c r="D243" s="423">
        <f t="shared" si="112"/>
        <v>1.59</v>
      </c>
      <c r="E243" s="423">
        <f t="shared" si="112"/>
        <v>1.59</v>
      </c>
      <c r="F243" s="423">
        <f t="shared" si="112"/>
        <v>1.59</v>
      </c>
      <c r="G243" s="423">
        <f t="shared" si="112"/>
        <v>1.59</v>
      </c>
      <c r="H243" s="423">
        <f t="shared" si="112"/>
        <v>1.59</v>
      </c>
      <c r="I243" s="423">
        <f t="shared" si="112"/>
        <v>1.59</v>
      </c>
      <c r="J243" s="423">
        <f t="shared" si="112"/>
        <v>1.59</v>
      </c>
      <c r="K243" s="423">
        <f t="shared" si="112"/>
        <v>1.59</v>
      </c>
      <c r="L243" s="423">
        <f t="shared" si="112"/>
        <v>1.59</v>
      </c>
      <c r="M243" s="423">
        <f t="shared" si="112"/>
        <v>1.59</v>
      </c>
      <c r="N243" s="257"/>
    </row>
    <row r="244" spans="1:15" s="20" customFormat="1" ht="10.199999999999999">
      <c r="A244" s="418" t="s">
        <v>17</v>
      </c>
      <c r="B244" s="420">
        <f>B242*B243</f>
        <v>4770</v>
      </c>
      <c r="C244" s="420">
        <f t="shared" ref="C244:M244" si="113">C242*C243</f>
        <v>4770</v>
      </c>
      <c r="D244" s="420">
        <f t="shared" si="113"/>
        <v>4770</v>
      </c>
      <c r="E244" s="420">
        <f t="shared" si="113"/>
        <v>4770</v>
      </c>
      <c r="F244" s="420">
        <f t="shared" si="113"/>
        <v>4770</v>
      </c>
      <c r="G244" s="420">
        <f t="shared" si="113"/>
        <v>4770</v>
      </c>
      <c r="H244" s="420">
        <f t="shared" si="113"/>
        <v>4770</v>
      </c>
      <c r="I244" s="420">
        <f t="shared" si="113"/>
        <v>4770</v>
      </c>
      <c r="J244" s="420">
        <f t="shared" si="113"/>
        <v>4770</v>
      </c>
      <c r="K244" s="420">
        <f t="shared" si="113"/>
        <v>4770</v>
      </c>
      <c r="L244" s="420">
        <f t="shared" si="113"/>
        <v>4770</v>
      </c>
      <c r="M244" s="420">
        <f t="shared" si="113"/>
        <v>4770</v>
      </c>
      <c r="N244" s="421">
        <f>SUM(B244:M244)</f>
        <v>57240</v>
      </c>
    </row>
    <row r="245" spans="1:15" ht="6.75" customHeight="1">
      <c r="A245" s="418"/>
      <c r="B245" s="420"/>
      <c r="C245" s="420"/>
      <c r="D245" s="420"/>
      <c r="E245" s="420"/>
      <c r="F245" s="420"/>
      <c r="G245" s="420"/>
      <c r="H245" s="420"/>
      <c r="I245" s="420"/>
      <c r="J245" s="420"/>
      <c r="K245" s="420"/>
      <c r="L245" s="420"/>
      <c r="M245" s="420"/>
      <c r="N245" s="421"/>
    </row>
    <row r="246" spans="1:15">
      <c r="A246" s="414" t="s">
        <v>179</v>
      </c>
      <c r="B246" s="304"/>
      <c r="C246" s="304"/>
      <c r="D246" s="304"/>
      <c r="E246" s="304"/>
      <c r="F246" s="304"/>
      <c r="G246" s="304"/>
      <c r="H246" s="304"/>
      <c r="I246" s="304"/>
      <c r="J246" s="304"/>
      <c r="K246" s="304"/>
      <c r="L246" s="304"/>
      <c r="M246" s="304"/>
      <c r="N246" s="257"/>
      <c r="O246" s="459"/>
    </row>
    <row r="247" spans="1:15">
      <c r="A247" s="415" t="s">
        <v>16</v>
      </c>
      <c r="B247" s="416"/>
      <c r="C247" s="416"/>
      <c r="D247" s="416"/>
      <c r="E247" s="416"/>
      <c r="F247" s="416"/>
      <c r="G247" s="416"/>
      <c r="H247" s="416"/>
      <c r="I247" s="416"/>
      <c r="J247" s="416"/>
      <c r="K247" s="416"/>
      <c r="L247" s="416"/>
      <c r="M247" s="416"/>
      <c r="N247" s="417">
        <f>SUM(B247:M247)</f>
        <v>0</v>
      </c>
    </row>
    <row r="248" spans="1:15">
      <c r="A248" s="418" t="s">
        <v>20</v>
      </c>
      <c r="B248" s="423">
        <f>B238</f>
        <v>1.59</v>
      </c>
      <c r="C248" s="423">
        <f t="shared" ref="C248:M248" si="114">C238</f>
        <v>1.59</v>
      </c>
      <c r="D248" s="423">
        <f t="shared" si="114"/>
        <v>1.59</v>
      </c>
      <c r="E248" s="423">
        <f t="shared" si="114"/>
        <v>1.59</v>
      </c>
      <c r="F248" s="423">
        <f t="shared" si="114"/>
        <v>1.59</v>
      </c>
      <c r="G248" s="423">
        <f t="shared" si="114"/>
        <v>1.59</v>
      </c>
      <c r="H248" s="423">
        <f t="shared" si="114"/>
        <v>1.59</v>
      </c>
      <c r="I248" s="423">
        <f t="shared" si="114"/>
        <v>1.59</v>
      </c>
      <c r="J248" s="423">
        <f t="shared" si="114"/>
        <v>1.59</v>
      </c>
      <c r="K248" s="423">
        <f t="shared" si="114"/>
        <v>1.59</v>
      </c>
      <c r="L248" s="423">
        <f t="shared" si="114"/>
        <v>1.59</v>
      </c>
      <c r="M248" s="423">
        <f t="shared" si="114"/>
        <v>1.59</v>
      </c>
      <c r="N248" s="257"/>
    </row>
    <row r="249" spans="1:15">
      <c r="A249" s="418" t="s">
        <v>17</v>
      </c>
      <c r="B249" s="420">
        <f t="shared" ref="B249:M249" si="115">B247*B248</f>
        <v>0</v>
      </c>
      <c r="C249" s="420">
        <f t="shared" si="115"/>
        <v>0</v>
      </c>
      <c r="D249" s="420">
        <f t="shared" si="115"/>
        <v>0</v>
      </c>
      <c r="E249" s="420">
        <f t="shared" si="115"/>
        <v>0</v>
      </c>
      <c r="F249" s="420">
        <f t="shared" si="115"/>
        <v>0</v>
      </c>
      <c r="G249" s="420">
        <f t="shared" si="115"/>
        <v>0</v>
      </c>
      <c r="H249" s="420">
        <f t="shared" si="115"/>
        <v>0</v>
      </c>
      <c r="I249" s="420">
        <f t="shared" si="115"/>
        <v>0</v>
      </c>
      <c r="J249" s="420">
        <f t="shared" si="115"/>
        <v>0</v>
      </c>
      <c r="K249" s="420">
        <f t="shared" si="115"/>
        <v>0</v>
      </c>
      <c r="L249" s="420">
        <f t="shared" si="115"/>
        <v>0</v>
      </c>
      <c r="M249" s="420">
        <f t="shared" si="115"/>
        <v>0</v>
      </c>
      <c r="N249" s="421">
        <f>SUM(B249:M249)</f>
        <v>0</v>
      </c>
    </row>
    <row r="250" spans="1:15">
      <c r="A250" s="418"/>
      <c r="B250" s="420"/>
      <c r="C250" s="420"/>
      <c r="D250" s="420"/>
      <c r="E250" s="420"/>
      <c r="F250" s="420"/>
      <c r="G250" s="420"/>
      <c r="H250" s="420"/>
      <c r="I250" s="420"/>
      <c r="J250" s="420"/>
      <c r="K250" s="420"/>
      <c r="L250" s="420"/>
      <c r="M250" s="420"/>
      <c r="N250" s="421"/>
    </row>
    <row r="251" spans="1:15">
      <c r="A251" s="414" t="s">
        <v>44</v>
      </c>
      <c r="B251" s="304"/>
      <c r="C251" s="304"/>
      <c r="D251" s="304"/>
      <c r="E251" s="304"/>
      <c r="F251" s="304"/>
      <c r="G251" s="304"/>
      <c r="H251" s="304"/>
      <c r="I251" s="304"/>
      <c r="J251" s="304"/>
      <c r="K251" s="304"/>
      <c r="L251" s="304"/>
      <c r="M251" s="304"/>
      <c r="N251" s="257"/>
      <c r="O251" s="459"/>
    </row>
    <row r="252" spans="1:15">
      <c r="A252" s="415" t="s">
        <v>16</v>
      </c>
      <c r="B252" s="416"/>
      <c r="C252" s="416"/>
      <c r="D252" s="416"/>
      <c r="E252" s="416"/>
      <c r="F252" s="416"/>
      <c r="G252" s="416"/>
      <c r="H252" s="416"/>
      <c r="I252" s="416"/>
      <c r="J252" s="416"/>
      <c r="K252" s="416"/>
      <c r="L252" s="416"/>
      <c r="M252" s="416"/>
      <c r="N252" s="417">
        <f>SUM(B252:M252)</f>
        <v>0</v>
      </c>
    </row>
    <row r="253" spans="1:15">
      <c r="A253" s="418" t="s">
        <v>20</v>
      </c>
      <c r="B253" s="423">
        <f>B248</f>
        <v>1.59</v>
      </c>
      <c r="C253" s="423">
        <f t="shared" ref="C253:M253" si="116">C248</f>
        <v>1.59</v>
      </c>
      <c r="D253" s="423">
        <f t="shared" si="116"/>
        <v>1.59</v>
      </c>
      <c r="E253" s="423">
        <f t="shared" si="116"/>
        <v>1.59</v>
      </c>
      <c r="F253" s="423">
        <f t="shared" si="116"/>
        <v>1.59</v>
      </c>
      <c r="G253" s="423">
        <f t="shared" si="116"/>
        <v>1.59</v>
      </c>
      <c r="H253" s="423">
        <f t="shared" si="116"/>
        <v>1.59</v>
      </c>
      <c r="I253" s="423">
        <f t="shared" si="116"/>
        <v>1.59</v>
      </c>
      <c r="J253" s="423">
        <f t="shared" si="116"/>
        <v>1.59</v>
      </c>
      <c r="K253" s="423">
        <f t="shared" si="116"/>
        <v>1.59</v>
      </c>
      <c r="L253" s="423">
        <f t="shared" si="116"/>
        <v>1.59</v>
      </c>
      <c r="M253" s="423">
        <f t="shared" si="116"/>
        <v>1.59</v>
      </c>
      <c r="N253" s="257"/>
    </row>
    <row r="254" spans="1:15">
      <c r="A254" s="418" t="s">
        <v>17</v>
      </c>
      <c r="B254" s="420">
        <f t="shared" ref="B254:M254" si="117">B252*B253</f>
        <v>0</v>
      </c>
      <c r="C254" s="420">
        <f t="shared" si="117"/>
        <v>0</v>
      </c>
      <c r="D254" s="420">
        <f t="shared" si="117"/>
        <v>0</v>
      </c>
      <c r="E254" s="420">
        <f t="shared" si="117"/>
        <v>0</v>
      </c>
      <c r="F254" s="420">
        <f t="shared" si="117"/>
        <v>0</v>
      </c>
      <c r="G254" s="420">
        <f t="shared" si="117"/>
        <v>0</v>
      </c>
      <c r="H254" s="420">
        <f t="shared" si="117"/>
        <v>0</v>
      </c>
      <c r="I254" s="420">
        <f t="shared" si="117"/>
        <v>0</v>
      </c>
      <c r="J254" s="420">
        <f t="shared" si="117"/>
        <v>0</v>
      </c>
      <c r="K254" s="420">
        <f t="shared" si="117"/>
        <v>0</v>
      </c>
      <c r="L254" s="420">
        <f t="shared" si="117"/>
        <v>0</v>
      </c>
      <c r="M254" s="420">
        <f t="shared" si="117"/>
        <v>0</v>
      </c>
      <c r="N254" s="421">
        <f>SUM(B254:M254)</f>
        <v>0</v>
      </c>
    </row>
    <row r="255" spans="1:15" ht="6.75" customHeight="1">
      <c r="A255" s="418"/>
      <c r="B255" s="420"/>
      <c r="C255" s="420"/>
      <c r="D255" s="420"/>
      <c r="E255" s="420"/>
      <c r="F255" s="420"/>
      <c r="G255" s="420"/>
      <c r="H255" s="420"/>
      <c r="I255" s="420"/>
      <c r="J255" s="420"/>
      <c r="K255" s="420"/>
      <c r="L255" s="420"/>
      <c r="M255" s="420"/>
      <c r="N255" s="421"/>
    </row>
    <row r="256" spans="1:15">
      <c r="A256" s="414" t="s">
        <v>117</v>
      </c>
      <c r="B256" s="304"/>
      <c r="C256" s="304"/>
      <c r="D256" s="304"/>
      <c r="E256" s="304"/>
      <c r="F256" s="304"/>
      <c r="G256" s="304"/>
      <c r="H256" s="304"/>
      <c r="I256" s="304"/>
      <c r="J256" s="304"/>
      <c r="K256" s="304"/>
      <c r="L256" s="304"/>
      <c r="M256" s="304"/>
      <c r="N256" s="257"/>
    </row>
    <row r="257" spans="1:16">
      <c r="A257" s="415" t="s">
        <v>16</v>
      </c>
      <c r="B257" s="416">
        <v>150000</v>
      </c>
      <c r="C257" s="416">
        <f>B257</f>
        <v>150000</v>
      </c>
      <c r="D257" s="416">
        <f>C257</f>
        <v>150000</v>
      </c>
      <c r="E257" s="416">
        <f>D257</f>
        <v>150000</v>
      </c>
      <c r="F257" s="416">
        <f>E257</f>
        <v>150000</v>
      </c>
      <c r="G257" s="416">
        <v>150000</v>
      </c>
      <c r="H257" s="416">
        <f t="shared" ref="H257:M257" si="118">G257</f>
        <v>150000</v>
      </c>
      <c r="I257" s="416">
        <f t="shared" si="118"/>
        <v>150000</v>
      </c>
      <c r="J257" s="416">
        <f t="shared" si="118"/>
        <v>150000</v>
      </c>
      <c r="K257" s="416">
        <f t="shared" si="118"/>
        <v>150000</v>
      </c>
      <c r="L257" s="416">
        <f t="shared" si="118"/>
        <v>150000</v>
      </c>
      <c r="M257" s="416">
        <f t="shared" si="118"/>
        <v>150000</v>
      </c>
      <c r="N257" s="417">
        <f>SUM(B257:M257)</f>
        <v>1800000</v>
      </c>
    </row>
    <row r="258" spans="1:16">
      <c r="A258" s="418" t="s">
        <v>20</v>
      </c>
      <c r="B258" s="423">
        <f>B253</f>
        <v>1.59</v>
      </c>
      <c r="C258" s="423">
        <f t="shared" ref="C258:M258" si="119">C253</f>
        <v>1.59</v>
      </c>
      <c r="D258" s="423">
        <f t="shared" si="119"/>
        <v>1.59</v>
      </c>
      <c r="E258" s="423">
        <f t="shared" si="119"/>
        <v>1.59</v>
      </c>
      <c r="F258" s="423">
        <f t="shared" si="119"/>
        <v>1.59</v>
      </c>
      <c r="G258" s="423">
        <f t="shared" si="119"/>
        <v>1.59</v>
      </c>
      <c r="H258" s="423">
        <f t="shared" si="119"/>
        <v>1.59</v>
      </c>
      <c r="I258" s="423">
        <f t="shared" si="119"/>
        <v>1.59</v>
      </c>
      <c r="J258" s="423">
        <f t="shared" si="119"/>
        <v>1.59</v>
      </c>
      <c r="K258" s="423">
        <f t="shared" si="119"/>
        <v>1.59</v>
      </c>
      <c r="L258" s="423">
        <f t="shared" si="119"/>
        <v>1.59</v>
      </c>
      <c r="M258" s="423">
        <f t="shared" si="119"/>
        <v>1.59</v>
      </c>
      <c r="N258" s="257"/>
    </row>
    <row r="259" spans="1:16">
      <c r="A259" s="418" t="s">
        <v>17</v>
      </c>
      <c r="B259" s="420">
        <f t="shared" ref="B259:M259" si="120">B257*B258</f>
        <v>238500</v>
      </c>
      <c r="C259" s="420">
        <f t="shared" si="120"/>
        <v>238500</v>
      </c>
      <c r="D259" s="420">
        <f t="shared" si="120"/>
        <v>238500</v>
      </c>
      <c r="E259" s="420">
        <f t="shared" si="120"/>
        <v>238500</v>
      </c>
      <c r="F259" s="420">
        <f t="shared" si="120"/>
        <v>238500</v>
      </c>
      <c r="G259" s="420">
        <f t="shared" si="120"/>
        <v>238500</v>
      </c>
      <c r="H259" s="420">
        <f t="shared" si="120"/>
        <v>238500</v>
      </c>
      <c r="I259" s="420">
        <f t="shared" si="120"/>
        <v>238500</v>
      </c>
      <c r="J259" s="420">
        <f t="shared" si="120"/>
        <v>238500</v>
      </c>
      <c r="K259" s="420">
        <f t="shared" si="120"/>
        <v>238500</v>
      </c>
      <c r="L259" s="420">
        <f t="shared" si="120"/>
        <v>238500</v>
      </c>
      <c r="M259" s="420">
        <f t="shared" si="120"/>
        <v>238500</v>
      </c>
      <c r="N259" s="421">
        <f>SUM(B259:M259)</f>
        <v>2862000</v>
      </c>
    </row>
    <row r="260" spans="1:16">
      <c r="A260" s="418"/>
      <c r="B260" s="420"/>
      <c r="C260" s="420"/>
      <c r="D260" s="420"/>
      <c r="E260" s="420"/>
      <c r="F260" s="420"/>
      <c r="G260" s="420"/>
      <c r="H260" s="420"/>
      <c r="I260" s="420"/>
      <c r="J260" s="420"/>
      <c r="K260" s="420"/>
      <c r="L260" s="420"/>
      <c r="M260" s="420"/>
      <c r="N260" s="421"/>
    </row>
    <row r="261" spans="1:16">
      <c r="A261" s="431" t="s">
        <v>171</v>
      </c>
      <c r="B261" s="420"/>
      <c r="C261" s="420"/>
      <c r="D261" s="420"/>
      <c r="E261" s="420"/>
      <c r="F261" s="420"/>
      <c r="G261" s="420"/>
      <c r="H261" s="420"/>
      <c r="I261" s="420"/>
      <c r="J261" s="420"/>
      <c r="K261" s="420"/>
      <c r="L261" s="420"/>
      <c r="M261" s="420"/>
      <c r="N261" s="417"/>
    </row>
    <row r="262" spans="1:16">
      <c r="A262" s="415" t="s">
        <v>16</v>
      </c>
      <c r="B262" s="420"/>
      <c r="C262" s="420">
        <v>0</v>
      </c>
      <c r="D262" s="420">
        <v>0</v>
      </c>
      <c r="E262" s="420">
        <v>0</v>
      </c>
      <c r="F262" s="420">
        <v>0</v>
      </c>
      <c r="G262" s="420">
        <v>0</v>
      </c>
      <c r="H262" s="420">
        <v>0</v>
      </c>
      <c r="I262" s="420">
        <v>0</v>
      </c>
      <c r="J262" s="420">
        <v>0</v>
      </c>
      <c r="K262" s="420">
        <v>0</v>
      </c>
      <c r="L262" s="420">
        <v>0</v>
      </c>
      <c r="M262" s="420">
        <v>0</v>
      </c>
      <c r="N262" s="417">
        <f>SUM(B262:M262)</f>
        <v>0</v>
      </c>
    </row>
    <row r="263" spans="1:16">
      <c r="A263" s="418" t="s">
        <v>20</v>
      </c>
      <c r="B263" s="423">
        <f>B258</f>
        <v>1.59</v>
      </c>
      <c r="C263" s="423">
        <f t="shared" ref="C263:M263" si="121">C258</f>
        <v>1.59</v>
      </c>
      <c r="D263" s="423">
        <f t="shared" si="121"/>
        <v>1.59</v>
      </c>
      <c r="E263" s="423">
        <f t="shared" si="121"/>
        <v>1.59</v>
      </c>
      <c r="F263" s="423">
        <f t="shared" si="121"/>
        <v>1.59</v>
      </c>
      <c r="G263" s="423">
        <f t="shared" si="121"/>
        <v>1.59</v>
      </c>
      <c r="H263" s="423">
        <f t="shared" si="121"/>
        <v>1.59</v>
      </c>
      <c r="I263" s="423">
        <f t="shared" si="121"/>
        <v>1.59</v>
      </c>
      <c r="J263" s="423">
        <f t="shared" si="121"/>
        <v>1.59</v>
      </c>
      <c r="K263" s="423">
        <f t="shared" si="121"/>
        <v>1.59</v>
      </c>
      <c r="L263" s="423">
        <f t="shared" si="121"/>
        <v>1.59</v>
      </c>
      <c r="M263" s="423">
        <f t="shared" si="121"/>
        <v>1.59</v>
      </c>
      <c r="N263" s="257"/>
    </row>
    <row r="264" spans="1:16">
      <c r="A264" s="418" t="s">
        <v>17</v>
      </c>
      <c r="B264" s="420">
        <f t="shared" ref="B264:M264" si="122">B262*B263</f>
        <v>0</v>
      </c>
      <c r="C264" s="420">
        <f t="shared" si="122"/>
        <v>0</v>
      </c>
      <c r="D264" s="420">
        <f t="shared" si="122"/>
        <v>0</v>
      </c>
      <c r="E264" s="420">
        <f t="shared" si="122"/>
        <v>0</v>
      </c>
      <c r="F264" s="420">
        <f t="shared" si="122"/>
        <v>0</v>
      </c>
      <c r="G264" s="420">
        <f t="shared" si="122"/>
        <v>0</v>
      </c>
      <c r="H264" s="420">
        <f t="shared" si="122"/>
        <v>0</v>
      </c>
      <c r="I264" s="420">
        <f t="shared" si="122"/>
        <v>0</v>
      </c>
      <c r="J264" s="420">
        <f t="shared" si="122"/>
        <v>0</v>
      </c>
      <c r="K264" s="420">
        <f t="shared" si="122"/>
        <v>0</v>
      </c>
      <c r="L264" s="420">
        <f t="shared" si="122"/>
        <v>0</v>
      </c>
      <c r="M264" s="420">
        <f t="shared" si="122"/>
        <v>0</v>
      </c>
      <c r="N264" s="421">
        <f>SUM(B264:M264)</f>
        <v>0</v>
      </c>
    </row>
    <row r="265" spans="1:16">
      <c r="A265" s="418"/>
      <c r="B265" s="420"/>
      <c r="C265" s="420"/>
      <c r="D265" s="420"/>
      <c r="E265" s="420"/>
      <c r="F265" s="420"/>
      <c r="G265" s="420"/>
      <c r="H265" s="420"/>
      <c r="I265" s="420"/>
      <c r="J265" s="420"/>
      <c r="K265" s="420"/>
      <c r="L265" s="420"/>
      <c r="M265" s="420"/>
      <c r="N265" s="421"/>
    </row>
    <row r="266" spans="1:16">
      <c r="A266" s="424" t="s">
        <v>25</v>
      </c>
      <c r="B266" s="425">
        <f>B214+B219+B224+B229+B234+B239+B259+B244+B254+B264+B249</f>
        <v>472319.04000000004</v>
      </c>
      <c r="C266" s="425">
        <f t="shared" ref="C266:M266" si="123">C214+C219+C224+C229+C234+C239+C259+C244+C254+C264+C249</f>
        <v>472319.04000000004</v>
      </c>
      <c r="D266" s="425">
        <f t="shared" si="123"/>
        <v>472319.04000000004</v>
      </c>
      <c r="E266" s="425">
        <f t="shared" si="123"/>
        <v>472319.04000000004</v>
      </c>
      <c r="F266" s="425">
        <f t="shared" si="123"/>
        <v>472319.04000000004</v>
      </c>
      <c r="G266" s="425">
        <f t="shared" si="123"/>
        <v>472319.04000000004</v>
      </c>
      <c r="H266" s="425">
        <f t="shared" si="123"/>
        <v>472319.04000000004</v>
      </c>
      <c r="I266" s="425">
        <f t="shared" si="123"/>
        <v>472319.04000000004</v>
      </c>
      <c r="J266" s="425">
        <f t="shared" si="123"/>
        <v>472319.04000000004</v>
      </c>
      <c r="K266" s="425">
        <f t="shared" si="123"/>
        <v>472319.04000000004</v>
      </c>
      <c r="L266" s="425">
        <f t="shared" si="123"/>
        <v>472319.04000000004</v>
      </c>
      <c r="M266" s="425">
        <f t="shared" si="123"/>
        <v>472319.04000000004</v>
      </c>
      <c r="N266" s="426">
        <f>SUM(B266:M266)</f>
        <v>5667828.4800000004</v>
      </c>
    </row>
    <row r="267" spans="1:16">
      <c r="A267" s="427" t="s">
        <v>60</v>
      </c>
      <c r="B267" s="432">
        <f>B212+B217+B222+B227+B232+B237+B242+B257+B252+B262+B247</f>
        <v>297056</v>
      </c>
      <c r="C267" s="432">
        <f t="shared" ref="C267:G267" si="124">C212+C217+C222+C227+C232+C237+C242+C257+C252+C262+C247</f>
        <v>297056</v>
      </c>
      <c r="D267" s="432">
        <f t="shared" si="124"/>
        <v>297056</v>
      </c>
      <c r="E267" s="432">
        <f t="shared" si="124"/>
        <v>297056</v>
      </c>
      <c r="F267" s="432">
        <f t="shared" si="124"/>
        <v>297056</v>
      </c>
      <c r="G267" s="432">
        <f t="shared" si="124"/>
        <v>297056</v>
      </c>
      <c r="H267" s="432">
        <f t="shared" ref="H267:M267" si="125">H212+H217+H222+H227+H232+H237+H242+H257+H252+H262+H247</f>
        <v>297056</v>
      </c>
      <c r="I267" s="432">
        <f t="shared" si="125"/>
        <v>297056</v>
      </c>
      <c r="J267" s="432">
        <f t="shared" si="125"/>
        <v>297056</v>
      </c>
      <c r="K267" s="432">
        <f t="shared" si="125"/>
        <v>297056</v>
      </c>
      <c r="L267" s="432">
        <f t="shared" si="125"/>
        <v>297056</v>
      </c>
      <c r="M267" s="432">
        <f t="shared" si="125"/>
        <v>297056</v>
      </c>
      <c r="N267" s="429">
        <f>SUM(B267:M267)</f>
        <v>3564672</v>
      </c>
      <c r="O267" s="28">
        <f>'TSAS Scheduling Revenue (1)'!N269</f>
        <v>3564672</v>
      </c>
      <c r="P267" s="28">
        <f>'TSAS Reactive Revenues (2)'!N269</f>
        <v>3564672</v>
      </c>
    </row>
    <row r="268" spans="1:16">
      <c r="A268" s="406">
        <f>+A208+1</f>
        <v>2018</v>
      </c>
      <c r="B268" s="407"/>
      <c r="C268" s="407"/>
      <c r="D268" s="407"/>
      <c r="E268" s="407"/>
      <c r="F268" s="407"/>
      <c r="G268" s="407"/>
      <c r="H268" s="407"/>
      <c r="I268" s="407"/>
      <c r="J268" s="407"/>
      <c r="K268" s="407"/>
      <c r="L268" s="407"/>
      <c r="M268" s="407"/>
      <c r="N268" s="408"/>
    </row>
    <row r="269" spans="1:16" ht="13.2">
      <c r="A269" s="409" t="s">
        <v>19</v>
      </c>
      <c r="B269" s="412"/>
      <c r="C269" s="412"/>
      <c r="D269" s="412"/>
      <c r="E269" s="412"/>
      <c r="F269" s="412"/>
      <c r="G269" s="412"/>
      <c r="H269" s="412"/>
      <c r="I269" s="412"/>
      <c r="J269" s="412"/>
      <c r="K269" s="412"/>
      <c r="L269" s="412"/>
      <c r="M269" s="412"/>
      <c r="N269" s="413"/>
    </row>
    <row r="270" spans="1:16" ht="5.25" customHeight="1">
      <c r="A270" s="409"/>
      <c r="B270" s="410"/>
      <c r="C270" s="410"/>
      <c r="D270" s="410"/>
      <c r="E270" s="410"/>
      <c r="F270" s="410"/>
      <c r="G270" s="410"/>
      <c r="H270" s="410"/>
      <c r="I270" s="410"/>
      <c r="J270" s="410"/>
      <c r="K270" s="410"/>
      <c r="L270" s="410"/>
      <c r="M270" s="410"/>
      <c r="N270" s="411"/>
    </row>
    <row r="271" spans="1:16">
      <c r="A271" s="414" t="s">
        <v>359</v>
      </c>
      <c r="B271" s="304"/>
      <c r="C271" s="304"/>
      <c r="D271" s="304"/>
      <c r="E271" s="304"/>
      <c r="F271" s="304"/>
      <c r="G271" s="304"/>
      <c r="H271" s="304"/>
      <c r="I271" s="304"/>
      <c r="J271" s="304"/>
      <c r="K271" s="304"/>
      <c r="L271" s="304"/>
      <c r="M271" s="304"/>
      <c r="N271" s="257"/>
      <c r="O271" s="459"/>
    </row>
    <row r="272" spans="1:16">
      <c r="A272" s="415" t="s">
        <v>16</v>
      </c>
      <c r="B272" s="416">
        <f>B212</f>
        <v>5000</v>
      </c>
      <c r="C272" s="416">
        <f>$B272</f>
        <v>5000</v>
      </c>
      <c r="D272" s="416">
        <f>$B272</f>
        <v>5000</v>
      </c>
      <c r="E272" s="416">
        <f>$B272</f>
        <v>5000</v>
      </c>
      <c r="F272" s="416">
        <f>$B272</f>
        <v>5000</v>
      </c>
      <c r="G272" s="416">
        <f t="shared" ref="G272:M272" si="126">F272</f>
        <v>5000</v>
      </c>
      <c r="H272" s="416">
        <f t="shared" si="126"/>
        <v>5000</v>
      </c>
      <c r="I272" s="416">
        <f t="shared" si="126"/>
        <v>5000</v>
      </c>
      <c r="J272" s="416">
        <f t="shared" si="126"/>
        <v>5000</v>
      </c>
      <c r="K272" s="416">
        <f t="shared" si="126"/>
        <v>5000</v>
      </c>
      <c r="L272" s="416">
        <f t="shared" si="126"/>
        <v>5000</v>
      </c>
      <c r="M272" s="416">
        <f t="shared" si="126"/>
        <v>5000</v>
      </c>
      <c r="N272" s="417">
        <f>SUM(B272:M272)</f>
        <v>60000</v>
      </c>
    </row>
    <row r="273" spans="1:15" ht="15" customHeight="1">
      <c r="A273" s="418" t="s">
        <v>20</v>
      </c>
      <c r="B273" s="419">
        <f>'Transmission Formula Rate (7)'!B16</f>
        <v>1.59</v>
      </c>
      <c r="C273" s="419">
        <f>'Transmission Formula Rate (7)'!C16</f>
        <v>1.59</v>
      </c>
      <c r="D273" s="419">
        <f>'Transmission Formula Rate (7)'!D16</f>
        <v>1.59</v>
      </c>
      <c r="E273" s="419">
        <f>'Transmission Formula Rate (7)'!E16</f>
        <v>1.59</v>
      </c>
      <c r="F273" s="419">
        <f>'Transmission Formula Rate (7)'!F16</f>
        <v>1.59</v>
      </c>
      <c r="G273" s="419">
        <f>'Transmission Formula Rate (7)'!G16</f>
        <v>1.59</v>
      </c>
      <c r="H273" s="419">
        <f>'Transmission Formula Rate (7)'!H16</f>
        <v>1.59</v>
      </c>
      <c r="I273" s="419">
        <f>'Transmission Formula Rate (7)'!I16</f>
        <v>1.59</v>
      </c>
      <c r="J273" s="419">
        <f>'Transmission Formula Rate (7)'!J16</f>
        <v>1.59</v>
      </c>
      <c r="K273" s="419">
        <f>'Transmission Formula Rate (7)'!K16</f>
        <v>1.59</v>
      </c>
      <c r="L273" s="419">
        <f>'Transmission Formula Rate (7)'!L16</f>
        <v>1.59</v>
      </c>
      <c r="M273" s="419">
        <f>'Transmission Formula Rate (7)'!M16</f>
        <v>1.59</v>
      </c>
      <c r="N273" s="257"/>
    </row>
    <row r="274" spans="1:15">
      <c r="A274" s="418" t="s">
        <v>17</v>
      </c>
      <c r="B274" s="420">
        <f t="shared" ref="B274:M274" si="127">B272*B273</f>
        <v>7950</v>
      </c>
      <c r="C274" s="420">
        <f t="shared" si="127"/>
        <v>7950</v>
      </c>
      <c r="D274" s="420">
        <f t="shared" si="127"/>
        <v>7950</v>
      </c>
      <c r="E274" s="420">
        <f t="shared" si="127"/>
        <v>7950</v>
      </c>
      <c r="F274" s="420">
        <f t="shared" si="127"/>
        <v>7950</v>
      </c>
      <c r="G274" s="420">
        <f t="shared" si="127"/>
        <v>7950</v>
      </c>
      <c r="H274" s="420">
        <f t="shared" si="127"/>
        <v>7950</v>
      </c>
      <c r="I274" s="420">
        <f t="shared" si="127"/>
        <v>7950</v>
      </c>
      <c r="J274" s="420">
        <f t="shared" si="127"/>
        <v>7950</v>
      </c>
      <c r="K274" s="420">
        <f t="shared" si="127"/>
        <v>7950</v>
      </c>
      <c r="L274" s="420">
        <f t="shared" si="127"/>
        <v>7950</v>
      </c>
      <c r="M274" s="420">
        <f t="shared" si="127"/>
        <v>7950</v>
      </c>
      <c r="N274" s="421">
        <f>SUM(B274:M274)</f>
        <v>95400</v>
      </c>
    </row>
    <row r="275" spans="1:15" ht="6.75" customHeight="1">
      <c r="A275" s="422"/>
      <c r="B275" s="304"/>
      <c r="C275" s="304"/>
      <c r="D275" s="304"/>
      <c r="E275" s="304"/>
      <c r="F275" s="304"/>
      <c r="G275" s="304"/>
      <c r="H275" s="304"/>
      <c r="I275" s="304"/>
      <c r="J275" s="304"/>
      <c r="K275" s="304"/>
      <c r="L275" s="304"/>
      <c r="M275" s="304"/>
      <c r="N275" s="257"/>
    </row>
    <row r="276" spans="1:15">
      <c r="A276" s="431"/>
      <c r="B276" s="304"/>
      <c r="C276" s="304"/>
      <c r="D276" s="304"/>
      <c r="E276" s="304"/>
      <c r="F276" s="304"/>
      <c r="G276" s="304"/>
      <c r="H276" s="304"/>
      <c r="I276" s="304"/>
      <c r="J276" s="304"/>
      <c r="K276" s="304"/>
      <c r="L276" s="304"/>
      <c r="M276" s="304"/>
      <c r="N276" s="257"/>
    </row>
    <row r="277" spans="1:15">
      <c r="A277" s="415" t="s">
        <v>16</v>
      </c>
      <c r="B277" s="416">
        <v>0</v>
      </c>
      <c r="C277" s="416">
        <v>0</v>
      </c>
      <c r="D277" s="416">
        <v>0</v>
      </c>
      <c r="E277" s="416">
        <v>0</v>
      </c>
      <c r="F277" s="416">
        <v>0</v>
      </c>
      <c r="G277" s="416">
        <v>0</v>
      </c>
      <c r="H277" s="416">
        <v>0</v>
      </c>
      <c r="I277" s="416">
        <v>0</v>
      </c>
      <c r="J277" s="416">
        <v>0</v>
      </c>
      <c r="K277" s="416">
        <v>0</v>
      </c>
      <c r="L277" s="416">
        <v>0</v>
      </c>
      <c r="M277" s="416">
        <v>0</v>
      </c>
      <c r="N277" s="417">
        <f>SUM(B277:M277)</f>
        <v>0</v>
      </c>
    </row>
    <row r="278" spans="1:15">
      <c r="A278" s="418" t="s">
        <v>20</v>
      </c>
      <c r="B278" s="419">
        <f>B273</f>
        <v>1.59</v>
      </c>
      <c r="C278" s="419">
        <f t="shared" ref="C278:M278" si="128">C273</f>
        <v>1.59</v>
      </c>
      <c r="D278" s="419">
        <f t="shared" si="128"/>
        <v>1.59</v>
      </c>
      <c r="E278" s="419">
        <f t="shared" si="128"/>
        <v>1.59</v>
      </c>
      <c r="F278" s="419">
        <f t="shared" si="128"/>
        <v>1.59</v>
      </c>
      <c r="G278" s="419">
        <f t="shared" si="128"/>
        <v>1.59</v>
      </c>
      <c r="H278" s="419">
        <f t="shared" si="128"/>
        <v>1.59</v>
      </c>
      <c r="I278" s="419">
        <f t="shared" si="128"/>
        <v>1.59</v>
      </c>
      <c r="J278" s="419">
        <f t="shared" si="128"/>
        <v>1.59</v>
      </c>
      <c r="K278" s="419">
        <f t="shared" si="128"/>
        <v>1.59</v>
      </c>
      <c r="L278" s="419">
        <f t="shared" si="128"/>
        <v>1.59</v>
      </c>
      <c r="M278" s="419">
        <f t="shared" si="128"/>
        <v>1.59</v>
      </c>
      <c r="N278" s="257"/>
    </row>
    <row r="279" spans="1:15">
      <c r="A279" s="418" t="s">
        <v>17</v>
      </c>
      <c r="B279" s="420">
        <f t="shared" ref="B279:M279" si="129">B277*B278</f>
        <v>0</v>
      </c>
      <c r="C279" s="420">
        <f t="shared" si="129"/>
        <v>0</v>
      </c>
      <c r="D279" s="420">
        <f t="shared" si="129"/>
        <v>0</v>
      </c>
      <c r="E279" s="420">
        <f t="shared" si="129"/>
        <v>0</v>
      </c>
      <c r="F279" s="420">
        <f t="shared" si="129"/>
        <v>0</v>
      </c>
      <c r="G279" s="420">
        <f t="shared" si="129"/>
        <v>0</v>
      </c>
      <c r="H279" s="420">
        <f t="shared" si="129"/>
        <v>0</v>
      </c>
      <c r="I279" s="420">
        <f t="shared" si="129"/>
        <v>0</v>
      </c>
      <c r="J279" s="420">
        <f t="shared" si="129"/>
        <v>0</v>
      </c>
      <c r="K279" s="420">
        <f t="shared" si="129"/>
        <v>0</v>
      </c>
      <c r="L279" s="420">
        <f t="shared" si="129"/>
        <v>0</v>
      </c>
      <c r="M279" s="420">
        <f t="shared" si="129"/>
        <v>0</v>
      </c>
      <c r="N279" s="421">
        <f>SUM(B279:M279)</f>
        <v>0</v>
      </c>
    </row>
    <row r="280" spans="1:15" ht="5.25" customHeight="1">
      <c r="A280" s="422"/>
      <c r="B280" s="420"/>
      <c r="C280" s="304"/>
      <c r="D280" s="304"/>
      <c r="E280" s="304"/>
      <c r="F280" s="304"/>
      <c r="G280" s="304"/>
      <c r="H280" s="304"/>
      <c r="I280" s="304"/>
      <c r="J280" s="304"/>
      <c r="K280" s="304"/>
      <c r="L280" s="304"/>
      <c r="M280" s="304"/>
      <c r="N280" s="257"/>
    </row>
    <row r="281" spans="1:15">
      <c r="A281" s="431"/>
      <c r="B281" s="304"/>
      <c r="C281" s="304"/>
      <c r="D281" s="304"/>
      <c r="E281" s="304"/>
      <c r="F281" s="304"/>
      <c r="G281" s="304"/>
      <c r="H281" s="304"/>
      <c r="I281" s="304"/>
      <c r="J281" s="304"/>
      <c r="K281" s="304"/>
      <c r="L281" s="304"/>
      <c r="M281" s="304"/>
      <c r="N281" s="257"/>
    </row>
    <row r="282" spans="1:15">
      <c r="A282" s="415" t="s">
        <v>16</v>
      </c>
      <c r="B282" s="416">
        <v>0</v>
      </c>
      <c r="C282" s="416">
        <v>0</v>
      </c>
      <c r="D282" s="416">
        <v>0</v>
      </c>
      <c r="E282" s="416">
        <v>0</v>
      </c>
      <c r="F282" s="416">
        <v>0</v>
      </c>
      <c r="G282" s="416">
        <v>0</v>
      </c>
      <c r="H282" s="416">
        <v>0</v>
      </c>
      <c r="I282" s="416">
        <v>0</v>
      </c>
      <c r="J282" s="416">
        <v>0</v>
      </c>
      <c r="K282" s="416">
        <v>0</v>
      </c>
      <c r="L282" s="416">
        <v>0</v>
      </c>
      <c r="M282" s="416">
        <v>0</v>
      </c>
      <c r="N282" s="417">
        <f>SUM(B282:M282)</f>
        <v>0</v>
      </c>
    </row>
    <row r="283" spans="1:15">
      <c r="A283" s="418" t="s">
        <v>20</v>
      </c>
      <c r="B283" s="423">
        <f>B278</f>
        <v>1.59</v>
      </c>
      <c r="C283" s="423">
        <f t="shared" ref="C283:M283" si="130">C278</f>
        <v>1.59</v>
      </c>
      <c r="D283" s="423">
        <f t="shared" si="130"/>
        <v>1.59</v>
      </c>
      <c r="E283" s="423">
        <f t="shared" si="130"/>
        <v>1.59</v>
      </c>
      <c r="F283" s="423">
        <f t="shared" si="130"/>
        <v>1.59</v>
      </c>
      <c r="G283" s="423">
        <f t="shared" si="130"/>
        <v>1.59</v>
      </c>
      <c r="H283" s="423">
        <f t="shared" si="130"/>
        <v>1.59</v>
      </c>
      <c r="I283" s="423">
        <f t="shared" si="130"/>
        <v>1.59</v>
      </c>
      <c r="J283" s="423">
        <f t="shared" si="130"/>
        <v>1.59</v>
      </c>
      <c r="K283" s="423">
        <f t="shared" si="130"/>
        <v>1.59</v>
      </c>
      <c r="L283" s="423">
        <f t="shared" si="130"/>
        <v>1.59</v>
      </c>
      <c r="M283" s="423">
        <f t="shared" si="130"/>
        <v>1.59</v>
      </c>
      <c r="N283" s="257"/>
    </row>
    <row r="284" spans="1:15">
      <c r="A284" s="418" t="s">
        <v>17</v>
      </c>
      <c r="B284" s="420">
        <f t="shared" ref="B284:M284" si="131">B282*B283</f>
        <v>0</v>
      </c>
      <c r="C284" s="420">
        <f t="shared" si="131"/>
        <v>0</v>
      </c>
      <c r="D284" s="420">
        <f t="shared" si="131"/>
        <v>0</v>
      </c>
      <c r="E284" s="420">
        <f t="shared" si="131"/>
        <v>0</v>
      </c>
      <c r="F284" s="420">
        <f t="shared" si="131"/>
        <v>0</v>
      </c>
      <c r="G284" s="420">
        <f t="shared" si="131"/>
        <v>0</v>
      </c>
      <c r="H284" s="420">
        <f t="shared" si="131"/>
        <v>0</v>
      </c>
      <c r="I284" s="420">
        <f t="shared" si="131"/>
        <v>0</v>
      </c>
      <c r="J284" s="420">
        <f t="shared" si="131"/>
        <v>0</v>
      </c>
      <c r="K284" s="420">
        <f t="shared" si="131"/>
        <v>0</v>
      </c>
      <c r="L284" s="420">
        <f t="shared" si="131"/>
        <v>0</v>
      </c>
      <c r="M284" s="420">
        <f t="shared" si="131"/>
        <v>0</v>
      </c>
      <c r="N284" s="421">
        <f>SUM(B284:M284)</f>
        <v>0</v>
      </c>
    </row>
    <row r="285" spans="1:15" ht="5.25" customHeight="1">
      <c r="A285" s="422"/>
      <c r="B285" s="420"/>
      <c r="C285" s="304"/>
      <c r="D285" s="304"/>
      <c r="E285" s="304"/>
      <c r="F285" s="304"/>
      <c r="G285" s="304"/>
      <c r="H285" s="304"/>
      <c r="I285" s="304"/>
      <c r="J285" s="304"/>
      <c r="K285" s="304"/>
      <c r="L285" s="304"/>
      <c r="M285" s="304"/>
      <c r="N285" s="257"/>
    </row>
    <row r="286" spans="1:15">
      <c r="A286" s="414" t="s">
        <v>23</v>
      </c>
      <c r="B286" s="304"/>
      <c r="C286" s="304"/>
      <c r="D286" s="304"/>
      <c r="E286" s="304"/>
      <c r="F286" s="304"/>
      <c r="G286" s="304"/>
      <c r="H286" s="304"/>
      <c r="I286" s="304"/>
      <c r="J286" s="304"/>
      <c r="K286" s="304"/>
      <c r="L286" s="304"/>
      <c r="M286" s="304"/>
      <c r="N286" s="257"/>
      <c r="O286" s="459"/>
    </row>
    <row r="287" spans="1:15">
      <c r="A287" s="415" t="s">
        <v>16</v>
      </c>
      <c r="B287" s="416">
        <f>B227</f>
        <v>37056</v>
      </c>
      <c r="C287" s="416">
        <f t="shared" ref="C287:M287" si="132">C227</f>
        <v>37056</v>
      </c>
      <c r="D287" s="416">
        <f t="shared" si="132"/>
        <v>37056</v>
      </c>
      <c r="E287" s="416">
        <f t="shared" si="132"/>
        <v>37056</v>
      </c>
      <c r="F287" s="416">
        <f t="shared" si="132"/>
        <v>37056</v>
      </c>
      <c r="G287" s="416">
        <f t="shared" si="132"/>
        <v>37056</v>
      </c>
      <c r="H287" s="416">
        <f t="shared" si="132"/>
        <v>37056</v>
      </c>
      <c r="I287" s="416">
        <f t="shared" si="132"/>
        <v>37056</v>
      </c>
      <c r="J287" s="416">
        <f t="shared" si="132"/>
        <v>37056</v>
      </c>
      <c r="K287" s="416">
        <f t="shared" si="132"/>
        <v>37056</v>
      </c>
      <c r="L287" s="416">
        <f t="shared" si="132"/>
        <v>37056</v>
      </c>
      <c r="M287" s="416">
        <f t="shared" si="132"/>
        <v>37056</v>
      </c>
      <c r="N287" s="417">
        <f>SUM(B287:M287)</f>
        <v>444672</v>
      </c>
    </row>
    <row r="288" spans="1:15">
      <c r="A288" s="418" t="s">
        <v>20</v>
      </c>
      <c r="B288" s="423">
        <f>B283</f>
        <v>1.59</v>
      </c>
      <c r="C288" s="423">
        <f t="shared" ref="C288:M288" si="133">C283</f>
        <v>1.59</v>
      </c>
      <c r="D288" s="423">
        <f t="shared" si="133"/>
        <v>1.59</v>
      </c>
      <c r="E288" s="423">
        <f t="shared" si="133"/>
        <v>1.59</v>
      </c>
      <c r="F288" s="423">
        <f t="shared" si="133"/>
        <v>1.59</v>
      </c>
      <c r="G288" s="423">
        <f t="shared" si="133"/>
        <v>1.59</v>
      </c>
      <c r="H288" s="423">
        <f t="shared" si="133"/>
        <v>1.59</v>
      </c>
      <c r="I288" s="423">
        <f t="shared" si="133"/>
        <v>1.59</v>
      </c>
      <c r="J288" s="423">
        <f t="shared" si="133"/>
        <v>1.59</v>
      </c>
      <c r="K288" s="423">
        <f t="shared" si="133"/>
        <v>1.59</v>
      </c>
      <c r="L288" s="423">
        <f t="shared" si="133"/>
        <v>1.59</v>
      </c>
      <c r="M288" s="423">
        <f t="shared" si="133"/>
        <v>1.59</v>
      </c>
      <c r="N288" s="257"/>
    </row>
    <row r="289" spans="1:15" ht="12" customHeight="1">
      <c r="A289" s="418" t="s">
        <v>17</v>
      </c>
      <c r="B289" s="420">
        <f t="shared" ref="B289:M289" si="134">B287*B288</f>
        <v>58919.040000000001</v>
      </c>
      <c r="C289" s="420">
        <f t="shared" si="134"/>
        <v>58919.040000000001</v>
      </c>
      <c r="D289" s="420">
        <f t="shared" si="134"/>
        <v>58919.040000000001</v>
      </c>
      <c r="E289" s="420">
        <f t="shared" si="134"/>
        <v>58919.040000000001</v>
      </c>
      <c r="F289" s="420">
        <f t="shared" si="134"/>
        <v>58919.040000000001</v>
      </c>
      <c r="G289" s="420">
        <f t="shared" si="134"/>
        <v>58919.040000000001</v>
      </c>
      <c r="H289" s="420">
        <f t="shared" si="134"/>
        <v>58919.040000000001</v>
      </c>
      <c r="I289" s="420">
        <f t="shared" si="134"/>
        <v>58919.040000000001</v>
      </c>
      <c r="J289" s="420">
        <f t="shared" si="134"/>
        <v>58919.040000000001</v>
      </c>
      <c r="K289" s="420">
        <f t="shared" si="134"/>
        <v>58919.040000000001</v>
      </c>
      <c r="L289" s="420">
        <f t="shared" si="134"/>
        <v>58919.040000000001</v>
      </c>
      <c r="M289" s="420">
        <f t="shared" si="134"/>
        <v>58919.040000000001</v>
      </c>
      <c r="N289" s="421">
        <f>SUM(B289:M289)</f>
        <v>707028.4800000001</v>
      </c>
    </row>
    <row r="290" spans="1:15" ht="15.75" customHeight="1">
      <c r="A290" s="422"/>
      <c r="B290" s="420"/>
      <c r="C290" s="304"/>
      <c r="D290" s="304"/>
      <c r="E290" s="304"/>
      <c r="F290" s="304"/>
      <c r="G290" s="304"/>
      <c r="H290" s="304"/>
      <c r="I290" s="304"/>
      <c r="J290" s="304"/>
      <c r="K290" s="304"/>
      <c r="L290" s="304"/>
      <c r="M290" s="304"/>
      <c r="N290" s="257"/>
    </row>
    <row r="291" spans="1:15">
      <c r="A291" s="414" t="s">
        <v>24</v>
      </c>
      <c r="B291" s="304"/>
      <c r="C291" s="304"/>
      <c r="D291" s="304"/>
      <c r="E291" s="304"/>
      <c r="F291" s="304"/>
      <c r="G291" s="304"/>
      <c r="H291" s="304"/>
      <c r="I291" s="304"/>
      <c r="J291" s="304"/>
      <c r="K291" s="304"/>
      <c r="L291" s="304"/>
      <c r="M291" s="304"/>
      <c r="N291" s="257"/>
      <c r="O291" s="459"/>
    </row>
    <row r="292" spans="1:15">
      <c r="A292" s="415" t="s">
        <v>16</v>
      </c>
      <c r="B292" s="416">
        <v>62000</v>
      </c>
      <c r="C292" s="416">
        <v>62000</v>
      </c>
      <c r="D292" s="416">
        <v>62000</v>
      </c>
      <c r="E292" s="416">
        <v>62000</v>
      </c>
      <c r="F292" s="416">
        <v>62000</v>
      </c>
      <c r="G292" s="416">
        <v>62000</v>
      </c>
      <c r="H292" s="416">
        <v>62000</v>
      </c>
      <c r="I292" s="416">
        <v>62000</v>
      </c>
      <c r="J292" s="416">
        <v>62000</v>
      </c>
      <c r="K292" s="416">
        <v>62000</v>
      </c>
      <c r="L292" s="416">
        <v>62000</v>
      </c>
      <c r="M292" s="416">
        <v>62000</v>
      </c>
      <c r="N292" s="417">
        <f>SUM(B292:M292)</f>
        <v>744000</v>
      </c>
    </row>
    <row r="293" spans="1:15">
      <c r="A293" s="418" t="s">
        <v>20</v>
      </c>
      <c r="B293" s="423">
        <f>B288</f>
        <v>1.59</v>
      </c>
      <c r="C293" s="423">
        <f t="shared" ref="C293:M293" si="135">C288</f>
        <v>1.59</v>
      </c>
      <c r="D293" s="423">
        <f t="shared" si="135"/>
        <v>1.59</v>
      </c>
      <c r="E293" s="423">
        <f t="shared" si="135"/>
        <v>1.59</v>
      </c>
      <c r="F293" s="423">
        <f t="shared" si="135"/>
        <v>1.59</v>
      </c>
      <c r="G293" s="423">
        <f t="shared" si="135"/>
        <v>1.59</v>
      </c>
      <c r="H293" s="423">
        <f t="shared" si="135"/>
        <v>1.59</v>
      </c>
      <c r="I293" s="423">
        <f t="shared" si="135"/>
        <v>1.59</v>
      </c>
      <c r="J293" s="423">
        <f t="shared" si="135"/>
        <v>1.59</v>
      </c>
      <c r="K293" s="423">
        <f t="shared" si="135"/>
        <v>1.59</v>
      </c>
      <c r="L293" s="423">
        <f t="shared" si="135"/>
        <v>1.59</v>
      </c>
      <c r="M293" s="423">
        <f t="shared" si="135"/>
        <v>1.59</v>
      </c>
      <c r="N293" s="257"/>
    </row>
    <row r="294" spans="1:15">
      <c r="A294" s="418" t="s">
        <v>17</v>
      </c>
      <c r="B294" s="420">
        <f t="shared" ref="B294:M294" si="136">B292*B293</f>
        <v>98580</v>
      </c>
      <c r="C294" s="420">
        <f t="shared" si="136"/>
        <v>98580</v>
      </c>
      <c r="D294" s="420">
        <f t="shared" si="136"/>
        <v>98580</v>
      </c>
      <c r="E294" s="420">
        <f t="shared" si="136"/>
        <v>98580</v>
      </c>
      <c r="F294" s="420">
        <f t="shared" si="136"/>
        <v>98580</v>
      </c>
      <c r="G294" s="420">
        <f t="shared" si="136"/>
        <v>98580</v>
      </c>
      <c r="H294" s="420">
        <f t="shared" si="136"/>
        <v>98580</v>
      </c>
      <c r="I294" s="420">
        <f t="shared" si="136"/>
        <v>98580</v>
      </c>
      <c r="J294" s="420">
        <f t="shared" si="136"/>
        <v>98580</v>
      </c>
      <c r="K294" s="420">
        <f t="shared" si="136"/>
        <v>98580</v>
      </c>
      <c r="L294" s="420">
        <f t="shared" si="136"/>
        <v>98580</v>
      </c>
      <c r="M294" s="420">
        <f t="shared" si="136"/>
        <v>98580</v>
      </c>
      <c r="N294" s="421">
        <f>SUM(B294:M294)</f>
        <v>1182960</v>
      </c>
    </row>
    <row r="295" spans="1:15" ht="7.5" customHeight="1">
      <c r="A295" s="418"/>
      <c r="B295" s="420"/>
      <c r="C295" s="420"/>
      <c r="D295" s="420"/>
      <c r="E295" s="420"/>
      <c r="F295" s="420"/>
      <c r="G295" s="420"/>
      <c r="H295" s="420"/>
      <c r="I295" s="420"/>
      <c r="J295" s="420"/>
      <c r="K295" s="420"/>
      <c r="L295" s="420"/>
      <c r="M295" s="420"/>
      <c r="N295" s="421"/>
    </row>
    <row r="296" spans="1:15">
      <c r="A296" s="414" t="s">
        <v>116</v>
      </c>
      <c r="B296" s="304"/>
      <c r="C296" s="304"/>
      <c r="D296" s="304"/>
      <c r="E296" s="304"/>
      <c r="F296" s="304"/>
      <c r="G296" s="304"/>
      <c r="H296" s="304"/>
      <c r="I296" s="304"/>
      <c r="J296" s="304"/>
      <c r="K296" s="304"/>
      <c r="L296" s="304"/>
      <c r="M296" s="304"/>
      <c r="N296" s="257"/>
      <c r="O296" s="459"/>
    </row>
    <row r="297" spans="1:15">
      <c r="A297" s="415" t="s">
        <v>16</v>
      </c>
      <c r="B297" s="416">
        <v>40000</v>
      </c>
      <c r="C297" s="416">
        <f>B297</f>
        <v>40000</v>
      </c>
      <c r="D297" s="416">
        <f t="shared" ref="D297:M297" si="137">C297</f>
        <v>40000</v>
      </c>
      <c r="E297" s="416">
        <f t="shared" si="137"/>
        <v>40000</v>
      </c>
      <c r="F297" s="416">
        <f t="shared" si="137"/>
        <v>40000</v>
      </c>
      <c r="G297" s="416">
        <f t="shared" si="137"/>
        <v>40000</v>
      </c>
      <c r="H297" s="416">
        <f t="shared" si="137"/>
        <v>40000</v>
      </c>
      <c r="I297" s="416">
        <f t="shared" si="137"/>
        <v>40000</v>
      </c>
      <c r="J297" s="416">
        <f t="shared" si="137"/>
        <v>40000</v>
      </c>
      <c r="K297" s="416">
        <f t="shared" si="137"/>
        <v>40000</v>
      </c>
      <c r="L297" s="416">
        <f t="shared" si="137"/>
        <v>40000</v>
      </c>
      <c r="M297" s="416">
        <f t="shared" si="137"/>
        <v>40000</v>
      </c>
      <c r="N297" s="417">
        <f>SUM(B297:M297)</f>
        <v>480000</v>
      </c>
    </row>
    <row r="298" spans="1:15">
      <c r="A298" s="418" t="s">
        <v>20</v>
      </c>
      <c r="B298" s="423">
        <f>B293</f>
        <v>1.59</v>
      </c>
      <c r="C298" s="423">
        <f t="shared" ref="C298:M298" si="138">C293</f>
        <v>1.59</v>
      </c>
      <c r="D298" s="423">
        <f t="shared" si="138"/>
        <v>1.59</v>
      </c>
      <c r="E298" s="423">
        <f t="shared" si="138"/>
        <v>1.59</v>
      </c>
      <c r="F298" s="423">
        <f t="shared" si="138"/>
        <v>1.59</v>
      </c>
      <c r="G298" s="423">
        <f t="shared" si="138"/>
        <v>1.59</v>
      </c>
      <c r="H298" s="423">
        <f t="shared" si="138"/>
        <v>1.59</v>
      </c>
      <c r="I298" s="423">
        <f t="shared" si="138"/>
        <v>1.59</v>
      </c>
      <c r="J298" s="423">
        <f t="shared" si="138"/>
        <v>1.59</v>
      </c>
      <c r="K298" s="423">
        <f t="shared" si="138"/>
        <v>1.59</v>
      </c>
      <c r="L298" s="423">
        <f t="shared" si="138"/>
        <v>1.59</v>
      </c>
      <c r="M298" s="423">
        <f t="shared" si="138"/>
        <v>1.59</v>
      </c>
      <c r="N298" s="257"/>
    </row>
    <row r="299" spans="1:15">
      <c r="A299" s="418" t="s">
        <v>17</v>
      </c>
      <c r="B299" s="420">
        <f t="shared" ref="B299:M299" si="139">B297*B298</f>
        <v>63600</v>
      </c>
      <c r="C299" s="420">
        <f t="shared" si="139"/>
        <v>63600</v>
      </c>
      <c r="D299" s="420">
        <f t="shared" si="139"/>
        <v>63600</v>
      </c>
      <c r="E299" s="420">
        <f t="shared" si="139"/>
        <v>63600</v>
      </c>
      <c r="F299" s="420">
        <f t="shared" si="139"/>
        <v>63600</v>
      </c>
      <c r="G299" s="420">
        <f t="shared" si="139"/>
        <v>63600</v>
      </c>
      <c r="H299" s="420">
        <f t="shared" si="139"/>
        <v>63600</v>
      </c>
      <c r="I299" s="420">
        <f t="shared" si="139"/>
        <v>63600</v>
      </c>
      <c r="J299" s="420">
        <f t="shared" si="139"/>
        <v>63600</v>
      </c>
      <c r="K299" s="420">
        <f t="shared" si="139"/>
        <v>63600</v>
      </c>
      <c r="L299" s="420">
        <f t="shared" si="139"/>
        <v>63600</v>
      </c>
      <c r="M299" s="420">
        <f t="shared" si="139"/>
        <v>63600</v>
      </c>
      <c r="N299" s="421">
        <f>SUM(B299:M299)</f>
        <v>763200</v>
      </c>
    </row>
    <row r="300" spans="1:15" ht="6" customHeight="1">
      <c r="A300" s="418"/>
      <c r="B300" s="420"/>
      <c r="C300" s="420"/>
      <c r="D300" s="420"/>
      <c r="E300" s="420"/>
      <c r="F300" s="420"/>
      <c r="G300" s="420"/>
      <c r="H300" s="420"/>
      <c r="I300" s="420"/>
      <c r="J300" s="420"/>
      <c r="K300" s="420"/>
      <c r="L300" s="420"/>
      <c r="M300" s="420"/>
      <c r="N300" s="421"/>
    </row>
    <row r="301" spans="1:15" s="20" customFormat="1" ht="10.199999999999999">
      <c r="A301" s="414" t="s">
        <v>237</v>
      </c>
      <c r="B301" s="304"/>
      <c r="C301" s="304"/>
      <c r="D301" s="304"/>
      <c r="E301" s="304"/>
      <c r="F301" s="304"/>
      <c r="G301" s="304"/>
      <c r="H301" s="304"/>
      <c r="I301" s="304"/>
      <c r="J301" s="304"/>
      <c r="K301" s="304"/>
      <c r="L301" s="304"/>
      <c r="M301" s="304"/>
      <c r="N301" s="257"/>
    </row>
    <row r="302" spans="1:15" s="20" customFormat="1" ht="10.199999999999999">
      <c r="A302" s="415" t="s">
        <v>16</v>
      </c>
      <c r="B302" s="416">
        <v>3000</v>
      </c>
      <c r="C302" s="416">
        <f t="shared" ref="C302:M302" si="140">B302</f>
        <v>3000</v>
      </c>
      <c r="D302" s="416">
        <f t="shared" si="140"/>
        <v>3000</v>
      </c>
      <c r="E302" s="416">
        <f t="shared" si="140"/>
        <v>3000</v>
      </c>
      <c r="F302" s="416">
        <f t="shared" si="140"/>
        <v>3000</v>
      </c>
      <c r="G302" s="416">
        <f t="shared" si="140"/>
        <v>3000</v>
      </c>
      <c r="H302" s="416">
        <f t="shared" si="140"/>
        <v>3000</v>
      </c>
      <c r="I302" s="416">
        <f t="shared" si="140"/>
        <v>3000</v>
      </c>
      <c r="J302" s="416">
        <f t="shared" si="140"/>
        <v>3000</v>
      </c>
      <c r="K302" s="416">
        <f t="shared" si="140"/>
        <v>3000</v>
      </c>
      <c r="L302" s="416">
        <f t="shared" si="140"/>
        <v>3000</v>
      </c>
      <c r="M302" s="416">
        <f t="shared" si="140"/>
        <v>3000</v>
      </c>
      <c r="N302" s="417">
        <f>SUM(B302:M302)</f>
        <v>36000</v>
      </c>
    </row>
    <row r="303" spans="1:15" s="20" customFormat="1" ht="10.199999999999999">
      <c r="A303" s="418" t="s">
        <v>20</v>
      </c>
      <c r="B303" s="423">
        <f>B298</f>
        <v>1.59</v>
      </c>
      <c r="C303" s="423">
        <f t="shared" ref="C303:M303" si="141">C298</f>
        <v>1.59</v>
      </c>
      <c r="D303" s="423">
        <f t="shared" si="141"/>
        <v>1.59</v>
      </c>
      <c r="E303" s="423">
        <f t="shared" si="141"/>
        <v>1.59</v>
      </c>
      <c r="F303" s="423">
        <f t="shared" si="141"/>
        <v>1.59</v>
      </c>
      <c r="G303" s="423">
        <f t="shared" si="141"/>
        <v>1.59</v>
      </c>
      <c r="H303" s="423">
        <f t="shared" si="141"/>
        <v>1.59</v>
      </c>
      <c r="I303" s="423">
        <f t="shared" si="141"/>
        <v>1.59</v>
      </c>
      <c r="J303" s="423">
        <f t="shared" si="141"/>
        <v>1.59</v>
      </c>
      <c r="K303" s="423">
        <f t="shared" si="141"/>
        <v>1.59</v>
      </c>
      <c r="L303" s="423">
        <f t="shared" si="141"/>
        <v>1.59</v>
      </c>
      <c r="M303" s="423">
        <f t="shared" si="141"/>
        <v>1.59</v>
      </c>
      <c r="N303" s="257"/>
    </row>
    <row r="304" spans="1:15" s="20" customFormat="1" ht="10.199999999999999">
      <c r="A304" s="418" t="s">
        <v>17</v>
      </c>
      <c r="B304" s="420">
        <f t="shared" ref="B304:M304" si="142">B302*B303</f>
        <v>4770</v>
      </c>
      <c r="C304" s="420">
        <f t="shared" si="142"/>
        <v>4770</v>
      </c>
      <c r="D304" s="420">
        <f t="shared" si="142"/>
        <v>4770</v>
      </c>
      <c r="E304" s="420">
        <f t="shared" si="142"/>
        <v>4770</v>
      </c>
      <c r="F304" s="420">
        <f t="shared" si="142"/>
        <v>4770</v>
      </c>
      <c r="G304" s="420">
        <f t="shared" si="142"/>
        <v>4770</v>
      </c>
      <c r="H304" s="420">
        <f t="shared" si="142"/>
        <v>4770</v>
      </c>
      <c r="I304" s="420">
        <f t="shared" si="142"/>
        <v>4770</v>
      </c>
      <c r="J304" s="420">
        <f t="shared" si="142"/>
        <v>4770</v>
      </c>
      <c r="K304" s="420">
        <f t="shared" si="142"/>
        <v>4770</v>
      </c>
      <c r="L304" s="420">
        <f t="shared" si="142"/>
        <v>4770</v>
      </c>
      <c r="M304" s="420">
        <f t="shared" si="142"/>
        <v>4770</v>
      </c>
      <c r="N304" s="421">
        <f>SUM(B304:M304)</f>
        <v>57240</v>
      </c>
    </row>
    <row r="305" spans="1:15" s="20" customFormat="1" ht="10.199999999999999">
      <c r="A305" s="418"/>
      <c r="B305" s="420"/>
      <c r="C305" s="420"/>
      <c r="D305" s="420"/>
      <c r="E305" s="420"/>
      <c r="F305" s="420"/>
      <c r="G305" s="420"/>
      <c r="H305" s="420"/>
      <c r="I305" s="420"/>
      <c r="J305" s="420"/>
      <c r="K305" s="420"/>
      <c r="L305" s="420"/>
      <c r="M305" s="420"/>
      <c r="N305" s="421"/>
    </row>
    <row r="306" spans="1:15">
      <c r="A306" s="414" t="s">
        <v>179</v>
      </c>
      <c r="B306" s="304"/>
      <c r="C306" s="304"/>
      <c r="D306" s="304"/>
      <c r="E306" s="304"/>
      <c r="F306" s="304"/>
      <c r="G306" s="304"/>
      <c r="H306" s="304"/>
      <c r="I306" s="304"/>
      <c r="J306" s="304"/>
      <c r="K306" s="304"/>
      <c r="L306" s="304"/>
      <c r="M306" s="304"/>
      <c r="N306" s="257"/>
      <c r="O306" s="459"/>
    </row>
    <row r="307" spans="1:15">
      <c r="A307" s="415" t="s">
        <v>16</v>
      </c>
      <c r="B307" s="416"/>
      <c r="C307" s="416"/>
      <c r="D307" s="416"/>
      <c r="E307" s="416"/>
      <c r="F307" s="416"/>
      <c r="G307" s="416"/>
      <c r="H307" s="416"/>
      <c r="I307" s="416"/>
      <c r="J307" s="416"/>
      <c r="K307" s="416"/>
      <c r="L307" s="416"/>
      <c r="M307" s="416"/>
      <c r="N307" s="417">
        <f>SUM(B307:M307)</f>
        <v>0</v>
      </c>
    </row>
    <row r="308" spans="1:15">
      <c r="A308" s="418" t="s">
        <v>20</v>
      </c>
      <c r="B308" s="423">
        <f>B298</f>
        <v>1.59</v>
      </c>
      <c r="C308" s="423">
        <f t="shared" ref="C308:M308" si="143">C298</f>
        <v>1.59</v>
      </c>
      <c r="D308" s="423">
        <f t="shared" si="143"/>
        <v>1.59</v>
      </c>
      <c r="E308" s="423">
        <f t="shared" si="143"/>
        <v>1.59</v>
      </c>
      <c r="F308" s="423">
        <f t="shared" si="143"/>
        <v>1.59</v>
      </c>
      <c r="G308" s="423">
        <f t="shared" si="143"/>
        <v>1.59</v>
      </c>
      <c r="H308" s="423">
        <f t="shared" si="143"/>
        <v>1.59</v>
      </c>
      <c r="I308" s="423">
        <f t="shared" si="143"/>
        <v>1.59</v>
      </c>
      <c r="J308" s="423">
        <f t="shared" si="143"/>
        <v>1.59</v>
      </c>
      <c r="K308" s="423">
        <f t="shared" si="143"/>
        <v>1.59</v>
      </c>
      <c r="L308" s="423">
        <f t="shared" si="143"/>
        <v>1.59</v>
      </c>
      <c r="M308" s="423">
        <f t="shared" si="143"/>
        <v>1.59</v>
      </c>
      <c r="N308" s="257"/>
    </row>
    <row r="309" spans="1:15">
      <c r="A309" s="418" t="s">
        <v>17</v>
      </c>
      <c r="B309" s="420">
        <f t="shared" ref="B309:M309" si="144">B307*B308</f>
        <v>0</v>
      </c>
      <c r="C309" s="420">
        <f t="shared" si="144"/>
        <v>0</v>
      </c>
      <c r="D309" s="420">
        <f t="shared" si="144"/>
        <v>0</v>
      </c>
      <c r="E309" s="420">
        <f t="shared" si="144"/>
        <v>0</v>
      </c>
      <c r="F309" s="420">
        <f t="shared" si="144"/>
        <v>0</v>
      </c>
      <c r="G309" s="420">
        <f t="shared" si="144"/>
        <v>0</v>
      </c>
      <c r="H309" s="420">
        <f t="shared" si="144"/>
        <v>0</v>
      </c>
      <c r="I309" s="420">
        <f t="shared" si="144"/>
        <v>0</v>
      </c>
      <c r="J309" s="420">
        <f t="shared" si="144"/>
        <v>0</v>
      </c>
      <c r="K309" s="420">
        <f t="shared" si="144"/>
        <v>0</v>
      </c>
      <c r="L309" s="420">
        <f t="shared" si="144"/>
        <v>0</v>
      </c>
      <c r="M309" s="420">
        <f t="shared" si="144"/>
        <v>0</v>
      </c>
      <c r="N309" s="421">
        <f>SUM(B309:M309)</f>
        <v>0</v>
      </c>
    </row>
    <row r="310" spans="1:15" ht="6" customHeight="1">
      <c r="A310" s="418"/>
      <c r="B310" s="420"/>
      <c r="C310" s="420"/>
      <c r="D310" s="420"/>
      <c r="E310" s="420"/>
      <c r="F310" s="420"/>
      <c r="G310" s="420"/>
      <c r="H310" s="420"/>
      <c r="I310" s="420"/>
      <c r="J310" s="420"/>
      <c r="K310" s="420"/>
      <c r="L310" s="420"/>
      <c r="M310" s="420"/>
      <c r="N310" s="421"/>
    </row>
    <row r="311" spans="1:15">
      <c r="A311" s="414" t="s">
        <v>44</v>
      </c>
      <c r="B311" s="304"/>
      <c r="C311" s="304"/>
      <c r="D311" s="304"/>
      <c r="E311" s="304"/>
      <c r="F311" s="304"/>
      <c r="G311" s="304"/>
      <c r="H311" s="304"/>
      <c r="I311" s="304"/>
      <c r="J311" s="304"/>
      <c r="K311" s="304"/>
      <c r="L311" s="304"/>
      <c r="M311" s="304"/>
      <c r="N311" s="257"/>
      <c r="O311" s="459"/>
    </row>
    <row r="312" spans="1:15">
      <c r="A312" s="415" t="s">
        <v>16</v>
      </c>
      <c r="B312" s="416"/>
      <c r="C312" s="416"/>
      <c r="D312" s="416"/>
      <c r="E312" s="416"/>
      <c r="F312" s="416"/>
      <c r="G312" s="416"/>
      <c r="H312" s="416"/>
      <c r="I312" s="416"/>
      <c r="J312" s="416"/>
      <c r="K312" s="416"/>
      <c r="L312" s="416"/>
      <c r="M312" s="416"/>
      <c r="N312" s="417">
        <f>SUM(B312:M312)</f>
        <v>0</v>
      </c>
    </row>
    <row r="313" spans="1:15">
      <c r="A313" s="418" t="s">
        <v>20</v>
      </c>
      <c r="B313" s="423">
        <f>B308</f>
        <v>1.59</v>
      </c>
      <c r="C313" s="423">
        <f t="shared" ref="C313:M313" si="145">C308</f>
        <v>1.59</v>
      </c>
      <c r="D313" s="423">
        <f t="shared" si="145"/>
        <v>1.59</v>
      </c>
      <c r="E313" s="423">
        <f t="shared" si="145"/>
        <v>1.59</v>
      </c>
      <c r="F313" s="423">
        <f t="shared" si="145"/>
        <v>1.59</v>
      </c>
      <c r="G313" s="423">
        <f t="shared" si="145"/>
        <v>1.59</v>
      </c>
      <c r="H313" s="423">
        <f t="shared" si="145"/>
        <v>1.59</v>
      </c>
      <c r="I313" s="423">
        <f t="shared" si="145"/>
        <v>1.59</v>
      </c>
      <c r="J313" s="423">
        <f t="shared" si="145"/>
        <v>1.59</v>
      </c>
      <c r="K313" s="423">
        <f t="shared" si="145"/>
        <v>1.59</v>
      </c>
      <c r="L313" s="423">
        <f t="shared" si="145"/>
        <v>1.59</v>
      </c>
      <c r="M313" s="423">
        <f t="shared" si="145"/>
        <v>1.59</v>
      </c>
      <c r="N313" s="257"/>
    </row>
    <row r="314" spans="1:15">
      <c r="A314" s="418" t="s">
        <v>17</v>
      </c>
      <c r="B314" s="420">
        <f t="shared" ref="B314:M314" si="146">B312*B313</f>
        <v>0</v>
      </c>
      <c r="C314" s="420">
        <f t="shared" si="146"/>
        <v>0</v>
      </c>
      <c r="D314" s="420">
        <f t="shared" si="146"/>
        <v>0</v>
      </c>
      <c r="E314" s="420">
        <f t="shared" si="146"/>
        <v>0</v>
      </c>
      <c r="F314" s="420">
        <f t="shared" si="146"/>
        <v>0</v>
      </c>
      <c r="G314" s="420">
        <f t="shared" si="146"/>
        <v>0</v>
      </c>
      <c r="H314" s="420">
        <f t="shared" si="146"/>
        <v>0</v>
      </c>
      <c r="I314" s="420">
        <f t="shared" si="146"/>
        <v>0</v>
      </c>
      <c r="J314" s="420">
        <f t="shared" si="146"/>
        <v>0</v>
      </c>
      <c r="K314" s="420">
        <f t="shared" si="146"/>
        <v>0</v>
      </c>
      <c r="L314" s="420">
        <f t="shared" si="146"/>
        <v>0</v>
      </c>
      <c r="M314" s="420">
        <f t="shared" si="146"/>
        <v>0</v>
      </c>
      <c r="N314" s="421">
        <f>SUM(B314:M314)</f>
        <v>0</v>
      </c>
    </row>
    <row r="315" spans="1:15" ht="6" customHeight="1">
      <c r="A315" s="418"/>
      <c r="B315" s="420"/>
      <c r="C315" s="420"/>
      <c r="D315" s="420"/>
      <c r="E315" s="420"/>
      <c r="F315" s="420"/>
      <c r="G315" s="420"/>
      <c r="H315" s="420"/>
      <c r="I315" s="420"/>
      <c r="J315" s="420"/>
      <c r="K315" s="420"/>
      <c r="L315" s="420"/>
      <c r="M315" s="420"/>
      <c r="N315" s="421"/>
    </row>
    <row r="316" spans="1:15">
      <c r="A316" s="414" t="s">
        <v>117</v>
      </c>
      <c r="B316" s="304"/>
      <c r="C316" s="304"/>
      <c r="D316" s="304"/>
      <c r="E316" s="304"/>
      <c r="F316" s="304"/>
      <c r="G316" s="304"/>
      <c r="H316" s="304"/>
      <c r="I316" s="304"/>
      <c r="J316" s="304"/>
      <c r="K316" s="304"/>
      <c r="L316" s="304"/>
      <c r="M316" s="304"/>
      <c r="N316" s="257"/>
    </row>
    <row r="317" spans="1:15">
      <c r="A317" s="415" t="s">
        <v>16</v>
      </c>
      <c r="B317" s="416">
        <v>150000</v>
      </c>
      <c r="C317" s="416">
        <f>100000</f>
        <v>100000</v>
      </c>
      <c r="D317" s="416">
        <f t="shared" ref="D317:M317" si="147">C317</f>
        <v>100000</v>
      </c>
      <c r="E317" s="416">
        <f t="shared" si="147"/>
        <v>100000</v>
      </c>
      <c r="F317" s="416">
        <f t="shared" si="147"/>
        <v>100000</v>
      </c>
      <c r="G317" s="416">
        <f t="shared" si="147"/>
        <v>100000</v>
      </c>
      <c r="H317" s="416">
        <f t="shared" si="147"/>
        <v>100000</v>
      </c>
      <c r="I317" s="416">
        <f t="shared" si="147"/>
        <v>100000</v>
      </c>
      <c r="J317" s="416">
        <f t="shared" si="147"/>
        <v>100000</v>
      </c>
      <c r="K317" s="416">
        <f t="shared" si="147"/>
        <v>100000</v>
      </c>
      <c r="L317" s="416">
        <f t="shared" si="147"/>
        <v>100000</v>
      </c>
      <c r="M317" s="416">
        <f t="shared" si="147"/>
        <v>100000</v>
      </c>
      <c r="N317" s="417">
        <f>SUM(B317:M317)</f>
        <v>1250000</v>
      </c>
    </row>
    <row r="318" spans="1:15">
      <c r="A318" s="418" t="s">
        <v>20</v>
      </c>
      <c r="B318" s="423">
        <f>B313</f>
        <v>1.59</v>
      </c>
      <c r="C318" s="423">
        <f t="shared" ref="C318:M318" si="148">C313</f>
        <v>1.59</v>
      </c>
      <c r="D318" s="423">
        <f t="shared" si="148"/>
        <v>1.59</v>
      </c>
      <c r="E318" s="423">
        <f t="shared" si="148"/>
        <v>1.59</v>
      </c>
      <c r="F318" s="423">
        <f t="shared" si="148"/>
        <v>1.59</v>
      </c>
      <c r="G318" s="423">
        <f t="shared" si="148"/>
        <v>1.59</v>
      </c>
      <c r="H318" s="423">
        <f t="shared" si="148"/>
        <v>1.59</v>
      </c>
      <c r="I318" s="423">
        <f t="shared" si="148"/>
        <v>1.59</v>
      </c>
      <c r="J318" s="423">
        <f t="shared" si="148"/>
        <v>1.59</v>
      </c>
      <c r="K318" s="423">
        <f t="shared" si="148"/>
        <v>1.59</v>
      </c>
      <c r="L318" s="423">
        <f t="shared" si="148"/>
        <v>1.59</v>
      </c>
      <c r="M318" s="423">
        <f t="shared" si="148"/>
        <v>1.59</v>
      </c>
      <c r="N318" s="257"/>
    </row>
    <row r="319" spans="1:15">
      <c r="A319" s="418" t="s">
        <v>17</v>
      </c>
      <c r="B319" s="420">
        <f t="shared" ref="B319:M319" si="149">B317*B318</f>
        <v>238500</v>
      </c>
      <c r="C319" s="420">
        <f t="shared" si="149"/>
        <v>159000</v>
      </c>
      <c r="D319" s="420">
        <f t="shared" si="149"/>
        <v>159000</v>
      </c>
      <c r="E319" s="420">
        <f t="shared" si="149"/>
        <v>159000</v>
      </c>
      <c r="F319" s="420">
        <f t="shared" si="149"/>
        <v>159000</v>
      </c>
      <c r="G319" s="420">
        <f t="shared" si="149"/>
        <v>159000</v>
      </c>
      <c r="H319" s="420">
        <f t="shared" si="149"/>
        <v>159000</v>
      </c>
      <c r="I319" s="420">
        <f t="shared" si="149"/>
        <v>159000</v>
      </c>
      <c r="J319" s="420">
        <f t="shared" si="149"/>
        <v>159000</v>
      </c>
      <c r="K319" s="420">
        <f t="shared" si="149"/>
        <v>159000</v>
      </c>
      <c r="L319" s="420">
        <f t="shared" si="149"/>
        <v>159000</v>
      </c>
      <c r="M319" s="420">
        <f t="shared" si="149"/>
        <v>159000</v>
      </c>
      <c r="N319" s="421">
        <f>SUM(B319:M319)</f>
        <v>1987500</v>
      </c>
    </row>
    <row r="320" spans="1:15" ht="6" customHeight="1">
      <c r="A320" s="418"/>
      <c r="B320" s="420"/>
      <c r="C320" s="420"/>
      <c r="D320" s="420"/>
      <c r="E320" s="420"/>
      <c r="F320" s="420"/>
      <c r="G320" s="420"/>
      <c r="H320" s="420"/>
      <c r="I320" s="420"/>
      <c r="J320" s="420"/>
      <c r="K320" s="420"/>
      <c r="L320" s="420"/>
      <c r="M320" s="420"/>
      <c r="N320" s="421"/>
    </row>
    <row r="321" spans="1:16">
      <c r="A321" s="424" t="s">
        <v>25</v>
      </c>
      <c r="B321" s="425">
        <f t="shared" ref="B321:M321" si="150">B274+B279+B284+B289+B294+B299+B314+B309+B319+B304</f>
        <v>472319.04000000004</v>
      </c>
      <c r="C321" s="425">
        <f t="shared" si="150"/>
        <v>392819.04000000004</v>
      </c>
      <c r="D321" s="425">
        <f t="shared" si="150"/>
        <v>392819.04000000004</v>
      </c>
      <c r="E321" s="425">
        <f t="shared" si="150"/>
        <v>392819.04000000004</v>
      </c>
      <c r="F321" s="425">
        <f t="shared" si="150"/>
        <v>392819.04000000004</v>
      </c>
      <c r="G321" s="425">
        <f t="shared" si="150"/>
        <v>392819.04000000004</v>
      </c>
      <c r="H321" s="425">
        <f t="shared" si="150"/>
        <v>392819.04000000004</v>
      </c>
      <c r="I321" s="425">
        <f t="shared" si="150"/>
        <v>392819.04000000004</v>
      </c>
      <c r="J321" s="425">
        <f t="shared" si="150"/>
        <v>392819.04000000004</v>
      </c>
      <c r="K321" s="425">
        <f t="shared" si="150"/>
        <v>392819.04000000004</v>
      </c>
      <c r="L321" s="425">
        <f t="shared" si="150"/>
        <v>392819.04000000004</v>
      </c>
      <c r="M321" s="425">
        <f t="shared" si="150"/>
        <v>392819.04000000004</v>
      </c>
      <c r="N321" s="426">
        <f>SUM(B321:M321)</f>
        <v>4793328.4800000004</v>
      </c>
    </row>
    <row r="322" spans="1:16">
      <c r="A322" s="427" t="s">
        <v>60</v>
      </c>
      <c r="B322" s="432">
        <f t="shared" ref="B322:M322" si="151">B272+B277+B282+B287+B292+B297+B307+B312+B317+B302</f>
        <v>297056</v>
      </c>
      <c r="C322" s="432">
        <f t="shared" si="151"/>
        <v>247056</v>
      </c>
      <c r="D322" s="432">
        <f t="shared" si="151"/>
        <v>247056</v>
      </c>
      <c r="E322" s="432">
        <f t="shared" si="151"/>
        <v>247056</v>
      </c>
      <c r="F322" s="432">
        <f t="shared" si="151"/>
        <v>247056</v>
      </c>
      <c r="G322" s="432">
        <f t="shared" si="151"/>
        <v>247056</v>
      </c>
      <c r="H322" s="432">
        <f t="shared" si="151"/>
        <v>247056</v>
      </c>
      <c r="I322" s="432">
        <f t="shared" si="151"/>
        <v>247056</v>
      </c>
      <c r="J322" s="432">
        <f t="shared" si="151"/>
        <v>247056</v>
      </c>
      <c r="K322" s="432">
        <f t="shared" si="151"/>
        <v>247056</v>
      </c>
      <c r="L322" s="432">
        <f t="shared" si="151"/>
        <v>247056</v>
      </c>
      <c r="M322" s="432">
        <f t="shared" si="151"/>
        <v>247056</v>
      </c>
      <c r="N322" s="429">
        <f>SUM(B322:M322)</f>
        <v>3014672</v>
      </c>
      <c r="O322" s="28">
        <f>'TSAS Scheduling Revenue (1)'!N329</f>
        <v>3014672</v>
      </c>
      <c r="P322" s="28">
        <f>'TSAS Reactive Revenues (2)'!N324</f>
        <v>3014672</v>
      </c>
    </row>
    <row r="323" spans="1:16">
      <c r="A323" s="406">
        <f>+A268+1</f>
        <v>2019</v>
      </c>
      <c r="B323" s="407"/>
      <c r="C323" s="407"/>
      <c r="D323" s="407"/>
      <c r="E323" s="407"/>
      <c r="F323" s="407"/>
      <c r="G323" s="407"/>
      <c r="H323" s="407"/>
      <c r="I323" s="407"/>
      <c r="J323" s="407"/>
      <c r="K323" s="407"/>
      <c r="L323" s="407"/>
      <c r="M323" s="407"/>
      <c r="N323" s="408"/>
    </row>
    <row r="324" spans="1:16" ht="13.2">
      <c r="A324" s="409" t="s">
        <v>19</v>
      </c>
      <c r="B324" s="412"/>
      <c r="C324" s="412"/>
      <c r="D324" s="412"/>
      <c r="E324" s="412"/>
      <c r="F324" s="412"/>
      <c r="G324" s="412"/>
      <c r="H324" s="412"/>
      <c r="I324" s="412"/>
      <c r="J324" s="412"/>
      <c r="K324" s="412"/>
      <c r="L324" s="412"/>
      <c r="M324" s="412"/>
      <c r="N324" s="413"/>
    </row>
    <row r="325" spans="1:16">
      <c r="A325" s="409"/>
      <c r="B325" s="410"/>
      <c r="C325" s="410"/>
      <c r="D325" s="410"/>
      <c r="E325" s="410"/>
      <c r="F325" s="410"/>
      <c r="G325" s="410"/>
      <c r="H325" s="410"/>
      <c r="I325" s="410"/>
      <c r="J325" s="410"/>
      <c r="K325" s="410"/>
      <c r="L325" s="410"/>
      <c r="M325" s="410"/>
      <c r="N325" s="411"/>
    </row>
    <row r="326" spans="1:16">
      <c r="A326" s="414" t="s">
        <v>359</v>
      </c>
      <c r="B326" s="304"/>
      <c r="C326" s="304"/>
      <c r="D326" s="304"/>
      <c r="E326" s="304"/>
      <c r="F326" s="304"/>
      <c r="G326" s="304"/>
      <c r="H326" s="304"/>
      <c r="I326" s="304"/>
      <c r="J326" s="304"/>
      <c r="K326" s="304"/>
      <c r="L326" s="304"/>
      <c r="M326" s="304"/>
      <c r="N326" s="257"/>
      <c r="O326" s="459"/>
    </row>
    <row r="327" spans="1:16">
      <c r="A327" s="415" t="s">
        <v>16</v>
      </c>
      <c r="B327" s="416">
        <f>B272</f>
        <v>5000</v>
      </c>
      <c r="C327" s="416">
        <f>$B327</f>
        <v>5000</v>
      </c>
      <c r="D327" s="416">
        <f>$B327</f>
        <v>5000</v>
      </c>
      <c r="E327" s="416">
        <f>$B327</f>
        <v>5000</v>
      </c>
      <c r="F327" s="416">
        <f>$B327</f>
        <v>5000</v>
      </c>
      <c r="G327" s="416">
        <f t="shared" ref="G327" si="152">F327</f>
        <v>5000</v>
      </c>
      <c r="H327" s="416">
        <f t="shared" ref="H327" si="153">G327</f>
        <v>5000</v>
      </c>
      <c r="I327" s="416">
        <f t="shared" ref="I327" si="154">H327</f>
        <v>5000</v>
      </c>
      <c r="J327" s="416">
        <f t="shared" ref="J327" si="155">I327</f>
        <v>5000</v>
      </c>
      <c r="K327" s="416">
        <f t="shared" ref="K327" si="156">J327</f>
        <v>5000</v>
      </c>
      <c r="L327" s="416">
        <f t="shared" ref="L327" si="157">K327</f>
        <v>5000</v>
      </c>
      <c r="M327" s="416">
        <f t="shared" ref="M327" si="158">L327</f>
        <v>5000</v>
      </c>
      <c r="N327" s="417">
        <f>SUM(B327:M327)</f>
        <v>60000</v>
      </c>
    </row>
    <row r="328" spans="1:16">
      <c r="A328" s="418" t="s">
        <v>20</v>
      </c>
      <c r="B328" s="419">
        <f>'Transmission Formula Rate (7)'!B20</f>
        <v>1.59</v>
      </c>
      <c r="C328" s="419">
        <f>'Transmission Formula Rate (7)'!C20</f>
        <v>1.59</v>
      </c>
      <c r="D328" s="419">
        <f>'Transmission Formula Rate (7)'!D20</f>
        <v>1.59</v>
      </c>
      <c r="E328" s="419">
        <f>'Transmission Formula Rate (7)'!E20</f>
        <v>1.59</v>
      </c>
      <c r="F328" s="419">
        <f>'Transmission Formula Rate (7)'!F20</f>
        <v>1.59</v>
      </c>
      <c r="G328" s="419">
        <f>'Transmission Formula Rate (7)'!G20</f>
        <v>1.59</v>
      </c>
      <c r="H328" s="419">
        <f>'Transmission Formula Rate (7)'!H20</f>
        <v>1.59</v>
      </c>
      <c r="I328" s="419">
        <f>'Transmission Formula Rate (7)'!I20</f>
        <v>1.59</v>
      </c>
      <c r="J328" s="419">
        <f>'Transmission Formula Rate (7)'!J20</f>
        <v>1.59</v>
      </c>
      <c r="K328" s="419">
        <f>'Transmission Formula Rate (7)'!K20</f>
        <v>1.59</v>
      </c>
      <c r="L328" s="419">
        <f>'Transmission Formula Rate (7)'!L20</f>
        <v>1.59</v>
      </c>
      <c r="M328" s="419">
        <f>'Transmission Formula Rate (7)'!M20</f>
        <v>1.59</v>
      </c>
      <c r="N328" s="257"/>
    </row>
    <row r="329" spans="1:16">
      <c r="A329" s="418" t="s">
        <v>17</v>
      </c>
      <c r="B329" s="420">
        <f t="shared" ref="B329:M329" si="159">B327*B328</f>
        <v>7950</v>
      </c>
      <c r="C329" s="420">
        <f t="shared" si="159"/>
        <v>7950</v>
      </c>
      <c r="D329" s="420">
        <f t="shared" si="159"/>
        <v>7950</v>
      </c>
      <c r="E329" s="420">
        <f t="shared" si="159"/>
        <v>7950</v>
      </c>
      <c r="F329" s="420">
        <f t="shared" si="159"/>
        <v>7950</v>
      </c>
      <c r="G329" s="420">
        <f t="shared" si="159"/>
        <v>7950</v>
      </c>
      <c r="H329" s="420">
        <f t="shared" si="159"/>
        <v>7950</v>
      </c>
      <c r="I329" s="420">
        <f t="shared" si="159"/>
        <v>7950</v>
      </c>
      <c r="J329" s="420">
        <f t="shared" si="159"/>
        <v>7950</v>
      </c>
      <c r="K329" s="420">
        <f t="shared" si="159"/>
        <v>7950</v>
      </c>
      <c r="L329" s="420">
        <f t="shared" si="159"/>
        <v>7950</v>
      </c>
      <c r="M329" s="420">
        <f t="shared" si="159"/>
        <v>7950</v>
      </c>
      <c r="N329" s="421">
        <f>SUM(B329:M329)</f>
        <v>95400</v>
      </c>
    </row>
    <row r="330" spans="1:16">
      <c r="A330" s="422"/>
      <c r="B330" s="304"/>
      <c r="C330" s="304"/>
      <c r="D330" s="304"/>
      <c r="E330" s="304"/>
      <c r="F330" s="304"/>
      <c r="G330" s="304"/>
      <c r="H330" s="304"/>
      <c r="I330" s="304"/>
      <c r="J330" s="304"/>
      <c r="K330" s="304"/>
      <c r="L330" s="304"/>
      <c r="M330" s="304"/>
      <c r="N330" s="257"/>
    </row>
    <row r="331" spans="1:16">
      <c r="A331" s="431"/>
      <c r="B331" s="304"/>
      <c r="C331" s="304"/>
      <c r="D331" s="304"/>
      <c r="E331" s="304"/>
      <c r="F331" s="304"/>
      <c r="G331" s="304"/>
      <c r="H331" s="304"/>
      <c r="I331" s="304"/>
      <c r="J331" s="304"/>
      <c r="K331" s="304"/>
      <c r="L331" s="304"/>
      <c r="M331" s="304"/>
      <c r="N331" s="257"/>
    </row>
    <row r="332" spans="1:16">
      <c r="A332" s="415" t="s">
        <v>16</v>
      </c>
      <c r="B332" s="416">
        <v>0</v>
      </c>
      <c r="C332" s="416">
        <v>0</v>
      </c>
      <c r="D332" s="416">
        <v>0</v>
      </c>
      <c r="E332" s="416">
        <v>0</v>
      </c>
      <c r="F332" s="416">
        <v>0</v>
      </c>
      <c r="G332" s="416">
        <v>0</v>
      </c>
      <c r="H332" s="416">
        <v>0</v>
      </c>
      <c r="I332" s="416">
        <v>0</v>
      </c>
      <c r="J332" s="416">
        <v>0</v>
      </c>
      <c r="K332" s="416">
        <v>0</v>
      </c>
      <c r="L332" s="416">
        <v>0</v>
      </c>
      <c r="M332" s="416">
        <v>0</v>
      </c>
      <c r="N332" s="417">
        <f>SUM(B332:M332)</f>
        <v>0</v>
      </c>
    </row>
    <row r="333" spans="1:16">
      <c r="A333" s="418" t="s">
        <v>20</v>
      </c>
      <c r="B333" s="419">
        <f>B328</f>
        <v>1.59</v>
      </c>
      <c r="C333" s="419">
        <f t="shared" ref="C333:M333" si="160">C328</f>
        <v>1.59</v>
      </c>
      <c r="D333" s="419">
        <f t="shared" si="160"/>
        <v>1.59</v>
      </c>
      <c r="E333" s="419">
        <f t="shared" si="160"/>
        <v>1.59</v>
      </c>
      <c r="F333" s="419">
        <f t="shared" si="160"/>
        <v>1.59</v>
      </c>
      <c r="G333" s="419">
        <f t="shared" si="160"/>
        <v>1.59</v>
      </c>
      <c r="H333" s="419">
        <f t="shared" si="160"/>
        <v>1.59</v>
      </c>
      <c r="I333" s="419">
        <f t="shared" si="160"/>
        <v>1.59</v>
      </c>
      <c r="J333" s="419">
        <f t="shared" si="160"/>
        <v>1.59</v>
      </c>
      <c r="K333" s="419">
        <f t="shared" si="160"/>
        <v>1.59</v>
      </c>
      <c r="L333" s="419">
        <f t="shared" si="160"/>
        <v>1.59</v>
      </c>
      <c r="M333" s="419">
        <f t="shared" si="160"/>
        <v>1.59</v>
      </c>
      <c r="N333" s="257"/>
    </row>
    <row r="334" spans="1:16">
      <c r="A334" s="418" t="s">
        <v>17</v>
      </c>
      <c r="B334" s="420">
        <f t="shared" ref="B334:M334" si="161">B332*B333</f>
        <v>0</v>
      </c>
      <c r="C334" s="420">
        <f t="shared" si="161"/>
        <v>0</v>
      </c>
      <c r="D334" s="420">
        <f t="shared" si="161"/>
        <v>0</v>
      </c>
      <c r="E334" s="420">
        <f t="shared" si="161"/>
        <v>0</v>
      </c>
      <c r="F334" s="420">
        <f t="shared" si="161"/>
        <v>0</v>
      </c>
      <c r="G334" s="420">
        <f t="shared" si="161"/>
        <v>0</v>
      </c>
      <c r="H334" s="420">
        <f t="shared" si="161"/>
        <v>0</v>
      </c>
      <c r="I334" s="420">
        <f t="shared" si="161"/>
        <v>0</v>
      </c>
      <c r="J334" s="420">
        <f t="shared" si="161"/>
        <v>0</v>
      </c>
      <c r="K334" s="420">
        <f t="shared" si="161"/>
        <v>0</v>
      </c>
      <c r="L334" s="420">
        <f t="shared" si="161"/>
        <v>0</v>
      </c>
      <c r="M334" s="420">
        <f t="shared" si="161"/>
        <v>0</v>
      </c>
      <c r="N334" s="421">
        <f>SUM(B334:M334)</f>
        <v>0</v>
      </c>
    </row>
    <row r="335" spans="1:16">
      <c r="A335" s="422"/>
      <c r="B335" s="420"/>
      <c r="C335" s="304"/>
      <c r="D335" s="304"/>
      <c r="E335" s="304"/>
      <c r="F335" s="304"/>
      <c r="G335" s="304"/>
      <c r="H335" s="304"/>
      <c r="I335" s="304"/>
      <c r="J335" s="304"/>
      <c r="K335" s="304"/>
      <c r="L335" s="304"/>
      <c r="M335" s="304"/>
      <c r="N335" s="257"/>
    </row>
    <row r="336" spans="1:16">
      <c r="A336" s="431"/>
      <c r="B336" s="304"/>
      <c r="C336" s="304"/>
      <c r="D336" s="304"/>
      <c r="E336" s="304"/>
      <c r="F336" s="304"/>
      <c r="G336" s="304"/>
      <c r="H336" s="304"/>
      <c r="I336" s="304"/>
      <c r="J336" s="304"/>
      <c r="K336" s="304"/>
      <c r="L336" s="304"/>
      <c r="M336" s="304"/>
      <c r="N336" s="257"/>
    </row>
    <row r="337" spans="1:15">
      <c r="A337" s="415" t="s">
        <v>16</v>
      </c>
      <c r="B337" s="416">
        <v>0</v>
      </c>
      <c r="C337" s="416">
        <v>0</v>
      </c>
      <c r="D337" s="416">
        <v>0</v>
      </c>
      <c r="E337" s="416">
        <v>0</v>
      </c>
      <c r="F337" s="416">
        <v>0</v>
      </c>
      <c r="G337" s="416">
        <v>0</v>
      </c>
      <c r="H337" s="416">
        <v>0</v>
      </c>
      <c r="I337" s="416">
        <v>0</v>
      </c>
      <c r="J337" s="416">
        <v>0</v>
      </c>
      <c r="K337" s="416">
        <v>0</v>
      </c>
      <c r="L337" s="416">
        <v>0</v>
      </c>
      <c r="M337" s="416">
        <v>0</v>
      </c>
      <c r="N337" s="417">
        <f>SUM(B337:M337)</f>
        <v>0</v>
      </c>
    </row>
    <row r="338" spans="1:15">
      <c r="A338" s="418" t="s">
        <v>20</v>
      </c>
      <c r="B338" s="423">
        <f>B333</f>
        <v>1.59</v>
      </c>
      <c r="C338" s="423">
        <f t="shared" ref="C338:M338" si="162">C333</f>
        <v>1.59</v>
      </c>
      <c r="D338" s="423">
        <f t="shared" si="162"/>
        <v>1.59</v>
      </c>
      <c r="E338" s="423">
        <f t="shared" si="162"/>
        <v>1.59</v>
      </c>
      <c r="F338" s="423">
        <f t="shared" si="162"/>
        <v>1.59</v>
      </c>
      <c r="G338" s="423">
        <f t="shared" si="162"/>
        <v>1.59</v>
      </c>
      <c r="H338" s="423">
        <f t="shared" si="162"/>
        <v>1.59</v>
      </c>
      <c r="I338" s="423">
        <f t="shared" si="162"/>
        <v>1.59</v>
      </c>
      <c r="J338" s="423">
        <f t="shared" si="162"/>
        <v>1.59</v>
      </c>
      <c r="K338" s="423">
        <f t="shared" si="162"/>
        <v>1.59</v>
      </c>
      <c r="L338" s="423">
        <f t="shared" si="162"/>
        <v>1.59</v>
      </c>
      <c r="M338" s="423">
        <f t="shared" si="162"/>
        <v>1.59</v>
      </c>
      <c r="N338" s="257"/>
    </row>
    <row r="339" spans="1:15">
      <c r="A339" s="418" t="s">
        <v>17</v>
      </c>
      <c r="B339" s="420">
        <f t="shared" ref="B339:M339" si="163">B337*B338</f>
        <v>0</v>
      </c>
      <c r="C339" s="420">
        <f t="shared" si="163"/>
        <v>0</v>
      </c>
      <c r="D339" s="420">
        <f t="shared" si="163"/>
        <v>0</v>
      </c>
      <c r="E339" s="420">
        <f t="shared" si="163"/>
        <v>0</v>
      </c>
      <c r="F339" s="420">
        <f t="shared" si="163"/>
        <v>0</v>
      </c>
      <c r="G339" s="420">
        <f t="shared" si="163"/>
        <v>0</v>
      </c>
      <c r="H339" s="420">
        <f t="shared" si="163"/>
        <v>0</v>
      </c>
      <c r="I339" s="420">
        <f t="shared" si="163"/>
        <v>0</v>
      </c>
      <c r="J339" s="420">
        <f t="shared" si="163"/>
        <v>0</v>
      </c>
      <c r="K339" s="420">
        <f t="shared" si="163"/>
        <v>0</v>
      </c>
      <c r="L339" s="420">
        <f t="shared" si="163"/>
        <v>0</v>
      </c>
      <c r="M339" s="420">
        <f t="shared" si="163"/>
        <v>0</v>
      </c>
      <c r="N339" s="421">
        <f>SUM(B339:M339)</f>
        <v>0</v>
      </c>
    </row>
    <row r="340" spans="1:15">
      <c r="A340" s="422"/>
      <c r="B340" s="420"/>
      <c r="C340" s="304"/>
      <c r="D340" s="304"/>
      <c r="E340" s="304"/>
      <c r="F340" s="304"/>
      <c r="G340" s="304"/>
      <c r="H340" s="304"/>
      <c r="I340" s="304"/>
      <c r="J340" s="304"/>
      <c r="K340" s="304"/>
      <c r="L340" s="304"/>
      <c r="M340" s="304"/>
      <c r="N340" s="257"/>
    </row>
    <row r="341" spans="1:15">
      <c r="A341" s="414" t="s">
        <v>23</v>
      </c>
      <c r="B341" s="304"/>
      <c r="C341" s="304"/>
      <c r="D341" s="304"/>
      <c r="E341" s="304"/>
      <c r="F341" s="304"/>
      <c r="G341" s="304"/>
      <c r="H341" s="304"/>
      <c r="I341" s="304"/>
      <c r="J341" s="304"/>
      <c r="K341" s="304"/>
      <c r="L341" s="304"/>
      <c r="M341" s="304"/>
      <c r="N341" s="257"/>
      <c r="O341" s="459"/>
    </row>
    <row r="342" spans="1:15">
      <c r="A342" s="415" t="s">
        <v>16</v>
      </c>
      <c r="B342" s="416">
        <f>B287</f>
        <v>37056</v>
      </c>
      <c r="C342" s="416">
        <f t="shared" ref="C342:M342" si="164">C287</f>
        <v>37056</v>
      </c>
      <c r="D342" s="416">
        <f t="shared" si="164"/>
        <v>37056</v>
      </c>
      <c r="E342" s="416">
        <f t="shared" si="164"/>
        <v>37056</v>
      </c>
      <c r="F342" s="416">
        <f t="shared" si="164"/>
        <v>37056</v>
      </c>
      <c r="G342" s="416">
        <f t="shared" si="164"/>
        <v>37056</v>
      </c>
      <c r="H342" s="416">
        <f t="shared" si="164"/>
        <v>37056</v>
      </c>
      <c r="I342" s="416">
        <f t="shared" si="164"/>
        <v>37056</v>
      </c>
      <c r="J342" s="416">
        <f t="shared" si="164"/>
        <v>37056</v>
      </c>
      <c r="K342" s="416">
        <f t="shared" si="164"/>
        <v>37056</v>
      </c>
      <c r="L342" s="416">
        <f t="shared" si="164"/>
        <v>37056</v>
      </c>
      <c r="M342" s="416">
        <f t="shared" si="164"/>
        <v>37056</v>
      </c>
      <c r="N342" s="417">
        <f>SUM(B342:M342)</f>
        <v>444672</v>
      </c>
    </row>
    <row r="343" spans="1:15">
      <c r="A343" s="418" t="s">
        <v>20</v>
      </c>
      <c r="B343" s="423">
        <f>B338</f>
        <v>1.59</v>
      </c>
      <c r="C343" s="423">
        <f t="shared" ref="C343:M343" si="165">C338</f>
        <v>1.59</v>
      </c>
      <c r="D343" s="423">
        <f t="shared" si="165"/>
        <v>1.59</v>
      </c>
      <c r="E343" s="423">
        <f t="shared" si="165"/>
        <v>1.59</v>
      </c>
      <c r="F343" s="423">
        <f t="shared" si="165"/>
        <v>1.59</v>
      </c>
      <c r="G343" s="423">
        <f t="shared" si="165"/>
        <v>1.59</v>
      </c>
      <c r="H343" s="423">
        <f t="shared" si="165"/>
        <v>1.59</v>
      </c>
      <c r="I343" s="423">
        <f t="shared" si="165"/>
        <v>1.59</v>
      </c>
      <c r="J343" s="423">
        <f t="shared" si="165"/>
        <v>1.59</v>
      </c>
      <c r="K343" s="423">
        <f t="shared" si="165"/>
        <v>1.59</v>
      </c>
      <c r="L343" s="423">
        <f t="shared" si="165"/>
        <v>1.59</v>
      </c>
      <c r="M343" s="423">
        <f t="shared" si="165"/>
        <v>1.59</v>
      </c>
      <c r="N343" s="257"/>
    </row>
    <row r="344" spans="1:15">
      <c r="A344" s="418" t="s">
        <v>17</v>
      </c>
      <c r="B344" s="420">
        <f t="shared" ref="B344:M344" si="166">B342*B343</f>
        <v>58919.040000000001</v>
      </c>
      <c r="C344" s="420">
        <f t="shared" si="166"/>
        <v>58919.040000000001</v>
      </c>
      <c r="D344" s="420">
        <f t="shared" si="166"/>
        <v>58919.040000000001</v>
      </c>
      <c r="E344" s="420">
        <f t="shared" si="166"/>
        <v>58919.040000000001</v>
      </c>
      <c r="F344" s="420">
        <f t="shared" si="166"/>
        <v>58919.040000000001</v>
      </c>
      <c r="G344" s="420">
        <f t="shared" si="166"/>
        <v>58919.040000000001</v>
      </c>
      <c r="H344" s="420">
        <f t="shared" si="166"/>
        <v>58919.040000000001</v>
      </c>
      <c r="I344" s="420">
        <f t="shared" si="166"/>
        <v>58919.040000000001</v>
      </c>
      <c r="J344" s="420">
        <f t="shared" si="166"/>
        <v>58919.040000000001</v>
      </c>
      <c r="K344" s="420">
        <f t="shared" si="166"/>
        <v>58919.040000000001</v>
      </c>
      <c r="L344" s="420">
        <f t="shared" si="166"/>
        <v>58919.040000000001</v>
      </c>
      <c r="M344" s="420">
        <f t="shared" si="166"/>
        <v>58919.040000000001</v>
      </c>
      <c r="N344" s="421">
        <f>SUM(B344:M344)</f>
        <v>707028.4800000001</v>
      </c>
    </row>
    <row r="345" spans="1:15">
      <c r="A345" s="422"/>
      <c r="B345" s="420"/>
      <c r="C345" s="304"/>
      <c r="D345" s="304"/>
      <c r="E345" s="304"/>
      <c r="F345" s="304"/>
      <c r="G345" s="304"/>
      <c r="H345" s="304"/>
      <c r="I345" s="304"/>
      <c r="J345" s="304"/>
      <c r="K345" s="304"/>
      <c r="L345" s="304"/>
      <c r="M345" s="304"/>
      <c r="N345" s="257"/>
    </row>
    <row r="346" spans="1:15">
      <c r="A346" s="414" t="s">
        <v>24</v>
      </c>
      <c r="B346" s="304"/>
      <c r="C346" s="304"/>
      <c r="D346" s="304"/>
      <c r="E346" s="304"/>
      <c r="F346" s="304"/>
      <c r="G346" s="304"/>
      <c r="H346" s="304"/>
      <c r="I346" s="304"/>
      <c r="J346" s="304"/>
      <c r="K346" s="304"/>
      <c r="L346" s="304"/>
      <c r="M346" s="304"/>
      <c r="N346" s="257"/>
      <c r="O346" s="459"/>
    </row>
    <row r="347" spans="1:15">
      <c r="A347" s="415" t="s">
        <v>16</v>
      </c>
      <c r="B347" s="416">
        <v>62000</v>
      </c>
      <c r="C347" s="416">
        <v>62000</v>
      </c>
      <c r="D347" s="416">
        <v>62000</v>
      </c>
      <c r="E347" s="416">
        <v>62000</v>
      </c>
      <c r="F347" s="416">
        <v>62000</v>
      </c>
      <c r="G347" s="416">
        <v>62000</v>
      </c>
      <c r="H347" s="416">
        <v>62000</v>
      </c>
      <c r="I347" s="416">
        <v>62000</v>
      </c>
      <c r="J347" s="416">
        <v>62000</v>
      </c>
      <c r="K347" s="416">
        <v>62000</v>
      </c>
      <c r="L347" s="416">
        <v>62000</v>
      </c>
      <c r="M347" s="416">
        <v>62000</v>
      </c>
      <c r="N347" s="417">
        <f>SUM(B347:M347)</f>
        <v>744000</v>
      </c>
    </row>
    <row r="348" spans="1:15">
      <c r="A348" s="418" t="s">
        <v>20</v>
      </c>
      <c r="B348" s="423">
        <f>B343</f>
        <v>1.59</v>
      </c>
      <c r="C348" s="423">
        <f t="shared" ref="C348:M348" si="167">C343</f>
        <v>1.59</v>
      </c>
      <c r="D348" s="423">
        <f t="shared" si="167"/>
        <v>1.59</v>
      </c>
      <c r="E348" s="423">
        <f t="shared" si="167"/>
        <v>1.59</v>
      </c>
      <c r="F348" s="423">
        <f t="shared" si="167"/>
        <v>1.59</v>
      </c>
      <c r="G348" s="423">
        <f t="shared" si="167"/>
        <v>1.59</v>
      </c>
      <c r="H348" s="423">
        <f t="shared" si="167"/>
        <v>1.59</v>
      </c>
      <c r="I348" s="423">
        <f t="shared" si="167"/>
        <v>1.59</v>
      </c>
      <c r="J348" s="423">
        <f t="shared" si="167"/>
        <v>1.59</v>
      </c>
      <c r="K348" s="423">
        <f t="shared" si="167"/>
        <v>1.59</v>
      </c>
      <c r="L348" s="423">
        <f t="shared" si="167"/>
        <v>1.59</v>
      </c>
      <c r="M348" s="423">
        <f t="shared" si="167"/>
        <v>1.59</v>
      </c>
      <c r="N348" s="257"/>
    </row>
    <row r="349" spans="1:15">
      <c r="A349" s="418" t="s">
        <v>17</v>
      </c>
      <c r="B349" s="420">
        <f t="shared" ref="B349:M349" si="168">B347*B348</f>
        <v>98580</v>
      </c>
      <c r="C349" s="420">
        <f t="shared" si="168"/>
        <v>98580</v>
      </c>
      <c r="D349" s="420">
        <f t="shared" si="168"/>
        <v>98580</v>
      </c>
      <c r="E349" s="420">
        <f t="shared" si="168"/>
        <v>98580</v>
      </c>
      <c r="F349" s="420">
        <f t="shared" si="168"/>
        <v>98580</v>
      </c>
      <c r="G349" s="420">
        <f t="shared" si="168"/>
        <v>98580</v>
      </c>
      <c r="H349" s="420">
        <f t="shared" si="168"/>
        <v>98580</v>
      </c>
      <c r="I349" s="420">
        <f t="shared" si="168"/>
        <v>98580</v>
      </c>
      <c r="J349" s="420">
        <f t="shared" si="168"/>
        <v>98580</v>
      </c>
      <c r="K349" s="420">
        <f t="shared" si="168"/>
        <v>98580</v>
      </c>
      <c r="L349" s="420">
        <f t="shared" si="168"/>
        <v>98580</v>
      </c>
      <c r="M349" s="420">
        <f t="shared" si="168"/>
        <v>98580</v>
      </c>
      <c r="N349" s="421">
        <f>SUM(B349:M349)</f>
        <v>1182960</v>
      </c>
    </row>
    <row r="350" spans="1:15">
      <c r="A350" s="418"/>
      <c r="B350" s="420"/>
      <c r="C350" s="420"/>
      <c r="D350" s="420"/>
      <c r="E350" s="420"/>
      <c r="F350" s="420"/>
      <c r="G350" s="420"/>
      <c r="H350" s="420"/>
      <c r="I350" s="420"/>
      <c r="J350" s="420"/>
      <c r="K350" s="420"/>
      <c r="L350" s="420"/>
      <c r="M350" s="420"/>
      <c r="N350" s="421"/>
    </row>
    <row r="351" spans="1:15">
      <c r="A351" s="414" t="s">
        <v>116</v>
      </c>
      <c r="B351" s="304"/>
      <c r="C351" s="304"/>
      <c r="D351" s="304"/>
      <c r="E351" s="304"/>
      <c r="F351" s="304"/>
      <c r="G351" s="304"/>
      <c r="H351" s="304"/>
      <c r="I351" s="304"/>
      <c r="J351" s="304"/>
      <c r="K351" s="304"/>
      <c r="L351" s="304"/>
      <c r="M351" s="304"/>
      <c r="N351" s="257"/>
      <c r="O351" s="459"/>
    </row>
    <row r="352" spans="1:15">
      <c r="A352" s="415" t="s">
        <v>16</v>
      </c>
      <c r="B352" s="416">
        <v>40000</v>
      </c>
      <c r="C352" s="416">
        <f>B352</f>
        <v>40000</v>
      </c>
      <c r="D352" s="416">
        <f t="shared" ref="D352" si="169">C352</f>
        <v>40000</v>
      </c>
      <c r="E352" s="416">
        <f t="shared" ref="E352" si="170">D352</f>
        <v>40000</v>
      </c>
      <c r="F352" s="416">
        <f t="shared" ref="F352" si="171">E352</f>
        <v>40000</v>
      </c>
      <c r="G352" s="416">
        <f t="shared" ref="G352" si="172">F352</f>
        <v>40000</v>
      </c>
      <c r="H352" s="416">
        <f t="shared" ref="H352" si="173">G352</f>
        <v>40000</v>
      </c>
      <c r="I352" s="416">
        <f t="shared" ref="I352" si="174">H352</f>
        <v>40000</v>
      </c>
      <c r="J352" s="416">
        <f t="shared" ref="J352" si="175">I352</f>
        <v>40000</v>
      </c>
      <c r="K352" s="416">
        <f t="shared" ref="K352" si="176">J352</f>
        <v>40000</v>
      </c>
      <c r="L352" s="416">
        <f t="shared" ref="L352" si="177">K352</f>
        <v>40000</v>
      </c>
      <c r="M352" s="416">
        <f t="shared" ref="M352" si="178">L352</f>
        <v>40000</v>
      </c>
      <c r="N352" s="417">
        <f>SUM(B352:M352)</f>
        <v>480000</v>
      </c>
    </row>
    <row r="353" spans="1:15">
      <c r="A353" s="418" t="s">
        <v>20</v>
      </c>
      <c r="B353" s="423">
        <f>B348</f>
        <v>1.59</v>
      </c>
      <c r="C353" s="423">
        <f t="shared" ref="C353:M353" si="179">C348</f>
        <v>1.59</v>
      </c>
      <c r="D353" s="423">
        <f t="shared" si="179"/>
        <v>1.59</v>
      </c>
      <c r="E353" s="423">
        <f t="shared" si="179"/>
        <v>1.59</v>
      </c>
      <c r="F353" s="423">
        <f t="shared" si="179"/>
        <v>1.59</v>
      </c>
      <c r="G353" s="423">
        <f t="shared" si="179"/>
        <v>1.59</v>
      </c>
      <c r="H353" s="423">
        <f t="shared" si="179"/>
        <v>1.59</v>
      </c>
      <c r="I353" s="423">
        <f t="shared" si="179"/>
        <v>1.59</v>
      </c>
      <c r="J353" s="423">
        <f t="shared" si="179"/>
        <v>1.59</v>
      </c>
      <c r="K353" s="423">
        <f t="shared" si="179"/>
        <v>1.59</v>
      </c>
      <c r="L353" s="423">
        <f t="shared" si="179"/>
        <v>1.59</v>
      </c>
      <c r="M353" s="423">
        <f t="shared" si="179"/>
        <v>1.59</v>
      </c>
      <c r="N353" s="257"/>
    </row>
    <row r="354" spans="1:15">
      <c r="A354" s="418" t="s">
        <v>17</v>
      </c>
      <c r="B354" s="420">
        <f t="shared" ref="B354:M354" si="180">B352*B353</f>
        <v>63600</v>
      </c>
      <c r="C354" s="420">
        <f t="shared" si="180"/>
        <v>63600</v>
      </c>
      <c r="D354" s="420">
        <f t="shared" si="180"/>
        <v>63600</v>
      </c>
      <c r="E354" s="420">
        <f t="shared" si="180"/>
        <v>63600</v>
      </c>
      <c r="F354" s="420">
        <f t="shared" si="180"/>
        <v>63600</v>
      </c>
      <c r="G354" s="420">
        <f t="shared" si="180"/>
        <v>63600</v>
      </c>
      <c r="H354" s="420">
        <f t="shared" si="180"/>
        <v>63600</v>
      </c>
      <c r="I354" s="420">
        <f t="shared" si="180"/>
        <v>63600</v>
      </c>
      <c r="J354" s="420">
        <f t="shared" si="180"/>
        <v>63600</v>
      </c>
      <c r="K354" s="420">
        <f t="shared" si="180"/>
        <v>63600</v>
      </c>
      <c r="L354" s="420">
        <f t="shared" si="180"/>
        <v>63600</v>
      </c>
      <c r="M354" s="420">
        <f t="shared" si="180"/>
        <v>63600</v>
      </c>
      <c r="N354" s="421">
        <f>SUM(B354:M354)</f>
        <v>763200</v>
      </c>
    </row>
    <row r="355" spans="1:15">
      <c r="A355" s="418"/>
      <c r="B355" s="420"/>
      <c r="C355" s="420"/>
      <c r="D355" s="420"/>
      <c r="E355" s="420"/>
      <c r="F355" s="420"/>
      <c r="G355" s="420"/>
      <c r="H355" s="420"/>
      <c r="I355" s="420"/>
      <c r="J355" s="420"/>
      <c r="K355" s="420"/>
      <c r="L355" s="420"/>
      <c r="M355" s="420"/>
      <c r="N355" s="421"/>
    </row>
    <row r="356" spans="1:15">
      <c r="A356" s="414" t="s">
        <v>237</v>
      </c>
      <c r="B356" s="304"/>
      <c r="C356" s="304"/>
      <c r="D356" s="304"/>
      <c r="E356" s="304"/>
      <c r="F356" s="304"/>
      <c r="G356" s="304"/>
      <c r="H356" s="304"/>
      <c r="I356" s="304"/>
      <c r="J356" s="304"/>
      <c r="K356" s="304"/>
      <c r="L356" s="304"/>
      <c r="M356" s="304"/>
      <c r="N356" s="257"/>
    </row>
    <row r="357" spans="1:15">
      <c r="A357" s="415" t="s">
        <v>16</v>
      </c>
      <c r="B357" s="416">
        <v>3000</v>
      </c>
      <c r="C357" s="416">
        <f t="shared" ref="C357" si="181">B357</f>
        <v>3000</v>
      </c>
      <c r="D357" s="416">
        <f t="shared" ref="D357" si="182">C357</f>
        <v>3000</v>
      </c>
      <c r="E357" s="416">
        <f t="shared" ref="E357" si="183">D357</f>
        <v>3000</v>
      </c>
      <c r="F357" s="416">
        <f t="shared" ref="F357" si="184">E357</f>
        <v>3000</v>
      </c>
      <c r="G357" s="416">
        <f t="shared" ref="G357" si="185">F357</f>
        <v>3000</v>
      </c>
      <c r="H357" s="416">
        <f t="shared" ref="H357" si="186">G357</f>
        <v>3000</v>
      </c>
      <c r="I357" s="416">
        <f t="shared" ref="I357" si="187">H357</f>
        <v>3000</v>
      </c>
      <c r="J357" s="416">
        <f t="shared" ref="J357" si="188">I357</f>
        <v>3000</v>
      </c>
      <c r="K357" s="416">
        <f t="shared" ref="K357" si="189">J357</f>
        <v>3000</v>
      </c>
      <c r="L357" s="416">
        <f t="shared" ref="L357" si="190">K357</f>
        <v>3000</v>
      </c>
      <c r="M357" s="416">
        <f t="shared" ref="M357" si="191">L357</f>
        <v>3000</v>
      </c>
      <c r="N357" s="417">
        <f>SUM(B357:M357)</f>
        <v>36000</v>
      </c>
    </row>
    <row r="358" spans="1:15">
      <c r="A358" s="418" t="s">
        <v>20</v>
      </c>
      <c r="B358" s="423">
        <f>B353</f>
        <v>1.59</v>
      </c>
      <c r="C358" s="423">
        <f t="shared" ref="C358:M358" si="192">C353</f>
        <v>1.59</v>
      </c>
      <c r="D358" s="423">
        <f t="shared" si="192"/>
        <v>1.59</v>
      </c>
      <c r="E358" s="423">
        <f t="shared" si="192"/>
        <v>1.59</v>
      </c>
      <c r="F358" s="423">
        <f t="shared" si="192"/>
        <v>1.59</v>
      </c>
      <c r="G358" s="423">
        <f t="shared" si="192"/>
        <v>1.59</v>
      </c>
      <c r="H358" s="423">
        <f t="shared" si="192"/>
        <v>1.59</v>
      </c>
      <c r="I358" s="423">
        <f t="shared" si="192"/>
        <v>1.59</v>
      </c>
      <c r="J358" s="423">
        <f t="shared" si="192"/>
        <v>1.59</v>
      </c>
      <c r="K358" s="423">
        <f t="shared" si="192"/>
        <v>1.59</v>
      </c>
      <c r="L358" s="423">
        <f t="shared" si="192"/>
        <v>1.59</v>
      </c>
      <c r="M358" s="423">
        <f t="shared" si="192"/>
        <v>1.59</v>
      </c>
      <c r="N358" s="257"/>
    </row>
    <row r="359" spans="1:15">
      <c r="A359" s="418" t="s">
        <v>17</v>
      </c>
      <c r="B359" s="420">
        <f t="shared" ref="B359:M359" si="193">B357*B358</f>
        <v>4770</v>
      </c>
      <c r="C359" s="420">
        <f t="shared" si="193"/>
        <v>4770</v>
      </c>
      <c r="D359" s="420">
        <f t="shared" si="193"/>
        <v>4770</v>
      </c>
      <c r="E359" s="420">
        <f t="shared" si="193"/>
        <v>4770</v>
      </c>
      <c r="F359" s="420">
        <f t="shared" si="193"/>
        <v>4770</v>
      </c>
      <c r="G359" s="420">
        <f t="shared" si="193"/>
        <v>4770</v>
      </c>
      <c r="H359" s="420">
        <f t="shared" si="193"/>
        <v>4770</v>
      </c>
      <c r="I359" s="420">
        <f t="shared" si="193"/>
        <v>4770</v>
      </c>
      <c r="J359" s="420">
        <f t="shared" si="193"/>
        <v>4770</v>
      </c>
      <c r="K359" s="420">
        <f t="shared" si="193"/>
        <v>4770</v>
      </c>
      <c r="L359" s="420">
        <f t="shared" si="193"/>
        <v>4770</v>
      </c>
      <c r="M359" s="420">
        <f t="shared" si="193"/>
        <v>4770</v>
      </c>
      <c r="N359" s="421">
        <f>SUM(B359:M359)</f>
        <v>57240</v>
      </c>
    </row>
    <row r="360" spans="1:15">
      <c r="A360" s="418"/>
      <c r="B360" s="420"/>
      <c r="C360" s="420"/>
      <c r="D360" s="420"/>
      <c r="E360" s="420"/>
      <c r="F360" s="420"/>
      <c r="G360" s="420"/>
      <c r="H360" s="420"/>
      <c r="I360" s="420"/>
      <c r="J360" s="420"/>
      <c r="K360" s="420"/>
      <c r="L360" s="420"/>
      <c r="M360" s="420"/>
      <c r="N360" s="421"/>
    </row>
    <row r="361" spans="1:15">
      <c r="A361" s="414" t="s">
        <v>179</v>
      </c>
      <c r="B361" s="304"/>
      <c r="C361" s="304"/>
      <c r="D361" s="304"/>
      <c r="E361" s="304"/>
      <c r="F361" s="304"/>
      <c r="G361" s="304"/>
      <c r="H361" s="304"/>
      <c r="I361" s="304"/>
      <c r="J361" s="304"/>
      <c r="K361" s="304"/>
      <c r="L361" s="304"/>
      <c r="M361" s="304"/>
      <c r="N361" s="257"/>
      <c r="O361" s="459"/>
    </row>
    <row r="362" spans="1:15">
      <c r="A362" s="415" t="s">
        <v>16</v>
      </c>
      <c r="B362" s="416"/>
      <c r="C362" s="416"/>
      <c r="D362" s="416"/>
      <c r="E362" s="416"/>
      <c r="F362" s="416"/>
      <c r="G362" s="416"/>
      <c r="H362" s="416"/>
      <c r="I362" s="416"/>
      <c r="J362" s="416"/>
      <c r="K362" s="416"/>
      <c r="L362" s="416"/>
      <c r="M362" s="416"/>
      <c r="N362" s="417">
        <f>SUM(B362:M362)</f>
        <v>0</v>
      </c>
    </row>
    <row r="363" spans="1:15">
      <c r="A363" s="418" t="s">
        <v>20</v>
      </c>
      <c r="B363" s="423">
        <f>B353</f>
        <v>1.59</v>
      </c>
      <c r="C363" s="423">
        <f t="shared" ref="C363:M363" si="194">C353</f>
        <v>1.59</v>
      </c>
      <c r="D363" s="423">
        <f t="shared" si="194"/>
        <v>1.59</v>
      </c>
      <c r="E363" s="423">
        <f t="shared" si="194"/>
        <v>1.59</v>
      </c>
      <c r="F363" s="423">
        <f t="shared" si="194"/>
        <v>1.59</v>
      </c>
      <c r="G363" s="423">
        <f t="shared" si="194"/>
        <v>1.59</v>
      </c>
      <c r="H363" s="423">
        <f t="shared" si="194"/>
        <v>1.59</v>
      </c>
      <c r="I363" s="423">
        <f t="shared" si="194"/>
        <v>1.59</v>
      </c>
      <c r="J363" s="423">
        <f t="shared" si="194"/>
        <v>1.59</v>
      </c>
      <c r="K363" s="423">
        <f t="shared" si="194"/>
        <v>1.59</v>
      </c>
      <c r="L363" s="423">
        <f t="shared" si="194"/>
        <v>1.59</v>
      </c>
      <c r="M363" s="423">
        <f t="shared" si="194"/>
        <v>1.59</v>
      </c>
      <c r="N363" s="257"/>
    </row>
    <row r="364" spans="1:15">
      <c r="A364" s="418" t="s">
        <v>17</v>
      </c>
      <c r="B364" s="420">
        <f t="shared" ref="B364:M364" si="195">B362*B363</f>
        <v>0</v>
      </c>
      <c r="C364" s="420">
        <f t="shared" si="195"/>
        <v>0</v>
      </c>
      <c r="D364" s="420">
        <f t="shared" si="195"/>
        <v>0</v>
      </c>
      <c r="E364" s="420">
        <f t="shared" si="195"/>
        <v>0</v>
      </c>
      <c r="F364" s="420">
        <f t="shared" si="195"/>
        <v>0</v>
      </c>
      <c r="G364" s="420">
        <f t="shared" si="195"/>
        <v>0</v>
      </c>
      <c r="H364" s="420">
        <f t="shared" si="195"/>
        <v>0</v>
      </c>
      <c r="I364" s="420">
        <f t="shared" si="195"/>
        <v>0</v>
      </c>
      <c r="J364" s="420">
        <f t="shared" si="195"/>
        <v>0</v>
      </c>
      <c r="K364" s="420">
        <f t="shared" si="195"/>
        <v>0</v>
      </c>
      <c r="L364" s="420">
        <f t="shared" si="195"/>
        <v>0</v>
      </c>
      <c r="M364" s="420">
        <f t="shared" si="195"/>
        <v>0</v>
      </c>
      <c r="N364" s="421">
        <f>SUM(B364:M364)</f>
        <v>0</v>
      </c>
    </row>
    <row r="365" spans="1:15">
      <c r="A365" s="418"/>
      <c r="B365" s="420"/>
      <c r="C365" s="420"/>
      <c r="D365" s="420"/>
      <c r="E365" s="420"/>
      <c r="F365" s="420"/>
      <c r="G365" s="420"/>
      <c r="H365" s="420"/>
      <c r="I365" s="420"/>
      <c r="J365" s="420"/>
      <c r="K365" s="420"/>
      <c r="L365" s="420"/>
      <c r="M365" s="420"/>
      <c r="N365" s="421"/>
    </row>
    <row r="366" spans="1:15">
      <c r="A366" s="414" t="s">
        <v>44</v>
      </c>
      <c r="B366" s="304"/>
      <c r="C366" s="304"/>
      <c r="D366" s="304"/>
      <c r="E366" s="304"/>
      <c r="F366" s="304"/>
      <c r="G366" s="304"/>
      <c r="H366" s="304"/>
      <c r="I366" s="304"/>
      <c r="J366" s="304"/>
      <c r="K366" s="304"/>
      <c r="L366" s="304"/>
      <c r="M366" s="304"/>
      <c r="N366" s="257"/>
      <c r="O366" s="459"/>
    </row>
    <row r="367" spans="1:15">
      <c r="A367" s="415" t="s">
        <v>16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7">
        <f>SUM(B367:M367)</f>
        <v>0</v>
      </c>
    </row>
    <row r="368" spans="1:15">
      <c r="A368" s="418" t="s">
        <v>20</v>
      </c>
      <c r="B368" s="423">
        <f>B363</f>
        <v>1.59</v>
      </c>
      <c r="C368" s="423">
        <f t="shared" ref="C368:M368" si="196">C363</f>
        <v>1.59</v>
      </c>
      <c r="D368" s="423">
        <f t="shared" si="196"/>
        <v>1.59</v>
      </c>
      <c r="E368" s="423">
        <f t="shared" si="196"/>
        <v>1.59</v>
      </c>
      <c r="F368" s="423">
        <f t="shared" si="196"/>
        <v>1.59</v>
      </c>
      <c r="G368" s="423">
        <f t="shared" si="196"/>
        <v>1.59</v>
      </c>
      <c r="H368" s="423">
        <f t="shared" si="196"/>
        <v>1.59</v>
      </c>
      <c r="I368" s="423">
        <f t="shared" si="196"/>
        <v>1.59</v>
      </c>
      <c r="J368" s="423">
        <f t="shared" si="196"/>
        <v>1.59</v>
      </c>
      <c r="K368" s="423">
        <f t="shared" si="196"/>
        <v>1.59</v>
      </c>
      <c r="L368" s="423">
        <f t="shared" si="196"/>
        <v>1.59</v>
      </c>
      <c r="M368" s="423">
        <f t="shared" si="196"/>
        <v>1.59</v>
      </c>
      <c r="N368" s="257"/>
    </row>
    <row r="369" spans="1:16">
      <c r="A369" s="418" t="s">
        <v>17</v>
      </c>
      <c r="B369" s="420">
        <f t="shared" ref="B369:M369" si="197">B367*B368</f>
        <v>0</v>
      </c>
      <c r="C369" s="420">
        <f t="shared" si="197"/>
        <v>0</v>
      </c>
      <c r="D369" s="420">
        <f t="shared" si="197"/>
        <v>0</v>
      </c>
      <c r="E369" s="420">
        <f t="shared" si="197"/>
        <v>0</v>
      </c>
      <c r="F369" s="420">
        <f t="shared" si="197"/>
        <v>0</v>
      </c>
      <c r="G369" s="420">
        <f t="shared" si="197"/>
        <v>0</v>
      </c>
      <c r="H369" s="420">
        <f t="shared" si="197"/>
        <v>0</v>
      </c>
      <c r="I369" s="420">
        <f t="shared" si="197"/>
        <v>0</v>
      </c>
      <c r="J369" s="420">
        <f t="shared" si="197"/>
        <v>0</v>
      </c>
      <c r="K369" s="420">
        <f t="shared" si="197"/>
        <v>0</v>
      </c>
      <c r="L369" s="420">
        <f t="shared" si="197"/>
        <v>0</v>
      </c>
      <c r="M369" s="420">
        <f t="shared" si="197"/>
        <v>0</v>
      </c>
      <c r="N369" s="421">
        <f>SUM(B369:M369)</f>
        <v>0</v>
      </c>
    </row>
    <row r="370" spans="1:16">
      <c r="A370" s="418"/>
      <c r="B370" s="420"/>
      <c r="C370" s="420"/>
      <c r="D370" s="420"/>
      <c r="E370" s="420"/>
      <c r="F370" s="420"/>
      <c r="G370" s="420"/>
      <c r="H370" s="420"/>
      <c r="I370" s="420"/>
      <c r="J370" s="420"/>
      <c r="K370" s="420"/>
      <c r="L370" s="420"/>
      <c r="M370" s="420"/>
      <c r="N370" s="421"/>
    </row>
    <row r="371" spans="1:16">
      <c r="A371" s="414" t="s">
        <v>117</v>
      </c>
      <c r="B371" s="304"/>
      <c r="C371" s="304"/>
      <c r="D371" s="304"/>
      <c r="E371" s="304"/>
      <c r="F371" s="304"/>
      <c r="G371" s="304"/>
      <c r="H371" s="304"/>
      <c r="I371" s="304"/>
      <c r="J371" s="304"/>
      <c r="K371" s="304"/>
      <c r="L371" s="304"/>
      <c r="M371" s="304"/>
      <c r="N371" s="257"/>
    </row>
    <row r="372" spans="1:16">
      <c r="A372" s="415" t="s">
        <v>16</v>
      </c>
      <c r="B372" s="416">
        <v>100000</v>
      </c>
      <c r="C372" s="416">
        <f>B372</f>
        <v>100000</v>
      </c>
      <c r="D372" s="416">
        <f t="shared" ref="D372" si="198">C372</f>
        <v>100000</v>
      </c>
      <c r="E372" s="416">
        <f t="shared" ref="E372" si="199">D372</f>
        <v>100000</v>
      </c>
      <c r="F372" s="416">
        <f t="shared" ref="F372" si="200">E372</f>
        <v>100000</v>
      </c>
      <c r="G372" s="416">
        <f t="shared" ref="G372" si="201">F372</f>
        <v>100000</v>
      </c>
      <c r="H372" s="416">
        <f t="shared" ref="H372" si="202">G372</f>
        <v>100000</v>
      </c>
      <c r="I372" s="416">
        <f t="shared" ref="I372" si="203">H372</f>
        <v>100000</v>
      </c>
      <c r="J372" s="416">
        <f t="shared" ref="J372" si="204">I372</f>
        <v>100000</v>
      </c>
      <c r="K372" s="416">
        <f t="shared" ref="K372" si="205">J372</f>
        <v>100000</v>
      </c>
      <c r="L372" s="416">
        <f t="shared" ref="L372" si="206">K372</f>
        <v>100000</v>
      </c>
      <c r="M372" s="416">
        <f t="shared" ref="M372" si="207">L372</f>
        <v>100000</v>
      </c>
      <c r="N372" s="417">
        <f>SUM(B372:M372)</f>
        <v>1200000</v>
      </c>
    </row>
    <row r="373" spans="1:16">
      <c r="A373" s="418" t="s">
        <v>20</v>
      </c>
      <c r="B373" s="423">
        <f>B368</f>
        <v>1.59</v>
      </c>
      <c r="C373" s="423">
        <f t="shared" ref="C373:M373" si="208">C368</f>
        <v>1.59</v>
      </c>
      <c r="D373" s="423">
        <f t="shared" si="208"/>
        <v>1.59</v>
      </c>
      <c r="E373" s="423">
        <f t="shared" si="208"/>
        <v>1.59</v>
      </c>
      <c r="F373" s="423">
        <f t="shared" si="208"/>
        <v>1.59</v>
      </c>
      <c r="G373" s="423">
        <f t="shared" si="208"/>
        <v>1.59</v>
      </c>
      <c r="H373" s="423">
        <f t="shared" si="208"/>
        <v>1.59</v>
      </c>
      <c r="I373" s="423">
        <f t="shared" si="208"/>
        <v>1.59</v>
      </c>
      <c r="J373" s="423">
        <f t="shared" si="208"/>
        <v>1.59</v>
      </c>
      <c r="K373" s="423">
        <f t="shared" si="208"/>
        <v>1.59</v>
      </c>
      <c r="L373" s="423">
        <f t="shared" si="208"/>
        <v>1.59</v>
      </c>
      <c r="M373" s="423">
        <f t="shared" si="208"/>
        <v>1.59</v>
      </c>
      <c r="N373" s="257"/>
    </row>
    <row r="374" spans="1:16">
      <c r="A374" s="418" t="s">
        <v>17</v>
      </c>
      <c r="B374" s="420">
        <f t="shared" ref="B374:M374" si="209">B372*B373</f>
        <v>159000</v>
      </c>
      <c r="C374" s="420">
        <f t="shared" si="209"/>
        <v>159000</v>
      </c>
      <c r="D374" s="420">
        <f t="shared" si="209"/>
        <v>159000</v>
      </c>
      <c r="E374" s="420">
        <f t="shared" si="209"/>
        <v>159000</v>
      </c>
      <c r="F374" s="420">
        <f t="shared" si="209"/>
        <v>159000</v>
      </c>
      <c r="G374" s="420">
        <f t="shared" si="209"/>
        <v>159000</v>
      </c>
      <c r="H374" s="420">
        <f t="shared" si="209"/>
        <v>159000</v>
      </c>
      <c r="I374" s="420">
        <f t="shared" si="209"/>
        <v>159000</v>
      </c>
      <c r="J374" s="420">
        <f t="shared" si="209"/>
        <v>159000</v>
      </c>
      <c r="K374" s="420">
        <f t="shared" si="209"/>
        <v>159000</v>
      </c>
      <c r="L374" s="420">
        <f t="shared" si="209"/>
        <v>159000</v>
      </c>
      <c r="M374" s="420">
        <f t="shared" si="209"/>
        <v>159000</v>
      </c>
      <c r="N374" s="421">
        <f>SUM(B374:M374)</f>
        <v>1908000</v>
      </c>
    </row>
    <row r="375" spans="1:16">
      <c r="A375" s="418"/>
      <c r="B375" s="420"/>
      <c r="C375" s="420"/>
      <c r="D375" s="420"/>
      <c r="E375" s="420"/>
      <c r="F375" s="420"/>
      <c r="G375" s="420"/>
      <c r="H375" s="420"/>
      <c r="I375" s="420"/>
      <c r="J375" s="420"/>
      <c r="K375" s="420"/>
      <c r="L375" s="420"/>
      <c r="M375" s="420"/>
      <c r="N375" s="421"/>
    </row>
    <row r="376" spans="1:16">
      <c r="A376" s="424" t="s">
        <v>25</v>
      </c>
      <c r="B376" s="425">
        <f t="shared" ref="B376:M376" si="210">B329+B334+B339+B344+B349+B354+B369+B364+B374+B359</f>
        <v>392819.04000000004</v>
      </c>
      <c r="C376" s="425">
        <f t="shared" si="210"/>
        <v>392819.04000000004</v>
      </c>
      <c r="D376" s="425">
        <f t="shared" si="210"/>
        <v>392819.04000000004</v>
      </c>
      <c r="E376" s="425">
        <f t="shared" si="210"/>
        <v>392819.04000000004</v>
      </c>
      <c r="F376" s="425">
        <f t="shared" si="210"/>
        <v>392819.04000000004</v>
      </c>
      <c r="G376" s="425">
        <f t="shared" si="210"/>
        <v>392819.04000000004</v>
      </c>
      <c r="H376" s="425">
        <f t="shared" si="210"/>
        <v>392819.04000000004</v>
      </c>
      <c r="I376" s="425">
        <f t="shared" si="210"/>
        <v>392819.04000000004</v>
      </c>
      <c r="J376" s="425">
        <f t="shared" si="210"/>
        <v>392819.04000000004</v>
      </c>
      <c r="K376" s="425">
        <f t="shared" si="210"/>
        <v>392819.04000000004</v>
      </c>
      <c r="L376" s="425">
        <f t="shared" si="210"/>
        <v>392819.04000000004</v>
      </c>
      <c r="M376" s="425">
        <f t="shared" si="210"/>
        <v>392819.04000000004</v>
      </c>
      <c r="N376" s="426">
        <f>SUM(B376:M376)</f>
        <v>4713828.4800000004</v>
      </c>
    </row>
    <row r="377" spans="1:16">
      <c r="A377" s="427" t="s">
        <v>60</v>
      </c>
      <c r="B377" s="432">
        <f>B327+B332+B337+B342+B347+B352+B362+B367+B372+B357</f>
        <v>247056</v>
      </c>
      <c r="C377" s="432">
        <f t="shared" ref="C377:M377" si="211">C327+C332+C337+C342+C347+C352+C362+C367+C372+C357</f>
        <v>247056</v>
      </c>
      <c r="D377" s="432">
        <f t="shared" si="211"/>
        <v>247056</v>
      </c>
      <c r="E377" s="432">
        <f t="shared" si="211"/>
        <v>247056</v>
      </c>
      <c r="F377" s="432">
        <f t="shared" si="211"/>
        <v>247056</v>
      </c>
      <c r="G377" s="432">
        <f t="shared" si="211"/>
        <v>247056</v>
      </c>
      <c r="H377" s="432">
        <f t="shared" si="211"/>
        <v>247056</v>
      </c>
      <c r="I377" s="432">
        <f t="shared" si="211"/>
        <v>247056</v>
      </c>
      <c r="J377" s="432">
        <f t="shared" si="211"/>
        <v>247056</v>
      </c>
      <c r="K377" s="432">
        <f t="shared" si="211"/>
        <v>247056</v>
      </c>
      <c r="L377" s="432">
        <f t="shared" si="211"/>
        <v>247056</v>
      </c>
      <c r="M377" s="432">
        <f t="shared" si="211"/>
        <v>247056</v>
      </c>
      <c r="N377" s="429">
        <f>SUM(B377:M377)</f>
        <v>2964672</v>
      </c>
      <c r="O377" s="28">
        <f>'TSAS Scheduling Revenue (1)'!N389</f>
        <v>2964672</v>
      </c>
      <c r="P377" s="28">
        <f>'TSAS Reactive Revenues (2)'!N379</f>
        <v>2964672</v>
      </c>
    </row>
    <row r="378" spans="1:16">
      <c r="A378" s="406">
        <f>+A323+1</f>
        <v>2020</v>
      </c>
      <c r="B378" s="407"/>
      <c r="C378" s="407"/>
      <c r="D378" s="407"/>
      <c r="E378" s="407"/>
      <c r="F378" s="407"/>
      <c r="G378" s="407"/>
      <c r="H378" s="407"/>
      <c r="I378" s="407"/>
      <c r="J378" s="407"/>
      <c r="K378" s="407"/>
      <c r="L378" s="407"/>
      <c r="M378" s="407"/>
      <c r="N378" s="408"/>
    </row>
    <row r="379" spans="1:16" ht="13.2">
      <c r="A379" s="409" t="s">
        <v>19</v>
      </c>
      <c r="B379" s="412"/>
      <c r="C379" s="412"/>
      <c r="D379" s="412"/>
      <c r="E379" s="412"/>
      <c r="F379" s="412"/>
      <c r="G379" s="412"/>
      <c r="H379" s="412"/>
      <c r="I379" s="412"/>
      <c r="J379" s="412"/>
      <c r="K379" s="412"/>
      <c r="L379" s="412"/>
      <c r="M379" s="412"/>
      <c r="N379" s="413"/>
    </row>
    <row r="380" spans="1:16">
      <c r="A380" s="409"/>
      <c r="B380" s="410"/>
      <c r="C380" s="410"/>
      <c r="D380" s="410"/>
      <c r="E380" s="410"/>
      <c r="F380" s="410"/>
      <c r="G380" s="410"/>
      <c r="H380" s="410"/>
      <c r="I380" s="410"/>
      <c r="J380" s="410"/>
      <c r="K380" s="410"/>
      <c r="L380" s="410"/>
      <c r="M380" s="410"/>
      <c r="N380" s="411"/>
    </row>
    <row r="381" spans="1:16">
      <c r="A381" s="414" t="s">
        <v>359</v>
      </c>
      <c r="B381" s="304"/>
      <c r="C381" s="304"/>
      <c r="D381" s="304"/>
      <c r="E381" s="304"/>
      <c r="F381" s="304"/>
      <c r="G381" s="304"/>
      <c r="H381" s="304"/>
      <c r="I381" s="304"/>
      <c r="J381" s="304"/>
      <c r="K381" s="304"/>
      <c r="L381" s="304"/>
      <c r="M381" s="304"/>
      <c r="N381" s="257"/>
      <c r="O381" s="459"/>
    </row>
    <row r="382" spans="1:16">
      <c r="A382" s="415" t="s">
        <v>16</v>
      </c>
      <c r="B382" s="416">
        <f>B327</f>
        <v>5000</v>
      </c>
      <c r="C382" s="416">
        <f>$B382</f>
        <v>5000</v>
      </c>
      <c r="D382" s="416">
        <f>$B382</f>
        <v>5000</v>
      </c>
      <c r="E382" s="416">
        <f>$B382</f>
        <v>5000</v>
      </c>
      <c r="F382" s="416">
        <f>$B382</f>
        <v>5000</v>
      </c>
      <c r="G382" s="416">
        <f t="shared" ref="G382" si="212">F382</f>
        <v>5000</v>
      </c>
      <c r="H382" s="416">
        <f t="shared" ref="H382" si="213">G382</f>
        <v>5000</v>
      </c>
      <c r="I382" s="416">
        <f t="shared" ref="I382" si="214">H382</f>
        <v>5000</v>
      </c>
      <c r="J382" s="416">
        <f t="shared" ref="J382" si="215">I382</f>
        <v>5000</v>
      </c>
      <c r="K382" s="416">
        <f t="shared" ref="K382" si="216">J382</f>
        <v>5000</v>
      </c>
      <c r="L382" s="416">
        <f t="shared" ref="L382" si="217">K382</f>
        <v>5000</v>
      </c>
      <c r="M382" s="416">
        <f t="shared" ref="M382" si="218">L382</f>
        <v>5000</v>
      </c>
      <c r="N382" s="417">
        <f>SUM(B382:M382)</f>
        <v>60000</v>
      </c>
      <c r="O382" s="20" t="s">
        <v>381</v>
      </c>
    </row>
    <row r="383" spans="1:16">
      <c r="A383" s="418" t="s">
        <v>20</v>
      </c>
      <c r="B383" s="419">
        <f>'Transmission Formula Rate (7)'!B22</f>
        <v>1.59</v>
      </c>
      <c r="C383" s="419">
        <f>'Transmission Formula Rate (7)'!C22</f>
        <v>1.59</v>
      </c>
      <c r="D383" s="419">
        <f>'Transmission Formula Rate (7)'!D22</f>
        <v>1.59</v>
      </c>
      <c r="E383" s="419">
        <f>'Transmission Formula Rate (7)'!E22</f>
        <v>1.59</v>
      </c>
      <c r="F383" s="419">
        <f>'Transmission Formula Rate (7)'!F22</f>
        <v>1.59</v>
      </c>
      <c r="G383" s="419">
        <f>'Transmission Formula Rate (7)'!G22</f>
        <v>1.59</v>
      </c>
      <c r="H383" s="419">
        <f>'Transmission Formula Rate (7)'!H22</f>
        <v>1.59</v>
      </c>
      <c r="I383" s="419">
        <f>'Transmission Formula Rate (7)'!I22</f>
        <v>1.59</v>
      </c>
      <c r="J383" s="419">
        <f>'Transmission Formula Rate (7)'!J22</f>
        <v>1.59</v>
      </c>
      <c r="K383" s="419">
        <f>'Transmission Formula Rate (7)'!K22</f>
        <v>1.59</v>
      </c>
      <c r="L383" s="419">
        <f>'Transmission Formula Rate (7)'!L22</f>
        <v>1.59</v>
      </c>
      <c r="M383" s="419">
        <f>'Transmission Formula Rate (7)'!M22</f>
        <v>1.59</v>
      </c>
      <c r="N383" s="257"/>
    </row>
    <row r="384" spans="1:16">
      <c r="A384" s="418" t="s">
        <v>17</v>
      </c>
      <c r="B384" s="420">
        <f t="shared" ref="B384:M384" si="219">B382*B383</f>
        <v>7950</v>
      </c>
      <c r="C384" s="420">
        <f t="shared" si="219"/>
        <v>7950</v>
      </c>
      <c r="D384" s="420">
        <f t="shared" si="219"/>
        <v>7950</v>
      </c>
      <c r="E384" s="420">
        <f t="shared" si="219"/>
        <v>7950</v>
      </c>
      <c r="F384" s="420">
        <f t="shared" si="219"/>
        <v>7950</v>
      </c>
      <c r="G384" s="420">
        <f t="shared" si="219"/>
        <v>7950</v>
      </c>
      <c r="H384" s="420">
        <f t="shared" si="219"/>
        <v>7950</v>
      </c>
      <c r="I384" s="420">
        <f t="shared" si="219"/>
        <v>7950</v>
      </c>
      <c r="J384" s="420">
        <f t="shared" si="219"/>
        <v>7950</v>
      </c>
      <c r="K384" s="420">
        <f t="shared" si="219"/>
        <v>7950</v>
      </c>
      <c r="L384" s="420">
        <f t="shared" si="219"/>
        <v>7950</v>
      </c>
      <c r="M384" s="420">
        <f t="shared" si="219"/>
        <v>7950</v>
      </c>
      <c r="N384" s="421">
        <f>SUM(B384:M384)</f>
        <v>95400</v>
      </c>
    </row>
    <row r="385" spans="1:15">
      <c r="A385" s="422"/>
      <c r="B385" s="304"/>
      <c r="C385" s="304"/>
      <c r="D385" s="304"/>
      <c r="E385" s="304"/>
      <c r="F385" s="304"/>
      <c r="G385" s="304"/>
      <c r="H385" s="304"/>
      <c r="I385" s="304"/>
      <c r="J385" s="304"/>
      <c r="K385" s="304"/>
      <c r="L385" s="304"/>
      <c r="M385" s="304"/>
      <c r="N385" s="257"/>
    </row>
    <row r="386" spans="1:15">
      <c r="A386" s="431"/>
      <c r="B386" s="304"/>
      <c r="C386" s="304"/>
      <c r="D386" s="304"/>
      <c r="E386" s="304"/>
      <c r="F386" s="304"/>
      <c r="G386" s="304"/>
      <c r="H386" s="304"/>
      <c r="I386" s="304"/>
      <c r="J386" s="304"/>
      <c r="K386" s="304"/>
      <c r="L386" s="304"/>
      <c r="M386" s="304"/>
      <c r="N386" s="257"/>
    </row>
    <row r="387" spans="1:15">
      <c r="A387" s="415" t="s">
        <v>16</v>
      </c>
      <c r="B387" s="416">
        <v>0</v>
      </c>
      <c r="C387" s="416">
        <v>0</v>
      </c>
      <c r="D387" s="416">
        <v>0</v>
      </c>
      <c r="E387" s="416">
        <v>0</v>
      </c>
      <c r="F387" s="416">
        <v>0</v>
      </c>
      <c r="G387" s="416">
        <v>0</v>
      </c>
      <c r="H387" s="416">
        <v>0</v>
      </c>
      <c r="I387" s="416">
        <v>0</v>
      </c>
      <c r="J387" s="416">
        <v>0</v>
      </c>
      <c r="K387" s="416">
        <v>0</v>
      </c>
      <c r="L387" s="416">
        <v>0</v>
      </c>
      <c r="M387" s="416">
        <v>0</v>
      </c>
      <c r="N387" s="417">
        <f>SUM(B387:M387)</f>
        <v>0</v>
      </c>
    </row>
    <row r="388" spans="1:15">
      <c r="A388" s="418" t="s">
        <v>20</v>
      </c>
      <c r="B388" s="419">
        <f>B383</f>
        <v>1.59</v>
      </c>
      <c r="C388" s="419">
        <f t="shared" ref="C388:M388" si="220">C383</f>
        <v>1.59</v>
      </c>
      <c r="D388" s="419">
        <f t="shared" si="220"/>
        <v>1.59</v>
      </c>
      <c r="E388" s="419">
        <f t="shared" si="220"/>
        <v>1.59</v>
      </c>
      <c r="F388" s="419">
        <f t="shared" si="220"/>
        <v>1.59</v>
      </c>
      <c r="G388" s="419">
        <f t="shared" si="220"/>
        <v>1.59</v>
      </c>
      <c r="H388" s="419">
        <f t="shared" si="220"/>
        <v>1.59</v>
      </c>
      <c r="I388" s="419">
        <f t="shared" si="220"/>
        <v>1.59</v>
      </c>
      <c r="J388" s="419">
        <f t="shared" si="220"/>
        <v>1.59</v>
      </c>
      <c r="K388" s="419">
        <f t="shared" si="220"/>
        <v>1.59</v>
      </c>
      <c r="L388" s="419">
        <f t="shared" si="220"/>
        <v>1.59</v>
      </c>
      <c r="M388" s="419">
        <f t="shared" si="220"/>
        <v>1.59</v>
      </c>
      <c r="N388" s="257"/>
    </row>
    <row r="389" spans="1:15">
      <c r="A389" s="418" t="s">
        <v>17</v>
      </c>
      <c r="B389" s="420">
        <f t="shared" ref="B389:M389" si="221">B387*B388</f>
        <v>0</v>
      </c>
      <c r="C389" s="420">
        <f t="shared" si="221"/>
        <v>0</v>
      </c>
      <c r="D389" s="420">
        <f t="shared" si="221"/>
        <v>0</v>
      </c>
      <c r="E389" s="420">
        <f t="shared" si="221"/>
        <v>0</v>
      </c>
      <c r="F389" s="420">
        <f t="shared" si="221"/>
        <v>0</v>
      </c>
      <c r="G389" s="420">
        <f t="shared" si="221"/>
        <v>0</v>
      </c>
      <c r="H389" s="420">
        <f t="shared" si="221"/>
        <v>0</v>
      </c>
      <c r="I389" s="420">
        <f t="shared" si="221"/>
        <v>0</v>
      </c>
      <c r="J389" s="420">
        <f t="shared" si="221"/>
        <v>0</v>
      </c>
      <c r="K389" s="420">
        <f t="shared" si="221"/>
        <v>0</v>
      </c>
      <c r="L389" s="420">
        <f t="shared" si="221"/>
        <v>0</v>
      </c>
      <c r="M389" s="420">
        <f t="shared" si="221"/>
        <v>0</v>
      </c>
      <c r="N389" s="421">
        <f>SUM(B389:M389)</f>
        <v>0</v>
      </c>
    </row>
    <row r="390" spans="1:15">
      <c r="A390" s="422"/>
      <c r="B390" s="420"/>
      <c r="C390" s="304"/>
      <c r="D390" s="304"/>
      <c r="E390" s="304"/>
      <c r="F390" s="304"/>
      <c r="G390" s="304"/>
      <c r="H390" s="304"/>
      <c r="I390" s="304"/>
      <c r="J390" s="304"/>
      <c r="K390" s="304"/>
      <c r="L390" s="304"/>
      <c r="M390" s="304"/>
      <c r="N390" s="257"/>
    </row>
    <row r="391" spans="1:15">
      <c r="A391" s="431"/>
      <c r="B391" s="304"/>
      <c r="C391" s="304"/>
      <c r="D391" s="304"/>
      <c r="E391" s="304"/>
      <c r="F391" s="304"/>
      <c r="G391" s="304"/>
      <c r="H391" s="304"/>
      <c r="I391" s="304"/>
      <c r="J391" s="304"/>
      <c r="K391" s="304"/>
      <c r="L391" s="304"/>
      <c r="M391" s="304"/>
      <c r="N391" s="257"/>
    </row>
    <row r="392" spans="1:15">
      <c r="A392" s="415" t="s">
        <v>16</v>
      </c>
      <c r="B392" s="416">
        <v>0</v>
      </c>
      <c r="C392" s="416">
        <v>0</v>
      </c>
      <c r="D392" s="416">
        <v>0</v>
      </c>
      <c r="E392" s="416">
        <v>0</v>
      </c>
      <c r="F392" s="416">
        <v>0</v>
      </c>
      <c r="G392" s="416">
        <v>0</v>
      </c>
      <c r="H392" s="416">
        <v>0</v>
      </c>
      <c r="I392" s="416">
        <v>0</v>
      </c>
      <c r="J392" s="416">
        <v>0</v>
      </c>
      <c r="K392" s="416">
        <v>0</v>
      </c>
      <c r="L392" s="416">
        <v>0</v>
      </c>
      <c r="M392" s="416">
        <v>0</v>
      </c>
      <c r="N392" s="417">
        <f>SUM(B392:M392)</f>
        <v>0</v>
      </c>
    </row>
    <row r="393" spans="1:15">
      <c r="A393" s="418" t="s">
        <v>20</v>
      </c>
      <c r="B393" s="423">
        <f>B388</f>
        <v>1.59</v>
      </c>
      <c r="C393" s="423">
        <f t="shared" ref="C393:M393" si="222">C388</f>
        <v>1.59</v>
      </c>
      <c r="D393" s="423">
        <f t="shared" si="222"/>
        <v>1.59</v>
      </c>
      <c r="E393" s="423">
        <f t="shared" si="222"/>
        <v>1.59</v>
      </c>
      <c r="F393" s="423">
        <f t="shared" si="222"/>
        <v>1.59</v>
      </c>
      <c r="G393" s="423">
        <f t="shared" si="222"/>
        <v>1.59</v>
      </c>
      <c r="H393" s="423">
        <f t="shared" si="222"/>
        <v>1.59</v>
      </c>
      <c r="I393" s="423">
        <f t="shared" si="222"/>
        <v>1.59</v>
      </c>
      <c r="J393" s="423">
        <f t="shared" si="222"/>
        <v>1.59</v>
      </c>
      <c r="K393" s="423">
        <f t="shared" si="222"/>
        <v>1.59</v>
      </c>
      <c r="L393" s="423">
        <f t="shared" si="222"/>
        <v>1.59</v>
      </c>
      <c r="M393" s="423">
        <f t="shared" si="222"/>
        <v>1.59</v>
      </c>
      <c r="N393" s="257"/>
    </row>
    <row r="394" spans="1:15">
      <c r="A394" s="418" t="s">
        <v>17</v>
      </c>
      <c r="B394" s="420">
        <f t="shared" ref="B394:M394" si="223">B392*B393</f>
        <v>0</v>
      </c>
      <c r="C394" s="420">
        <f t="shared" si="223"/>
        <v>0</v>
      </c>
      <c r="D394" s="420">
        <f t="shared" si="223"/>
        <v>0</v>
      </c>
      <c r="E394" s="420">
        <f t="shared" si="223"/>
        <v>0</v>
      </c>
      <c r="F394" s="420">
        <f t="shared" si="223"/>
        <v>0</v>
      </c>
      <c r="G394" s="420">
        <f t="shared" si="223"/>
        <v>0</v>
      </c>
      <c r="H394" s="420">
        <f t="shared" si="223"/>
        <v>0</v>
      </c>
      <c r="I394" s="420">
        <f t="shared" si="223"/>
        <v>0</v>
      </c>
      <c r="J394" s="420">
        <f t="shared" si="223"/>
        <v>0</v>
      </c>
      <c r="K394" s="420">
        <f t="shared" si="223"/>
        <v>0</v>
      </c>
      <c r="L394" s="420">
        <f t="shared" si="223"/>
        <v>0</v>
      </c>
      <c r="M394" s="420">
        <f t="shared" si="223"/>
        <v>0</v>
      </c>
      <c r="N394" s="421">
        <f>SUM(B394:M394)</f>
        <v>0</v>
      </c>
    </row>
    <row r="395" spans="1:15">
      <c r="A395" s="422"/>
      <c r="B395" s="420"/>
      <c r="C395" s="304"/>
      <c r="D395" s="304"/>
      <c r="E395" s="304"/>
      <c r="F395" s="304"/>
      <c r="G395" s="304"/>
      <c r="H395" s="304"/>
      <c r="I395" s="304"/>
      <c r="J395" s="304"/>
      <c r="K395" s="304"/>
      <c r="L395" s="304"/>
      <c r="M395" s="304"/>
      <c r="N395" s="257"/>
    </row>
    <row r="396" spans="1:15">
      <c r="A396" s="414" t="s">
        <v>23</v>
      </c>
      <c r="B396" s="304"/>
      <c r="C396" s="304"/>
      <c r="D396" s="304"/>
      <c r="E396" s="304"/>
      <c r="F396" s="304"/>
      <c r="G396" s="304"/>
      <c r="H396" s="304"/>
      <c r="I396" s="304"/>
      <c r="J396" s="304"/>
      <c r="K396" s="304"/>
      <c r="L396" s="304"/>
      <c r="M396" s="304"/>
      <c r="N396" s="257"/>
      <c r="O396" s="459"/>
    </row>
    <row r="397" spans="1:15">
      <c r="A397" s="415" t="s">
        <v>16</v>
      </c>
      <c r="B397" s="416">
        <f>B342</f>
        <v>37056</v>
      </c>
      <c r="C397" s="416">
        <f t="shared" ref="C397:M397" si="224">C342</f>
        <v>37056</v>
      </c>
      <c r="D397" s="416">
        <f t="shared" si="224"/>
        <v>37056</v>
      </c>
      <c r="E397" s="416">
        <f t="shared" si="224"/>
        <v>37056</v>
      </c>
      <c r="F397" s="416">
        <f t="shared" si="224"/>
        <v>37056</v>
      </c>
      <c r="G397" s="416">
        <f t="shared" si="224"/>
        <v>37056</v>
      </c>
      <c r="H397" s="416">
        <f t="shared" si="224"/>
        <v>37056</v>
      </c>
      <c r="I397" s="416">
        <f t="shared" si="224"/>
        <v>37056</v>
      </c>
      <c r="J397" s="416">
        <f t="shared" si="224"/>
        <v>37056</v>
      </c>
      <c r="K397" s="416">
        <f t="shared" si="224"/>
        <v>37056</v>
      </c>
      <c r="L397" s="416">
        <f t="shared" si="224"/>
        <v>37056</v>
      </c>
      <c r="M397" s="416">
        <f t="shared" si="224"/>
        <v>37056</v>
      </c>
      <c r="N397" s="417">
        <f>SUM(B397:M397)</f>
        <v>444672</v>
      </c>
    </row>
    <row r="398" spans="1:15">
      <c r="A398" s="418" t="s">
        <v>20</v>
      </c>
      <c r="B398" s="423">
        <f>B393</f>
        <v>1.59</v>
      </c>
      <c r="C398" s="423">
        <f t="shared" ref="C398:M398" si="225">C393</f>
        <v>1.59</v>
      </c>
      <c r="D398" s="423">
        <f t="shared" si="225"/>
        <v>1.59</v>
      </c>
      <c r="E398" s="423">
        <f t="shared" si="225"/>
        <v>1.59</v>
      </c>
      <c r="F398" s="423">
        <f t="shared" si="225"/>
        <v>1.59</v>
      </c>
      <c r="G398" s="423">
        <f t="shared" si="225"/>
        <v>1.59</v>
      </c>
      <c r="H398" s="423">
        <f t="shared" si="225"/>
        <v>1.59</v>
      </c>
      <c r="I398" s="423">
        <f t="shared" si="225"/>
        <v>1.59</v>
      </c>
      <c r="J398" s="423">
        <f t="shared" si="225"/>
        <v>1.59</v>
      </c>
      <c r="K398" s="423">
        <f t="shared" si="225"/>
        <v>1.59</v>
      </c>
      <c r="L398" s="423">
        <f t="shared" si="225"/>
        <v>1.59</v>
      </c>
      <c r="M398" s="423">
        <f t="shared" si="225"/>
        <v>1.59</v>
      </c>
      <c r="N398" s="257"/>
    </row>
    <row r="399" spans="1:15">
      <c r="A399" s="418" t="s">
        <v>17</v>
      </c>
      <c r="B399" s="420">
        <f t="shared" ref="B399:M399" si="226">B397*B398</f>
        <v>58919.040000000001</v>
      </c>
      <c r="C399" s="420">
        <f t="shared" si="226"/>
        <v>58919.040000000001</v>
      </c>
      <c r="D399" s="420">
        <f t="shared" si="226"/>
        <v>58919.040000000001</v>
      </c>
      <c r="E399" s="420">
        <f t="shared" si="226"/>
        <v>58919.040000000001</v>
      </c>
      <c r="F399" s="420">
        <f t="shared" si="226"/>
        <v>58919.040000000001</v>
      </c>
      <c r="G399" s="420">
        <f t="shared" si="226"/>
        <v>58919.040000000001</v>
      </c>
      <c r="H399" s="420">
        <f t="shared" si="226"/>
        <v>58919.040000000001</v>
      </c>
      <c r="I399" s="420">
        <f t="shared" si="226"/>
        <v>58919.040000000001</v>
      </c>
      <c r="J399" s="420">
        <f t="shared" si="226"/>
        <v>58919.040000000001</v>
      </c>
      <c r="K399" s="420">
        <f t="shared" si="226"/>
        <v>58919.040000000001</v>
      </c>
      <c r="L399" s="420">
        <f t="shared" si="226"/>
        <v>58919.040000000001</v>
      </c>
      <c r="M399" s="420">
        <f t="shared" si="226"/>
        <v>58919.040000000001</v>
      </c>
      <c r="N399" s="421">
        <f>SUM(B399:M399)</f>
        <v>707028.4800000001</v>
      </c>
    </row>
    <row r="400" spans="1:15">
      <c r="A400" s="422"/>
      <c r="B400" s="420"/>
      <c r="C400" s="304"/>
      <c r="D400" s="304"/>
      <c r="E400" s="304"/>
      <c r="F400" s="304"/>
      <c r="G400" s="304"/>
      <c r="H400" s="304"/>
      <c r="I400" s="304"/>
      <c r="J400" s="304"/>
      <c r="K400" s="304"/>
      <c r="L400" s="304"/>
      <c r="M400" s="304"/>
      <c r="N400" s="257"/>
    </row>
    <row r="401" spans="1:15">
      <c r="A401" s="414" t="s">
        <v>24</v>
      </c>
      <c r="B401" s="304"/>
      <c r="C401" s="304"/>
      <c r="D401" s="304"/>
      <c r="E401" s="304"/>
      <c r="F401" s="304"/>
      <c r="G401" s="304"/>
      <c r="H401" s="304"/>
      <c r="I401" s="304"/>
      <c r="J401" s="304"/>
      <c r="K401" s="304"/>
      <c r="L401" s="304"/>
      <c r="M401" s="304"/>
      <c r="N401" s="257"/>
      <c r="O401" s="459"/>
    </row>
    <row r="402" spans="1:15">
      <c r="A402" s="415" t="s">
        <v>16</v>
      </c>
      <c r="B402" s="416">
        <v>62000</v>
      </c>
      <c r="C402" s="416">
        <v>62000</v>
      </c>
      <c r="D402" s="416">
        <v>62000</v>
      </c>
      <c r="E402" s="416">
        <v>62000</v>
      </c>
      <c r="F402" s="416">
        <v>62000</v>
      </c>
      <c r="G402" s="416">
        <v>62000</v>
      </c>
      <c r="H402" s="416">
        <v>62000</v>
      </c>
      <c r="I402" s="416">
        <v>62000</v>
      </c>
      <c r="J402" s="416">
        <v>62000</v>
      </c>
      <c r="K402" s="416">
        <v>62000</v>
      </c>
      <c r="L402" s="416">
        <v>62000</v>
      </c>
      <c r="M402" s="416">
        <v>62000</v>
      </c>
      <c r="N402" s="417">
        <f>SUM(B402:M402)</f>
        <v>744000</v>
      </c>
    </row>
    <row r="403" spans="1:15">
      <c r="A403" s="418" t="s">
        <v>20</v>
      </c>
      <c r="B403" s="423">
        <f>B398</f>
        <v>1.59</v>
      </c>
      <c r="C403" s="423">
        <f t="shared" ref="C403:M403" si="227">C398</f>
        <v>1.59</v>
      </c>
      <c r="D403" s="423">
        <f t="shared" si="227"/>
        <v>1.59</v>
      </c>
      <c r="E403" s="423">
        <f t="shared" si="227"/>
        <v>1.59</v>
      </c>
      <c r="F403" s="423">
        <f t="shared" si="227"/>
        <v>1.59</v>
      </c>
      <c r="G403" s="423">
        <f t="shared" si="227"/>
        <v>1.59</v>
      </c>
      <c r="H403" s="423">
        <f t="shared" si="227"/>
        <v>1.59</v>
      </c>
      <c r="I403" s="423">
        <f t="shared" si="227"/>
        <v>1.59</v>
      </c>
      <c r="J403" s="423">
        <f t="shared" si="227"/>
        <v>1.59</v>
      </c>
      <c r="K403" s="423">
        <f t="shared" si="227"/>
        <v>1.59</v>
      </c>
      <c r="L403" s="423">
        <f t="shared" si="227"/>
        <v>1.59</v>
      </c>
      <c r="M403" s="423">
        <f t="shared" si="227"/>
        <v>1.59</v>
      </c>
      <c r="N403" s="257"/>
    </row>
    <row r="404" spans="1:15">
      <c r="A404" s="418" t="s">
        <v>17</v>
      </c>
      <c r="B404" s="420">
        <f t="shared" ref="B404:M404" si="228">B402*B403</f>
        <v>98580</v>
      </c>
      <c r="C404" s="420">
        <f t="shared" si="228"/>
        <v>98580</v>
      </c>
      <c r="D404" s="420">
        <f t="shared" si="228"/>
        <v>98580</v>
      </c>
      <c r="E404" s="420">
        <f t="shared" si="228"/>
        <v>98580</v>
      </c>
      <c r="F404" s="420">
        <f t="shared" si="228"/>
        <v>98580</v>
      </c>
      <c r="G404" s="420">
        <f t="shared" si="228"/>
        <v>98580</v>
      </c>
      <c r="H404" s="420">
        <f t="shared" si="228"/>
        <v>98580</v>
      </c>
      <c r="I404" s="420">
        <f t="shared" si="228"/>
        <v>98580</v>
      </c>
      <c r="J404" s="420">
        <f t="shared" si="228"/>
        <v>98580</v>
      </c>
      <c r="K404" s="420">
        <f t="shared" si="228"/>
        <v>98580</v>
      </c>
      <c r="L404" s="420">
        <f t="shared" si="228"/>
        <v>98580</v>
      </c>
      <c r="M404" s="420">
        <f t="shared" si="228"/>
        <v>98580</v>
      </c>
      <c r="N404" s="421">
        <f>SUM(B404:M404)</f>
        <v>1182960</v>
      </c>
    </row>
    <row r="405" spans="1:15">
      <c r="A405" s="418"/>
      <c r="B405" s="420"/>
      <c r="C405" s="420"/>
      <c r="D405" s="420"/>
      <c r="E405" s="420"/>
      <c r="F405" s="420"/>
      <c r="G405" s="420"/>
      <c r="H405" s="420"/>
      <c r="I405" s="420"/>
      <c r="J405" s="420"/>
      <c r="K405" s="420"/>
      <c r="L405" s="420"/>
      <c r="M405" s="420"/>
      <c r="N405" s="421"/>
    </row>
    <row r="406" spans="1:15">
      <c r="A406" s="414" t="s">
        <v>116</v>
      </c>
      <c r="B406" s="304"/>
      <c r="C406" s="304"/>
      <c r="D406" s="304"/>
      <c r="E406" s="304"/>
      <c r="F406" s="304"/>
      <c r="G406" s="304"/>
      <c r="H406" s="304"/>
      <c r="I406" s="304"/>
      <c r="J406" s="304"/>
      <c r="K406" s="304"/>
      <c r="L406" s="304"/>
      <c r="M406" s="304"/>
      <c r="N406" s="257"/>
    </row>
    <row r="407" spans="1:15">
      <c r="A407" s="415" t="s">
        <v>16</v>
      </c>
      <c r="B407" s="416">
        <v>40000</v>
      </c>
      <c r="C407" s="416"/>
      <c r="D407" s="416"/>
      <c r="E407" s="416"/>
      <c r="F407" s="416"/>
      <c r="G407" s="416"/>
      <c r="H407" s="416"/>
      <c r="I407" s="416"/>
      <c r="J407" s="416"/>
      <c r="K407" s="416"/>
      <c r="L407" s="416"/>
      <c r="M407" s="416"/>
      <c r="N407" s="417">
        <f>SUM(B407:M407)</f>
        <v>40000</v>
      </c>
      <c r="O407" s="459"/>
    </row>
    <row r="408" spans="1:15">
      <c r="A408" s="418" t="s">
        <v>20</v>
      </c>
      <c r="B408" s="423">
        <f>B403</f>
        <v>1.59</v>
      </c>
      <c r="C408" s="423">
        <f t="shared" ref="C408:M408" si="229">C403</f>
        <v>1.59</v>
      </c>
      <c r="D408" s="423">
        <f t="shared" si="229"/>
        <v>1.59</v>
      </c>
      <c r="E408" s="423">
        <f t="shared" si="229"/>
        <v>1.59</v>
      </c>
      <c r="F408" s="423">
        <f t="shared" si="229"/>
        <v>1.59</v>
      </c>
      <c r="G408" s="423">
        <f t="shared" si="229"/>
        <v>1.59</v>
      </c>
      <c r="H408" s="423">
        <f t="shared" si="229"/>
        <v>1.59</v>
      </c>
      <c r="I408" s="423">
        <f t="shared" si="229"/>
        <v>1.59</v>
      </c>
      <c r="J408" s="423">
        <f t="shared" si="229"/>
        <v>1.59</v>
      </c>
      <c r="K408" s="423">
        <f t="shared" si="229"/>
        <v>1.59</v>
      </c>
      <c r="L408" s="423">
        <f t="shared" si="229"/>
        <v>1.59</v>
      </c>
      <c r="M408" s="423">
        <f t="shared" si="229"/>
        <v>1.59</v>
      </c>
      <c r="N408" s="257"/>
      <c r="O408" s="20" t="s">
        <v>382</v>
      </c>
    </row>
    <row r="409" spans="1:15">
      <c r="A409" s="418" t="s">
        <v>17</v>
      </c>
      <c r="B409" s="420">
        <f t="shared" ref="B409:M409" si="230">B407*B408</f>
        <v>63600</v>
      </c>
      <c r="C409" s="420">
        <f t="shared" si="230"/>
        <v>0</v>
      </c>
      <c r="D409" s="420">
        <f t="shared" si="230"/>
        <v>0</v>
      </c>
      <c r="E409" s="420">
        <f t="shared" si="230"/>
        <v>0</v>
      </c>
      <c r="F409" s="420">
        <f t="shared" si="230"/>
        <v>0</v>
      </c>
      <c r="G409" s="420">
        <f t="shared" si="230"/>
        <v>0</v>
      </c>
      <c r="H409" s="420">
        <f t="shared" si="230"/>
        <v>0</v>
      </c>
      <c r="I409" s="420">
        <f t="shared" si="230"/>
        <v>0</v>
      </c>
      <c r="J409" s="420">
        <f t="shared" si="230"/>
        <v>0</v>
      </c>
      <c r="K409" s="420">
        <f t="shared" si="230"/>
        <v>0</v>
      </c>
      <c r="L409" s="420">
        <f t="shared" si="230"/>
        <v>0</v>
      </c>
      <c r="M409" s="420">
        <f t="shared" si="230"/>
        <v>0</v>
      </c>
      <c r="N409" s="421">
        <f>SUM(B409:M409)</f>
        <v>63600</v>
      </c>
    </row>
    <row r="410" spans="1:15">
      <c r="A410" s="418"/>
      <c r="B410" s="420"/>
      <c r="C410" s="420"/>
      <c r="D410" s="420"/>
      <c r="E410" s="420"/>
      <c r="F410" s="420"/>
      <c r="G410" s="420"/>
      <c r="H410" s="420"/>
      <c r="I410" s="420"/>
      <c r="J410" s="420"/>
      <c r="K410" s="420"/>
      <c r="L410" s="420"/>
      <c r="M410" s="420"/>
      <c r="N410" s="421"/>
    </row>
    <row r="411" spans="1:15">
      <c r="A411" s="414" t="s">
        <v>237</v>
      </c>
      <c r="B411" s="304"/>
      <c r="C411" s="304"/>
      <c r="D411" s="304"/>
      <c r="E411" s="304"/>
      <c r="F411" s="304"/>
      <c r="G411" s="304"/>
      <c r="H411" s="304"/>
      <c r="I411" s="304"/>
      <c r="J411" s="304"/>
      <c r="K411" s="304"/>
      <c r="L411" s="304"/>
      <c r="M411" s="304"/>
      <c r="N411" s="257"/>
    </row>
    <row r="412" spans="1:15">
      <c r="A412" s="415" t="s">
        <v>16</v>
      </c>
      <c r="B412" s="416">
        <v>3000</v>
      </c>
      <c r="C412" s="416">
        <f t="shared" ref="C412" si="231">B412</f>
        <v>3000</v>
      </c>
      <c r="D412" s="416">
        <f t="shared" ref="D412" si="232">C412</f>
        <v>3000</v>
      </c>
      <c r="E412" s="416">
        <f t="shared" ref="E412" si="233">D412</f>
        <v>3000</v>
      </c>
      <c r="F412" s="416">
        <f t="shared" ref="F412" si="234">E412</f>
        <v>3000</v>
      </c>
      <c r="G412" s="416">
        <f t="shared" ref="G412" si="235">F412</f>
        <v>3000</v>
      </c>
      <c r="H412" s="416">
        <f t="shared" ref="H412" si="236">G412</f>
        <v>3000</v>
      </c>
      <c r="I412" s="416">
        <f t="shared" ref="I412" si="237">H412</f>
        <v>3000</v>
      </c>
      <c r="J412" s="416">
        <f t="shared" ref="J412" si="238">I412</f>
        <v>3000</v>
      </c>
      <c r="K412" s="416">
        <f t="shared" ref="K412" si="239">J412</f>
        <v>3000</v>
      </c>
      <c r="L412" s="416">
        <f t="shared" ref="L412" si="240">K412</f>
        <v>3000</v>
      </c>
      <c r="M412" s="416">
        <f t="shared" ref="M412" si="241">L412</f>
        <v>3000</v>
      </c>
      <c r="N412" s="417">
        <f>SUM(B412:M412)</f>
        <v>36000</v>
      </c>
    </row>
    <row r="413" spans="1:15">
      <c r="A413" s="418" t="s">
        <v>20</v>
      </c>
      <c r="B413" s="423">
        <f>B408</f>
        <v>1.59</v>
      </c>
      <c r="C413" s="423">
        <f t="shared" ref="C413:M413" si="242">C408</f>
        <v>1.59</v>
      </c>
      <c r="D413" s="423">
        <f t="shared" si="242"/>
        <v>1.59</v>
      </c>
      <c r="E413" s="423">
        <f t="shared" si="242"/>
        <v>1.59</v>
      </c>
      <c r="F413" s="423">
        <f t="shared" si="242"/>
        <v>1.59</v>
      </c>
      <c r="G413" s="423">
        <f t="shared" si="242"/>
        <v>1.59</v>
      </c>
      <c r="H413" s="423">
        <f t="shared" si="242"/>
        <v>1.59</v>
      </c>
      <c r="I413" s="423">
        <f t="shared" si="242"/>
        <v>1.59</v>
      </c>
      <c r="J413" s="423">
        <f t="shared" si="242"/>
        <v>1.59</v>
      </c>
      <c r="K413" s="423">
        <f t="shared" si="242"/>
        <v>1.59</v>
      </c>
      <c r="L413" s="423">
        <f t="shared" si="242"/>
        <v>1.59</v>
      </c>
      <c r="M413" s="423">
        <f t="shared" si="242"/>
        <v>1.59</v>
      </c>
      <c r="N413" s="257"/>
    </row>
    <row r="414" spans="1:15">
      <c r="A414" s="418" t="s">
        <v>17</v>
      </c>
      <c r="B414" s="420">
        <f t="shared" ref="B414:M414" si="243">B412*B413</f>
        <v>4770</v>
      </c>
      <c r="C414" s="420">
        <f t="shared" si="243"/>
        <v>4770</v>
      </c>
      <c r="D414" s="420">
        <f t="shared" si="243"/>
        <v>4770</v>
      </c>
      <c r="E414" s="420">
        <f t="shared" si="243"/>
        <v>4770</v>
      </c>
      <c r="F414" s="420">
        <f t="shared" si="243"/>
        <v>4770</v>
      </c>
      <c r="G414" s="420">
        <f t="shared" si="243"/>
        <v>4770</v>
      </c>
      <c r="H414" s="420">
        <f t="shared" si="243"/>
        <v>4770</v>
      </c>
      <c r="I414" s="420">
        <f t="shared" si="243"/>
        <v>4770</v>
      </c>
      <c r="J414" s="420">
        <f t="shared" si="243"/>
        <v>4770</v>
      </c>
      <c r="K414" s="420">
        <f t="shared" si="243"/>
        <v>4770</v>
      </c>
      <c r="L414" s="420">
        <f t="shared" si="243"/>
        <v>4770</v>
      </c>
      <c r="M414" s="420">
        <f t="shared" si="243"/>
        <v>4770</v>
      </c>
      <c r="N414" s="421">
        <f>SUM(B414:M414)</f>
        <v>57240</v>
      </c>
    </row>
    <row r="415" spans="1:15">
      <c r="A415" s="418"/>
      <c r="B415" s="420"/>
      <c r="C415" s="420"/>
      <c r="D415" s="420"/>
      <c r="E415" s="420"/>
      <c r="F415" s="420"/>
      <c r="G415" s="420"/>
      <c r="H415" s="420"/>
      <c r="I415" s="420"/>
      <c r="J415" s="420"/>
      <c r="K415" s="420"/>
      <c r="L415" s="420"/>
      <c r="M415" s="420"/>
      <c r="N415" s="421"/>
    </row>
    <row r="416" spans="1:15">
      <c r="A416" s="414" t="s">
        <v>179</v>
      </c>
      <c r="B416" s="304"/>
      <c r="C416" s="304"/>
      <c r="D416" s="304"/>
      <c r="E416" s="304"/>
      <c r="F416" s="304"/>
      <c r="G416" s="304"/>
      <c r="H416" s="304"/>
      <c r="I416" s="304"/>
      <c r="J416" s="304"/>
      <c r="K416" s="304"/>
      <c r="L416" s="304"/>
      <c r="M416" s="304"/>
      <c r="N416" s="257"/>
      <c r="O416" s="459"/>
    </row>
    <row r="417" spans="1:15">
      <c r="A417" s="415" t="s">
        <v>16</v>
      </c>
      <c r="B417" s="416"/>
      <c r="C417" s="416"/>
      <c r="D417" s="416"/>
      <c r="E417" s="416"/>
      <c r="F417" s="416"/>
      <c r="G417" s="416"/>
      <c r="H417" s="416"/>
      <c r="I417" s="416"/>
      <c r="J417" s="416"/>
      <c r="K417" s="416"/>
      <c r="L417" s="416"/>
      <c r="M417" s="416"/>
      <c r="N417" s="417">
        <f>SUM(B417:M417)</f>
        <v>0</v>
      </c>
    </row>
    <row r="418" spans="1:15">
      <c r="A418" s="418" t="s">
        <v>20</v>
      </c>
      <c r="B418" s="423">
        <f>B408</f>
        <v>1.59</v>
      </c>
      <c r="C418" s="423">
        <f t="shared" ref="C418:M418" si="244">C408</f>
        <v>1.59</v>
      </c>
      <c r="D418" s="423">
        <f t="shared" si="244"/>
        <v>1.59</v>
      </c>
      <c r="E418" s="423">
        <f t="shared" si="244"/>
        <v>1.59</v>
      </c>
      <c r="F418" s="423">
        <f t="shared" si="244"/>
        <v>1.59</v>
      </c>
      <c r="G418" s="423">
        <f t="shared" si="244"/>
        <v>1.59</v>
      </c>
      <c r="H418" s="423">
        <f t="shared" si="244"/>
        <v>1.59</v>
      </c>
      <c r="I418" s="423">
        <f t="shared" si="244"/>
        <v>1.59</v>
      </c>
      <c r="J418" s="423">
        <f t="shared" si="244"/>
        <v>1.59</v>
      </c>
      <c r="K418" s="423">
        <f t="shared" si="244"/>
        <v>1.59</v>
      </c>
      <c r="L418" s="423">
        <f t="shared" si="244"/>
        <v>1.59</v>
      </c>
      <c r="M418" s="423">
        <f t="shared" si="244"/>
        <v>1.59</v>
      </c>
      <c r="N418" s="257"/>
    </row>
    <row r="419" spans="1:15">
      <c r="A419" s="418" t="s">
        <v>17</v>
      </c>
      <c r="B419" s="420">
        <f t="shared" ref="B419:M419" si="245">B417*B418</f>
        <v>0</v>
      </c>
      <c r="C419" s="420">
        <f t="shared" si="245"/>
        <v>0</v>
      </c>
      <c r="D419" s="420">
        <f t="shared" si="245"/>
        <v>0</v>
      </c>
      <c r="E419" s="420">
        <f t="shared" si="245"/>
        <v>0</v>
      </c>
      <c r="F419" s="420">
        <f t="shared" si="245"/>
        <v>0</v>
      </c>
      <c r="G419" s="420">
        <f t="shared" si="245"/>
        <v>0</v>
      </c>
      <c r="H419" s="420">
        <f t="shared" si="245"/>
        <v>0</v>
      </c>
      <c r="I419" s="420">
        <f t="shared" si="245"/>
        <v>0</v>
      </c>
      <c r="J419" s="420">
        <f t="shared" si="245"/>
        <v>0</v>
      </c>
      <c r="K419" s="420">
        <f t="shared" si="245"/>
        <v>0</v>
      </c>
      <c r="L419" s="420">
        <f t="shared" si="245"/>
        <v>0</v>
      </c>
      <c r="M419" s="420">
        <f t="shared" si="245"/>
        <v>0</v>
      </c>
      <c r="N419" s="421">
        <f>SUM(B419:M419)</f>
        <v>0</v>
      </c>
    </row>
    <row r="420" spans="1:15">
      <c r="A420" s="418"/>
      <c r="B420" s="420"/>
      <c r="C420" s="420"/>
      <c r="D420" s="420"/>
      <c r="E420" s="420"/>
      <c r="F420" s="420"/>
      <c r="G420" s="420"/>
      <c r="H420" s="420"/>
      <c r="I420" s="420"/>
      <c r="J420" s="420"/>
      <c r="K420" s="420"/>
      <c r="L420" s="420"/>
      <c r="M420" s="420"/>
      <c r="N420" s="421"/>
    </row>
    <row r="421" spans="1:15">
      <c r="A421" s="414" t="s">
        <v>44</v>
      </c>
      <c r="B421" s="304"/>
      <c r="C421" s="304"/>
      <c r="D421" s="304"/>
      <c r="E421" s="304"/>
      <c r="F421" s="304"/>
      <c r="G421" s="304"/>
      <c r="H421" s="304"/>
      <c r="I421" s="304"/>
      <c r="J421" s="304"/>
      <c r="K421" s="304"/>
      <c r="L421" s="304"/>
      <c r="M421" s="304"/>
      <c r="N421" s="257"/>
      <c r="O421" s="459"/>
    </row>
    <row r="422" spans="1:15">
      <c r="A422" s="415" t="s">
        <v>16</v>
      </c>
      <c r="B422" s="416"/>
      <c r="C422" s="416"/>
      <c r="D422" s="416"/>
      <c r="E422" s="416"/>
      <c r="F422" s="416"/>
      <c r="G422" s="416"/>
      <c r="H422" s="416"/>
      <c r="I422" s="416"/>
      <c r="J422" s="416"/>
      <c r="K422" s="416"/>
      <c r="L422" s="416"/>
      <c r="M422" s="416"/>
      <c r="N422" s="417">
        <f>SUM(B422:M422)</f>
        <v>0</v>
      </c>
    </row>
    <row r="423" spans="1:15">
      <c r="A423" s="418" t="s">
        <v>20</v>
      </c>
      <c r="B423" s="423">
        <f>B418</f>
        <v>1.59</v>
      </c>
      <c r="C423" s="423">
        <f t="shared" ref="C423:M423" si="246">C418</f>
        <v>1.59</v>
      </c>
      <c r="D423" s="423">
        <f t="shared" si="246"/>
        <v>1.59</v>
      </c>
      <c r="E423" s="423">
        <f t="shared" si="246"/>
        <v>1.59</v>
      </c>
      <c r="F423" s="423">
        <f t="shared" si="246"/>
        <v>1.59</v>
      </c>
      <c r="G423" s="423">
        <f t="shared" si="246"/>
        <v>1.59</v>
      </c>
      <c r="H423" s="423">
        <f t="shared" si="246"/>
        <v>1.59</v>
      </c>
      <c r="I423" s="423">
        <f t="shared" si="246"/>
        <v>1.59</v>
      </c>
      <c r="J423" s="423">
        <f t="shared" si="246"/>
        <v>1.59</v>
      </c>
      <c r="K423" s="423">
        <f t="shared" si="246"/>
        <v>1.59</v>
      </c>
      <c r="L423" s="423">
        <f t="shared" si="246"/>
        <v>1.59</v>
      </c>
      <c r="M423" s="423">
        <f t="shared" si="246"/>
        <v>1.59</v>
      </c>
      <c r="N423" s="257"/>
    </row>
    <row r="424" spans="1:15">
      <c r="A424" s="418" t="s">
        <v>17</v>
      </c>
      <c r="B424" s="420">
        <f t="shared" ref="B424:M424" si="247">B422*B423</f>
        <v>0</v>
      </c>
      <c r="C424" s="420">
        <f t="shared" si="247"/>
        <v>0</v>
      </c>
      <c r="D424" s="420">
        <f t="shared" si="247"/>
        <v>0</v>
      </c>
      <c r="E424" s="420">
        <f t="shared" si="247"/>
        <v>0</v>
      </c>
      <c r="F424" s="420">
        <f t="shared" si="247"/>
        <v>0</v>
      </c>
      <c r="G424" s="420">
        <f t="shared" si="247"/>
        <v>0</v>
      </c>
      <c r="H424" s="420">
        <f t="shared" si="247"/>
        <v>0</v>
      </c>
      <c r="I424" s="420">
        <f t="shared" si="247"/>
        <v>0</v>
      </c>
      <c r="J424" s="420">
        <f t="shared" si="247"/>
        <v>0</v>
      </c>
      <c r="K424" s="420">
        <f t="shared" si="247"/>
        <v>0</v>
      </c>
      <c r="L424" s="420">
        <f t="shared" si="247"/>
        <v>0</v>
      </c>
      <c r="M424" s="420">
        <f t="shared" si="247"/>
        <v>0</v>
      </c>
      <c r="N424" s="421">
        <f>SUM(B424:M424)</f>
        <v>0</v>
      </c>
    </row>
    <row r="425" spans="1:15">
      <c r="A425" s="418"/>
      <c r="B425" s="420"/>
      <c r="C425" s="420"/>
      <c r="D425" s="420"/>
      <c r="E425" s="420"/>
      <c r="F425" s="420"/>
      <c r="G425" s="420"/>
      <c r="H425" s="420"/>
      <c r="I425" s="420"/>
      <c r="J425" s="420"/>
      <c r="K425" s="420"/>
      <c r="L425" s="420"/>
      <c r="M425" s="420"/>
      <c r="N425" s="421"/>
    </row>
    <row r="426" spans="1:15">
      <c r="A426" s="414" t="s">
        <v>117</v>
      </c>
      <c r="B426" s="304"/>
      <c r="C426" s="304"/>
      <c r="D426" s="304"/>
      <c r="E426" s="304"/>
      <c r="F426" s="304"/>
      <c r="G426" s="304"/>
      <c r="H426" s="304"/>
      <c r="I426" s="304"/>
      <c r="J426" s="304"/>
      <c r="K426" s="304"/>
      <c r="L426" s="304"/>
      <c r="M426" s="304"/>
      <c r="N426" s="257"/>
    </row>
    <row r="427" spans="1:15">
      <c r="A427" s="415" t="s">
        <v>16</v>
      </c>
      <c r="B427" s="416">
        <v>100000</v>
      </c>
      <c r="C427" s="416">
        <f>B427</f>
        <v>100000</v>
      </c>
      <c r="D427" s="416">
        <f t="shared" ref="D427" si="248">C427</f>
        <v>100000</v>
      </c>
      <c r="E427" s="416">
        <f t="shared" ref="E427" si="249">D427</f>
        <v>100000</v>
      </c>
      <c r="F427" s="416">
        <f t="shared" ref="F427" si="250">E427</f>
        <v>100000</v>
      </c>
      <c r="G427" s="416">
        <f t="shared" ref="G427" si="251">F427</f>
        <v>100000</v>
      </c>
      <c r="H427" s="416">
        <f t="shared" ref="H427" si="252">G427</f>
        <v>100000</v>
      </c>
      <c r="I427" s="416">
        <f t="shared" ref="I427" si="253">H427</f>
        <v>100000</v>
      </c>
      <c r="J427" s="416">
        <f t="shared" ref="J427" si="254">I427</f>
        <v>100000</v>
      </c>
      <c r="K427" s="416">
        <f t="shared" ref="K427" si="255">J427</f>
        <v>100000</v>
      </c>
      <c r="L427" s="416">
        <f t="shared" ref="L427" si="256">K427</f>
        <v>100000</v>
      </c>
      <c r="M427" s="416">
        <f t="shared" ref="M427" si="257">L427</f>
        <v>100000</v>
      </c>
      <c r="N427" s="417">
        <f>SUM(B427:M427)</f>
        <v>1200000</v>
      </c>
    </row>
    <row r="428" spans="1:15">
      <c r="A428" s="418" t="s">
        <v>20</v>
      </c>
      <c r="B428" s="423">
        <f>B423</f>
        <v>1.59</v>
      </c>
      <c r="C428" s="423">
        <f t="shared" ref="C428:M428" si="258">C423</f>
        <v>1.59</v>
      </c>
      <c r="D428" s="423">
        <f t="shared" si="258"/>
        <v>1.59</v>
      </c>
      <c r="E428" s="423">
        <f t="shared" si="258"/>
        <v>1.59</v>
      </c>
      <c r="F428" s="423">
        <f t="shared" si="258"/>
        <v>1.59</v>
      </c>
      <c r="G428" s="423">
        <f t="shared" si="258"/>
        <v>1.59</v>
      </c>
      <c r="H428" s="423">
        <f t="shared" si="258"/>
        <v>1.59</v>
      </c>
      <c r="I428" s="423">
        <f t="shared" si="258"/>
        <v>1.59</v>
      </c>
      <c r="J428" s="423">
        <f t="shared" si="258"/>
        <v>1.59</v>
      </c>
      <c r="K428" s="423">
        <f t="shared" si="258"/>
        <v>1.59</v>
      </c>
      <c r="L428" s="423">
        <f t="shared" si="258"/>
        <v>1.59</v>
      </c>
      <c r="M428" s="423">
        <f t="shared" si="258"/>
        <v>1.59</v>
      </c>
      <c r="N428" s="257"/>
    </row>
    <row r="429" spans="1:15">
      <c r="A429" s="418" t="s">
        <v>17</v>
      </c>
      <c r="B429" s="420">
        <f t="shared" ref="B429:M429" si="259">B427*B428</f>
        <v>159000</v>
      </c>
      <c r="C429" s="420">
        <f t="shared" si="259"/>
        <v>159000</v>
      </c>
      <c r="D429" s="420">
        <f t="shared" si="259"/>
        <v>159000</v>
      </c>
      <c r="E429" s="420">
        <f t="shared" si="259"/>
        <v>159000</v>
      </c>
      <c r="F429" s="420">
        <f t="shared" si="259"/>
        <v>159000</v>
      </c>
      <c r="G429" s="420">
        <f t="shared" si="259"/>
        <v>159000</v>
      </c>
      <c r="H429" s="420">
        <f t="shared" si="259"/>
        <v>159000</v>
      </c>
      <c r="I429" s="420">
        <f t="shared" si="259"/>
        <v>159000</v>
      </c>
      <c r="J429" s="420">
        <f t="shared" si="259"/>
        <v>159000</v>
      </c>
      <c r="K429" s="420">
        <f t="shared" si="259"/>
        <v>159000</v>
      </c>
      <c r="L429" s="420">
        <f t="shared" si="259"/>
        <v>159000</v>
      </c>
      <c r="M429" s="420">
        <f t="shared" si="259"/>
        <v>159000</v>
      </c>
      <c r="N429" s="421">
        <f>SUM(B429:M429)</f>
        <v>1908000</v>
      </c>
    </row>
    <row r="430" spans="1:15">
      <c r="A430" s="418"/>
      <c r="B430" s="420"/>
      <c r="C430" s="420"/>
      <c r="D430" s="420"/>
      <c r="E430" s="420"/>
      <c r="F430" s="420"/>
      <c r="G430" s="420"/>
      <c r="H430" s="420"/>
      <c r="I430" s="420"/>
      <c r="J430" s="420"/>
      <c r="K430" s="420"/>
      <c r="L430" s="420"/>
      <c r="M430" s="420"/>
      <c r="N430" s="421"/>
    </row>
    <row r="431" spans="1:15">
      <c r="A431" s="424" t="s">
        <v>25</v>
      </c>
      <c r="B431" s="425">
        <f t="shared" ref="B431:M431" si="260">B384+B389+B394+B399+B404+B409+B424+B419+B429+B414</f>
        <v>392819.04000000004</v>
      </c>
      <c r="C431" s="425">
        <f t="shared" si="260"/>
        <v>329219.04000000004</v>
      </c>
      <c r="D431" s="425">
        <f t="shared" si="260"/>
        <v>329219.04000000004</v>
      </c>
      <c r="E431" s="425">
        <f t="shared" si="260"/>
        <v>329219.04000000004</v>
      </c>
      <c r="F431" s="425">
        <f t="shared" si="260"/>
        <v>329219.04000000004</v>
      </c>
      <c r="G431" s="425">
        <f t="shared" si="260"/>
        <v>329219.04000000004</v>
      </c>
      <c r="H431" s="425">
        <f t="shared" si="260"/>
        <v>329219.04000000004</v>
      </c>
      <c r="I431" s="425">
        <f t="shared" si="260"/>
        <v>329219.04000000004</v>
      </c>
      <c r="J431" s="425">
        <f t="shared" si="260"/>
        <v>329219.04000000004</v>
      </c>
      <c r="K431" s="425">
        <f t="shared" si="260"/>
        <v>329219.04000000004</v>
      </c>
      <c r="L431" s="425">
        <f t="shared" si="260"/>
        <v>329219.04000000004</v>
      </c>
      <c r="M431" s="425">
        <f t="shared" si="260"/>
        <v>329219.04000000004</v>
      </c>
      <c r="N431" s="426">
        <f>SUM(B431:M431)</f>
        <v>4014228.4800000004</v>
      </c>
    </row>
    <row r="432" spans="1:15">
      <c r="A432" s="427" t="s">
        <v>60</v>
      </c>
      <c r="B432" s="432">
        <f>B382+B387+B392+B397+B402+B407+B417+B422+B427+B412</f>
        <v>247056</v>
      </c>
      <c r="C432" s="432">
        <f t="shared" ref="C432:M432" si="261">C382+C387+C392+C397+C402+C407+C417+C422+C427+C412</f>
        <v>207056</v>
      </c>
      <c r="D432" s="432">
        <f t="shared" si="261"/>
        <v>207056</v>
      </c>
      <c r="E432" s="432">
        <f t="shared" si="261"/>
        <v>207056</v>
      </c>
      <c r="F432" s="432">
        <f t="shared" si="261"/>
        <v>207056</v>
      </c>
      <c r="G432" s="432">
        <f t="shared" si="261"/>
        <v>207056</v>
      </c>
      <c r="H432" s="432">
        <f t="shared" si="261"/>
        <v>207056</v>
      </c>
      <c r="I432" s="432">
        <f t="shared" si="261"/>
        <v>207056</v>
      </c>
      <c r="J432" s="432">
        <f t="shared" si="261"/>
        <v>207056</v>
      </c>
      <c r="K432" s="432">
        <f t="shared" si="261"/>
        <v>207056</v>
      </c>
      <c r="L432" s="432">
        <f t="shared" si="261"/>
        <v>207056</v>
      </c>
      <c r="M432" s="432">
        <f t="shared" si="261"/>
        <v>207056</v>
      </c>
      <c r="N432" s="429">
        <f>SUM(B432:M432)</f>
        <v>2524672</v>
      </c>
    </row>
  </sheetData>
  <phoneticPr fontId="23" type="noConversion"/>
  <pageMargins left="0.59" right="0.2" top="0.55000000000000004" bottom="0.46" header="0.38" footer="0.18"/>
  <pageSetup scale="60" pageOrder="overThenDown" orientation="landscape" r:id="rId1"/>
  <headerFooter alignWithMargins="0">
    <oddHeader>&amp;A</oddHeader>
    <oddFooter>&amp;Z&amp;F</oddFooter>
  </headerFooter>
  <rowBreaks count="5" manualBreakCount="5">
    <brk id="69" max="16383" man="1"/>
    <brk id="138" max="13" man="1"/>
    <brk id="207" max="13" man="1"/>
    <brk id="267" max="13" man="1"/>
    <brk id="322" max="1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R449"/>
  <sheetViews>
    <sheetView zoomScaleNormal="100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2"/>
  <cols>
    <col min="1" max="1" width="19.6640625" style="22" customWidth="1"/>
    <col min="2" max="2" width="10.109375" style="22" customWidth="1"/>
    <col min="3" max="3" width="9.109375" style="22" customWidth="1"/>
    <col min="4" max="12" width="7.33203125" style="22" customWidth="1"/>
    <col min="13" max="13" width="8.44140625" style="22" customWidth="1"/>
    <col min="14" max="14" width="8.109375" style="22" customWidth="1"/>
    <col min="15" max="16384" width="9" style="22"/>
  </cols>
  <sheetData>
    <row r="1" spans="1:18" ht="13.2">
      <c r="A1" s="480" t="s">
        <v>515</v>
      </c>
    </row>
    <row r="2" spans="1:18" ht="13.2">
      <c r="A2" s="480" t="s">
        <v>473</v>
      </c>
    </row>
    <row r="4" spans="1:18" s="16" customFormat="1" ht="13.8">
      <c r="A4" s="22"/>
      <c r="B4" s="14">
        <f ca="1">TRUNC(NOW())</f>
        <v>42475</v>
      </c>
      <c r="C4" s="15"/>
      <c r="D4" s="17" t="s">
        <v>91</v>
      </c>
      <c r="E4" s="15"/>
      <c r="F4" s="15"/>
      <c r="G4" s="15"/>
      <c r="H4" s="15"/>
      <c r="I4" s="15"/>
      <c r="J4" s="395" t="s">
        <v>334</v>
      </c>
      <c r="K4" s="395"/>
      <c r="L4" s="15"/>
      <c r="M4" s="15"/>
      <c r="N4" s="15"/>
      <c r="O4" s="15"/>
      <c r="P4" s="15"/>
      <c r="Q4" s="15"/>
      <c r="R4" s="15"/>
    </row>
    <row r="5" spans="1:18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16" customFormat="1" ht="15.6">
      <c r="A6" s="401" t="s">
        <v>357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</row>
    <row r="7" spans="1:18" s="16" customFormat="1" ht="13.8">
      <c r="A7" s="23" t="s">
        <v>151</v>
      </c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8" s="20" customFormat="1" ht="10.199999999999999">
      <c r="A8" s="25">
        <v>2014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8" s="20" customFormat="1" ht="10.199999999999999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8" s="20" customFormat="1" ht="13.2">
      <c r="A10" s="23" t="s">
        <v>19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8" s="20" customFormat="1" ht="10.199999999999999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8" s="20" customFormat="1" ht="10.199999999999999">
      <c r="A12" s="402" t="s">
        <v>359</v>
      </c>
    </row>
    <row r="13" spans="1:18" s="29" customFormat="1">
      <c r="A13" s="27" t="s">
        <v>16</v>
      </c>
      <c r="B13" s="28">
        <f>'TSAS Demand Revenues (7)'!B13</f>
        <v>5000</v>
      </c>
      <c r="C13" s="28">
        <f>'TSAS Demand Revenues (7)'!C13</f>
        <v>5000</v>
      </c>
      <c r="D13" s="28">
        <f>'TSAS Demand Revenues (7)'!D13</f>
        <v>5000</v>
      </c>
      <c r="E13" s="28">
        <f>'TSAS Demand Revenues (7)'!E13</f>
        <v>5000</v>
      </c>
      <c r="F13" s="28">
        <f>'TSAS Demand Revenues (7)'!F13</f>
        <v>5000</v>
      </c>
      <c r="G13" s="28">
        <f>'TSAS Demand Revenues (7)'!G13</f>
        <v>5000</v>
      </c>
      <c r="H13" s="28">
        <f>'TSAS Demand Revenues (7)'!H13</f>
        <v>5000</v>
      </c>
      <c r="I13" s="28">
        <f>'TSAS Demand Revenues (7)'!I13</f>
        <v>5000</v>
      </c>
      <c r="J13" s="28">
        <f>'TSAS Demand Revenues (7)'!J13</f>
        <v>5000</v>
      </c>
      <c r="K13" s="28">
        <f>'TSAS Demand Revenues (7)'!K13</f>
        <v>5000</v>
      </c>
      <c r="L13" s="28">
        <f>'TSAS Demand Revenues (7)'!L13</f>
        <v>5000</v>
      </c>
      <c r="M13" s="28">
        <f>'TSAS Demand Revenues (7)'!M13</f>
        <v>5000</v>
      </c>
      <c r="N13" s="28">
        <f>SUM(B13:M13)</f>
        <v>60000</v>
      </c>
      <c r="O13" s="335"/>
      <c r="P13" s="22"/>
    </row>
    <row r="14" spans="1:18" s="20" customFormat="1">
      <c r="A14" s="26" t="s">
        <v>20</v>
      </c>
      <c r="B14" s="32">
        <f>'charges (1 &amp; 2)'!$D$21</f>
        <v>1.274E-2</v>
      </c>
      <c r="C14" s="32">
        <f>'charges (1 &amp; 2)'!$D$21</f>
        <v>1.274E-2</v>
      </c>
      <c r="D14" s="32">
        <f>'charges (1 &amp; 2)'!$D$21</f>
        <v>1.274E-2</v>
      </c>
      <c r="E14" s="32">
        <f>'charges (1 &amp; 2)'!$D$21</f>
        <v>1.274E-2</v>
      </c>
      <c r="F14" s="32">
        <f>'charges (1 &amp; 2)'!$D$21</f>
        <v>1.274E-2</v>
      </c>
      <c r="G14" s="32">
        <f>'charges (1 &amp; 2)'!$D$21</f>
        <v>1.274E-2</v>
      </c>
      <c r="H14" s="32">
        <f>'charges (1 &amp; 2)'!$D$21</f>
        <v>1.274E-2</v>
      </c>
      <c r="I14" s="32">
        <f>'charges (1 &amp; 2)'!$D$21</f>
        <v>1.274E-2</v>
      </c>
      <c r="J14" s="32">
        <f>'charges (1 &amp; 2)'!$D$21</f>
        <v>1.274E-2</v>
      </c>
      <c r="K14" s="32">
        <f>'charges (1 &amp; 2)'!$D$21</f>
        <v>1.274E-2</v>
      </c>
      <c r="L14" s="32">
        <f>'charges (1 &amp; 2)'!$D$21</f>
        <v>1.274E-2</v>
      </c>
      <c r="M14" s="32">
        <f>'charges (1 &amp; 2)'!$D$21</f>
        <v>1.274E-2</v>
      </c>
      <c r="P14" s="22"/>
    </row>
    <row r="15" spans="1:18" s="20" customFormat="1">
      <c r="A15" s="26" t="s">
        <v>17</v>
      </c>
      <c r="B15" s="21">
        <f t="shared" ref="B15:M15" si="0">B13*B14</f>
        <v>63.699999999999996</v>
      </c>
      <c r="C15" s="21">
        <f t="shared" si="0"/>
        <v>63.699999999999996</v>
      </c>
      <c r="D15" s="21">
        <f t="shared" si="0"/>
        <v>63.699999999999996</v>
      </c>
      <c r="E15" s="21">
        <f t="shared" si="0"/>
        <v>63.699999999999996</v>
      </c>
      <c r="F15" s="21">
        <f t="shared" si="0"/>
        <v>63.699999999999996</v>
      </c>
      <c r="G15" s="21">
        <f t="shared" si="0"/>
        <v>63.699999999999996</v>
      </c>
      <c r="H15" s="21">
        <f t="shared" si="0"/>
        <v>63.699999999999996</v>
      </c>
      <c r="I15" s="21">
        <f t="shared" si="0"/>
        <v>63.699999999999996</v>
      </c>
      <c r="J15" s="21">
        <f t="shared" si="0"/>
        <v>63.699999999999996</v>
      </c>
      <c r="K15" s="21">
        <f t="shared" si="0"/>
        <v>63.699999999999996</v>
      </c>
      <c r="L15" s="21">
        <f t="shared" si="0"/>
        <v>63.699999999999996</v>
      </c>
      <c r="M15" s="21">
        <f t="shared" si="0"/>
        <v>63.699999999999996</v>
      </c>
      <c r="N15" s="21">
        <f>SUM(B15:M15)</f>
        <v>764.40000000000009</v>
      </c>
      <c r="P15" s="22"/>
    </row>
    <row r="16" spans="1:18" s="20" customFormat="1">
      <c r="P16" s="22"/>
    </row>
    <row r="17" spans="1:16" s="20" customFormat="1">
      <c r="A17" s="402" t="s">
        <v>302</v>
      </c>
      <c r="P17" s="22"/>
    </row>
    <row r="18" spans="1:16" s="29" customFormat="1">
      <c r="A18" s="27" t="s">
        <v>16</v>
      </c>
      <c r="B18" s="28">
        <f>'TSAS Demand Revenues (7)'!B18</f>
        <v>23000</v>
      </c>
      <c r="C18" s="28">
        <f>'TSAS Demand Revenues (7)'!C18</f>
        <v>23000</v>
      </c>
      <c r="D18" s="28">
        <f>'TSAS Demand Revenues (7)'!D18</f>
        <v>23000</v>
      </c>
      <c r="E18" s="28">
        <f>'TSAS Demand Revenues (7)'!E18</f>
        <v>23000</v>
      </c>
      <c r="F18" s="28">
        <f>'TSAS Demand Revenues (7)'!F18</f>
        <v>23000</v>
      </c>
      <c r="G18" s="28">
        <f>'TSAS Demand Revenues (7)'!G18</f>
        <v>23000</v>
      </c>
      <c r="H18" s="28">
        <f>'TSAS Demand Revenues (7)'!H18</f>
        <v>23000</v>
      </c>
      <c r="I18" s="28">
        <f>'TSAS Demand Revenues (7)'!I18</f>
        <v>23000</v>
      </c>
      <c r="J18" s="28">
        <f>'TSAS Demand Revenues (7)'!J18</f>
        <v>23000</v>
      </c>
      <c r="K18" s="28">
        <f>'TSAS Demand Revenues (7)'!K18</f>
        <v>23000</v>
      </c>
      <c r="L18" s="28">
        <f>'TSAS Demand Revenues (7)'!L18</f>
        <v>23000</v>
      </c>
      <c r="M18" s="28">
        <f>'TSAS Demand Revenues (7)'!M18</f>
        <v>23000</v>
      </c>
      <c r="N18" s="28">
        <f>SUM(B18:M18)</f>
        <v>276000</v>
      </c>
      <c r="P18" s="22"/>
    </row>
    <row r="19" spans="1:16" s="20" customFormat="1">
      <c r="A19" s="26" t="s">
        <v>20</v>
      </c>
      <c r="B19" s="32">
        <f>'charges (1 &amp; 2)'!$D$24</f>
        <v>1.274E-2</v>
      </c>
      <c r="C19" s="32">
        <f>'charges (1 &amp; 2)'!$D$24</f>
        <v>1.274E-2</v>
      </c>
      <c r="D19" s="32">
        <f>'charges (1 &amp; 2)'!$D$24</f>
        <v>1.274E-2</v>
      </c>
      <c r="E19" s="32">
        <f>'charges (1 &amp; 2)'!$D$24</f>
        <v>1.274E-2</v>
      </c>
      <c r="F19" s="32">
        <f>'charges (1 &amp; 2)'!$D$24</f>
        <v>1.274E-2</v>
      </c>
      <c r="G19" s="32">
        <f>'charges (1 &amp; 2)'!$D$24</f>
        <v>1.274E-2</v>
      </c>
      <c r="H19" s="32">
        <f>'charges (1 &amp; 2)'!$D$24</f>
        <v>1.274E-2</v>
      </c>
      <c r="I19" s="32">
        <f>'charges (1 &amp; 2)'!$D$24</f>
        <v>1.274E-2</v>
      </c>
      <c r="J19" s="32">
        <f>'charges (1 &amp; 2)'!$D$24</f>
        <v>1.274E-2</v>
      </c>
      <c r="K19" s="32">
        <f>'charges (1 &amp; 2)'!$D$24</f>
        <v>1.274E-2</v>
      </c>
      <c r="L19" s="32">
        <f>'charges (1 &amp; 2)'!$D$24</f>
        <v>1.274E-2</v>
      </c>
      <c r="M19" s="32">
        <f>'charges (1 &amp; 2)'!$D$24</f>
        <v>1.274E-2</v>
      </c>
      <c r="P19" s="22"/>
    </row>
    <row r="20" spans="1:16" s="20" customFormat="1">
      <c r="A20" s="26" t="s">
        <v>17</v>
      </c>
      <c r="B20" s="21">
        <f t="shared" ref="B20:M20" si="1">B18*B19</f>
        <v>293.02</v>
      </c>
      <c r="C20" s="21">
        <f t="shared" si="1"/>
        <v>293.02</v>
      </c>
      <c r="D20" s="21">
        <f t="shared" si="1"/>
        <v>293.02</v>
      </c>
      <c r="E20" s="21">
        <f t="shared" si="1"/>
        <v>293.02</v>
      </c>
      <c r="F20" s="21">
        <f t="shared" si="1"/>
        <v>293.02</v>
      </c>
      <c r="G20" s="21">
        <f t="shared" si="1"/>
        <v>293.02</v>
      </c>
      <c r="H20" s="21">
        <f t="shared" si="1"/>
        <v>293.02</v>
      </c>
      <c r="I20" s="21">
        <f t="shared" si="1"/>
        <v>293.02</v>
      </c>
      <c r="J20" s="21">
        <f t="shared" si="1"/>
        <v>293.02</v>
      </c>
      <c r="K20" s="21">
        <f t="shared" si="1"/>
        <v>293.02</v>
      </c>
      <c r="L20" s="21">
        <f t="shared" si="1"/>
        <v>293.02</v>
      </c>
      <c r="M20" s="21">
        <f t="shared" si="1"/>
        <v>293.02</v>
      </c>
      <c r="N20" s="21">
        <f>SUM(B20:M20)</f>
        <v>3516.24</v>
      </c>
      <c r="P20" s="22"/>
    </row>
    <row r="21" spans="1:16" s="20" customFormat="1">
      <c r="B21" s="21"/>
      <c r="P21" s="22"/>
    </row>
    <row r="22" spans="1:16" s="20" customFormat="1">
      <c r="A22" s="402" t="s">
        <v>117</v>
      </c>
      <c r="P22" s="22"/>
    </row>
    <row r="23" spans="1:16" s="29" customFormat="1">
      <c r="A23" s="27" t="s">
        <v>16</v>
      </c>
      <c r="B23" s="28">
        <f>'TSAS Demand Revenues (7)'!B23</f>
        <v>150000</v>
      </c>
      <c r="C23" s="28">
        <f>'TSAS Demand Revenues (7)'!C23</f>
        <v>150000</v>
      </c>
      <c r="D23" s="28">
        <f>'TSAS Demand Revenues (7)'!D23</f>
        <v>150000</v>
      </c>
      <c r="E23" s="28">
        <f>'TSAS Demand Revenues (7)'!E23</f>
        <v>150000</v>
      </c>
      <c r="F23" s="28">
        <f>'TSAS Demand Revenues (7)'!F23</f>
        <v>150000</v>
      </c>
      <c r="G23" s="28">
        <f>'TSAS Demand Revenues (7)'!G23</f>
        <v>150000</v>
      </c>
      <c r="H23" s="28">
        <f>'TSAS Demand Revenues (7)'!H23</f>
        <v>150000</v>
      </c>
      <c r="I23" s="28">
        <f>'TSAS Demand Revenues (7)'!I23</f>
        <v>150000</v>
      </c>
      <c r="J23" s="28">
        <f>'TSAS Demand Revenues (7)'!J23</f>
        <v>150000</v>
      </c>
      <c r="K23" s="28">
        <f>'TSAS Demand Revenues (7)'!K23</f>
        <v>150000</v>
      </c>
      <c r="L23" s="28">
        <f>'TSAS Demand Revenues (7)'!L23</f>
        <v>150000</v>
      </c>
      <c r="M23" s="28">
        <f>'TSAS Demand Revenues (7)'!M23</f>
        <v>150000</v>
      </c>
      <c r="N23" s="28">
        <f>SUM(B23:M23)</f>
        <v>1800000</v>
      </c>
      <c r="P23" s="22"/>
    </row>
    <row r="24" spans="1:16" s="20" customFormat="1">
      <c r="A24" s="26" t="s">
        <v>20</v>
      </c>
      <c r="B24" s="33">
        <f>B19</f>
        <v>1.274E-2</v>
      </c>
      <c r="C24" s="33">
        <f t="shared" ref="C24:M24" si="2">C19</f>
        <v>1.274E-2</v>
      </c>
      <c r="D24" s="33">
        <f t="shared" si="2"/>
        <v>1.274E-2</v>
      </c>
      <c r="E24" s="33">
        <f t="shared" si="2"/>
        <v>1.274E-2</v>
      </c>
      <c r="F24" s="33">
        <f t="shared" si="2"/>
        <v>1.274E-2</v>
      </c>
      <c r="G24" s="33">
        <f t="shared" si="2"/>
        <v>1.274E-2</v>
      </c>
      <c r="H24" s="33">
        <f t="shared" si="2"/>
        <v>1.274E-2</v>
      </c>
      <c r="I24" s="33">
        <f t="shared" si="2"/>
        <v>1.274E-2</v>
      </c>
      <c r="J24" s="33">
        <f t="shared" si="2"/>
        <v>1.274E-2</v>
      </c>
      <c r="K24" s="33">
        <f t="shared" si="2"/>
        <v>1.274E-2</v>
      </c>
      <c r="L24" s="33">
        <f t="shared" si="2"/>
        <v>1.274E-2</v>
      </c>
      <c r="M24" s="33">
        <f t="shared" si="2"/>
        <v>1.274E-2</v>
      </c>
      <c r="P24" s="22"/>
    </row>
    <row r="25" spans="1:16" s="20" customFormat="1">
      <c r="A25" s="26" t="s">
        <v>17</v>
      </c>
      <c r="B25" s="21">
        <f t="shared" ref="B25:M25" si="3">B23*B24</f>
        <v>1911</v>
      </c>
      <c r="C25" s="21">
        <f t="shared" si="3"/>
        <v>1911</v>
      </c>
      <c r="D25" s="21">
        <f t="shared" si="3"/>
        <v>1911</v>
      </c>
      <c r="E25" s="21">
        <f t="shared" si="3"/>
        <v>1911</v>
      </c>
      <c r="F25" s="21">
        <f t="shared" si="3"/>
        <v>1911</v>
      </c>
      <c r="G25" s="21">
        <f t="shared" si="3"/>
        <v>1911</v>
      </c>
      <c r="H25" s="21">
        <f t="shared" si="3"/>
        <v>1911</v>
      </c>
      <c r="I25" s="21">
        <f t="shared" si="3"/>
        <v>1911</v>
      </c>
      <c r="J25" s="21">
        <f t="shared" si="3"/>
        <v>1911</v>
      </c>
      <c r="K25" s="21">
        <f t="shared" si="3"/>
        <v>1911</v>
      </c>
      <c r="L25" s="21">
        <f t="shared" si="3"/>
        <v>1911</v>
      </c>
      <c r="M25" s="21">
        <f t="shared" si="3"/>
        <v>1911</v>
      </c>
      <c r="N25" s="21">
        <f>SUM(B25:M25)</f>
        <v>22932</v>
      </c>
      <c r="P25" s="22"/>
    </row>
    <row r="26" spans="1:16" s="20" customFormat="1">
      <c r="B26" s="21"/>
      <c r="P26" s="22"/>
    </row>
    <row r="27" spans="1:16" s="20" customFormat="1" ht="10.199999999999999">
      <c r="A27" s="402" t="s">
        <v>23</v>
      </c>
      <c r="P27" s="29"/>
    </row>
    <row r="28" spans="1:16" s="29" customFormat="1" ht="10.199999999999999">
      <c r="A28" s="27" t="s">
        <v>16</v>
      </c>
      <c r="B28" s="28">
        <f>'TSAS Demand Revenues (7)'!B28</f>
        <v>37056</v>
      </c>
      <c r="C28" s="28">
        <f>'TSAS Demand Revenues (7)'!C28</f>
        <v>37056</v>
      </c>
      <c r="D28" s="28">
        <f>'TSAS Demand Revenues (7)'!D28</f>
        <v>37056</v>
      </c>
      <c r="E28" s="28">
        <f>'TSAS Demand Revenues (7)'!E28</f>
        <v>37056</v>
      </c>
      <c r="F28" s="28">
        <f>'TSAS Demand Revenues (7)'!F28</f>
        <v>37056</v>
      </c>
      <c r="G28" s="28">
        <f>'TSAS Demand Revenues (7)'!G28</f>
        <v>37056</v>
      </c>
      <c r="H28" s="28">
        <f>'TSAS Demand Revenues (7)'!H28</f>
        <v>37056</v>
      </c>
      <c r="I28" s="28">
        <f>'TSAS Demand Revenues (7)'!I28</f>
        <v>37056</v>
      </c>
      <c r="J28" s="28">
        <f>'TSAS Demand Revenues (7)'!J28</f>
        <v>37056</v>
      </c>
      <c r="K28" s="28">
        <f>'TSAS Demand Revenues (7)'!K28</f>
        <v>37056</v>
      </c>
      <c r="L28" s="28">
        <f>'TSAS Demand Revenues (7)'!L28</f>
        <v>37056</v>
      </c>
      <c r="M28" s="28">
        <f>'TSAS Demand Revenues (7)'!M28</f>
        <v>37056</v>
      </c>
      <c r="N28" s="28">
        <f>SUM(B28:M28)</f>
        <v>444672</v>
      </c>
    </row>
    <row r="29" spans="1:16" s="20" customFormat="1" ht="10.199999999999999">
      <c r="A29" s="26" t="s">
        <v>20</v>
      </c>
      <c r="B29" s="33">
        <f>'charges (1 &amp; 2)'!$D$15</f>
        <v>1.274E-2</v>
      </c>
      <c r="C29" s="33">
        <f>'charges (1 &amp; 2)'!$D$15</f>
        <v>1.274E-2</v>
      </c>
      <c r="D29" s="33">
        <f>'charges (1 &amp; 2)'!$D$15</f>
        <v>1.274E-2</v>
      </c>
      <c r="E29" s="33">
        <f>'charges (1 &amp; 2)'!$D$15</f>
        <v>1.274E-2</v>
      </c>
      <c r="F29" s="33">
        <f>'charges (1 &amp; 2)'!$D$15</f>
        <v>1.274E-2</v>
      </c>
      <c r="G29" s="33">
        <f>'charges (1 &amp; 2)'!$D$15</f>
        <v>1.274E-2</v>
      </c>
      <c r="H29" s="33">
        <f>'charges (1 &amp; 2)'!$D$15</f>
        <v>1.274E-2</v>
      </c>
      <c r="I29" s="33">
        <f>'charges (1 &amp; 2)'!$D$15</f>
        <v>1.274E-2</v>
      </c>
      <c r="J29" s="33">
        <f>'charges (1 &amp; 2)'!$D$15</f>
        <v>1.274E-2</v>
      </c>
      <c r="K29" s="33">
        <f>'charges (1 &amp; 2)'!$D$15</f>
        <v>1.274E-2</v>
      </c>
      <c r="L29" s="33">
        <f>'charges (1 &amp; 2)'!$D$15</f>
        <v>1.274E-2</v>
      </c>
      <c r="M29" s="33">
        <f>'charges (1 &amp; 2)'!$D$15</f>
        <v>1.274E-2</v>
      </c>
    </row>
    <row r="30" spans="1:16" s="20" customFormat="1" ht="10.199999999999999">
      <c r="A30" s="26" t="s">
        <v>17</v>
      </c>
      <c r="B30" s="21">
        <f t="shared" ref="B30:M30" si="4">B28*B29</f>
        <v>472.09343999999999</v>
      </c>
      <c r="C30" s="21">
        <f t="shared" si="4"/>
        <v>472.09343999999999</v>
      </c>
      <c r="D30" s="21">
        <f t="shared" si="4"/>
        <v>472.09343999999999</v>
      </c>
      <c r="E30" s="21">
        <f t="shared" si="4"/>
        <v>472.09343999999999</v>
      </c>
      <c r="F30" s="21">
        <f t="shared" si="4"/>
        <v>472.09343999999999</v>
      </c>
      <c r="G30" s="21">
        <f t="shared" si="4"/>
        <v>472.09343999999999</v>
      </c>
      <c r="H30" s="21">
        <f t="shared" si="4"/>
        <v>472.09343999999999</v>
      </c>
      <c r="I30" s="21">
        <f t="shared" si="4"/>
        <v>472.09343999999999</v>
      </c>
      <c r="J30" s="21">
        <f t="shared" si="4"/>
        <v>472.09343999999999</v>
      </c>
      <c r="K30" s="21">
        <f t="shared" si="4"/>
        <v>472.09343999999999</v>
      </c>
      <c r="L30" s="21">
        <f t="shared" si="4"/>
        <v>472.09343999999999</v>
      </c>
      <c r="M30" s="21">
        <f t="shared" si="4"/>
        <v>472.09343999999999</v>
      </c>
      <c r="N30" s="21">
        <f>SUM(B30:M30)</f>
        <v>5665.1212799999994</v>
      </c>
    </row>
    <row r="31" spans="1:16" s="20" customFormat="1" ht="10.199999999999999">
      <c r="B31" s="21"/>
    </row>
    <row r="32" spans="1:16" s="20" customFormat="1" ht="10.199999999999999">
      <c r="A32" s="402" t="s">
        <v>24</v>
      </c>
    </row>
    <row r="33" spans="1:14" s="29" customFormat="1" ht="10.199999999999999">
      <c r="A33" s="27" t="s">
        <v>16</v>
      </c>
      <c r="B33" s="28">
        <f>'TSAS Demand Revenues (7)'!B33</f>
        <v>52000</v>
      </c>
      <c r="C33" s="28">
        <f>'TSAS Demand Revenues (7)'!C33</f>
        <v>52000</v>
      </c>
      <c r="D33" s="28">
        <f>'TSAS Demand Revenues (7)'!D33</f>
        <v>52000</v>
      </c>
      <c r="E33" s="28">
        <f>'TSAS Demand Revenues (7)'!E33</f>
        <v>52000</v>
      </c>
      <c r="F33" s="28">
        <f>'TSAS Demand Revenues (7)'!F33</f>
        <v>52000</v>
      </c>
      <c r="G33" s="28">
        <f>'TSAS Demand Revenues (7)'!G33</f>
        <v>52000</v>
      </c>
      <c r="H33" s="28">
        <f>'TSAS Demand Revenues (7)'!H33</f>
        <v>52000</v>
      </c>
      <c r="I33" s="28">
        <f>'TSAS Demand Revenues (7)'!I33</f>
        <v>52000</v>
      </c>
      <c r="J33" s="28">
        <f>'TSAS Demand Revenues (7)'!J33</f>
        <v>52000</v>
      </c>
      <c r="K33" s="28">
        <f>'TSAS Demand Revenues (7)'!K33</f>
        <v>52000</v>
      </c>
      <c r="L33" s="28">
        <f>'TSAS Demand Revenues (7)'!L33</f>
        <v>52000</v>
      </c>
      <c r="M33" s="28">
        <f>'TSAS Demand Revenues (7)'!M33</f>
        <v>52000</v>
      </c>
      <c r="N33" s="28">
        <f>SUM(B33:M33)</f>
        <v>624000</v>
      </c>
    </row>
    <row r="34" spans="1:14" s="20" customFormat="1" ht="10.199999999999999">
      <c r="A34" s="26" t="s">
        <v>20</v>
      </c>
      <c r="B34" s="33">
        <f>'charges (1 &amp; 2)'!$D$18</f>
        <v>1.274E-2</v>
      </c>
      <c r="C34" s="33">
        <f>'charges (1 &amp; 2)'!$D$18</f>
        <v>1.274E-2</v>
      </c>
      <c r="D34" s="33">
        <f>'charges (1 &amp; 2)'!$D$18</f>
        <v>1.274E-2</v>
      </c>
      <c r="E34" s="33">
        <f>'charges (1 &amp; 2)'!$D$18</f>
        <v>1.274E-2</v>
      </c>
      <c r="F34" s="33">
        <f>'charges (1 &amp; 2)'!$D$18</f>
        <v>1.274E-2</v>
      </c>
      <c r="G34" s="33">
        <f>'charges (1 &amp; 2)'!$D$18</f>
        <v>1.274E-2</v>
      </c>
      <c r="H34" s="33">
        <f>'charges (1 &amp; 2)'!$D$18</f>
        <v>1.274E-2</v>
      </c>
      <c r="I34" s="33">
        <f>'charges (1 &amp; 2)'!$D$18</f>
        <v>1.274E-2</v>
      </c>
      <c r="J34" s="33">
        <f>'charges (1 &amp; 2)'!$D$18</f>
        <v>1.274E-2</v>
      </c>
      <c r="K34" s="33">
        <f>'charges (1 &amp; 2)'!$D$18</f>
        <v>1.274E-2</v>
      </c>
      <c r="L34" s="33">
        <f>'charges (1 &amp; 2)'!$D$18</f>
        <v>1.274E-2</v>
      </c>
      <c r="M34" s="33">
        <f>'charges (1 &amp; 2)'!$D$18</f>
        <v>1.274E-2</v>
      </c>
    </row>
    <row r="35" spans="1:14" s="20" customFormat="1" ht="10.199999999999999">
      <c r="A35" s="26" t="s">
        <v>17</v>
      </c>
      <c r="B35" s="21">
        <f t="shared" ref="B35:M35" si="5">B33*B34</f>
        <v>662.48</v>
      </c>
      <c r="C35" s="21">
        <f t="shared" si="5"/>
        <v>662.48</v>
      </c>
      <c r="D35" s="21">
        <f t="shared" si="5"/>
        <v>662.48</v>
      </c>
      <c r="E35" s="21">
        <f t="shared" si="5"/>
        <v>662.48</v>
      </c>
      <c r="F35" s="21">
        <f t="shared" si="5"/>
        <v>662.48</v>
      </c>
      <c r="G35" s="21">
        <f t="shared" si="5"/>
        <v>662.48</v>
      </c>
      <c r="H35" s="21">
        <f t="shared" si="5"/>
        <v>662.48</v>
      </c>
      <c r="I35" s="21">
        <f t="shared" si="5"/>
        <v>662.48</v>
      </c>
      <c r="J35" s="21">
        <f t="shared" si="5"/>
        <v>662.48</v>
      </c>
      <c r="K35" s="21">
        <f t="shared" si="5"/>
        <v>662.48</v>
      </c>
      <c r="L35" s="21">
        <f t="shared" si="5"/>
        <v>662.48</v>
      </c>
      <c r="M35" s="21">
        <f t="shared" si="5"/>
        <v>662.48</v>
      </c>
      <c r="N35" s="21">
        <f>SUM(B35:M35)</f>
        <v>7949.7599999999984</v>
      </c>
    </row>
    <row r="36" spans="1:14" s="20" customFormat="1" ht="10.199999999999999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s="20" customFormat="1" ht="10.199999999999999">
      <c r="A37" s="402" t="s">
        <v>239</v>
      </c>
    </row>
    <row r="38" spans="1:14" s="20" customFormat="1" ht="10.199999999999999">
      <c r="A38" s="27" t="s">
        <v>16</v>
      </c>
      <c r="B38" s="28">
        <f>'TSAS Reactive Revenues (2)'!B63</f>
        <v>160000</v>
      </c>
      <c r="C38" s="28">
        <f>'TSAS Reactive Revenues (2)'!C63</f>
        <v>160000</v>
      </c>
      <c r="D38" s="28">
        <f>'TSAS Reactive Revenues (2)'!D63</f>
        <v>160000</v>
      </c>
      <c r="E38" s="28">
        <f>'TSAS Reactive Revenues (2)'!E63</f>
        <v>160000</v>
      </c>
      <c r="F38" s="28">
        <f>'TSAS Reactive Revenues (2)'!F63</f>
        <v>160000</v>
      </c>
      <c r="G38" s="28">
        <f>'TSAS Reactive Revenues (2)'!G63</f>
        <v>160000</v>
      </c>
      <c r="H38" s="28">
        <f>'TSAS Reactive Revenues (2)'!H63</f>
        <v>160000</v>
      </c>
      <c r="I38" s="28">
        <f>'TSAS Reactive Revenues (2)'!I63</f>
        <v>160000</v>
      </c>
      <c r="J38" s="28">
        <f>'TSAS Reactive Revenues (2)'!J63</f>
        <v>160000</v>
      </c>
      <c r="K38" s="28">
        <f>'TSAS Reactive Revenues (2)'!K63</f>
        <v>160000</v>
      </c>
      <c r="L38" s="28">
        <f>'TSAS Reactive Revenues (2)'!L63</f>
        <v>160000</v>
      </c>
      <c r="M38" s="28">
        <f>'TSAS Reactive Revenues (2)'!M63</f>
        <v>160000</v>
      </c>
      <c r="N38" s="28">
        <f>SUM(B38:M38)</f>
        <v>1920000</v>
      </c>
    </row>
    <row r="39" spans="1:14" s="20" customFormat="1" ht="10.199999999999999">
      <c r="A39" s="26" t="s">
        <v>20</v>
      </c>
      <c r="B39" s="33">
        <f>B34</f>
        <v>1.274E-2</v>
      </c>
      <c r="C39" s="33">
        <f>B39</f>
        <v>1.274E-2</v>
      </c>
      <c r="D39" s="33">
        <f t="shared" ref="D39:M39" si="6">C39</f>
        <v>1.274E-2</v>
      </c>
      <c r="E39" s="33">
        <f t="shared" si="6"/>
        <v>1.274E-2</v>
      </c>
      <c r="F39" s="33">
        <f t="shared" si="6"/>
        <v>1.274E-2</v>
      </c>
      <c r="G39" s="33">
        <f t="shared" si="6"/>
        <v>1.274E-2</v>
      </c>
      <c r="H39" s="33">
        <f t="shared" si="6"/>
        <v>1.274E-2</v>
      </c>
      <c r="I39" s="33">
        <f t="shared" si="6"/>
        <v>1.274E-2</v>
      </c>
      <c r="J39" s="33">
        <f t="shared" si="6"/>
        <v>1.274E-2</v>
      </c>
      <c r="K39" s="33">
        <f t="shared" si="6"/>
        <v>1.274E-2</v>
      </c>
      <c r="L39" s="33">
        <f t="shared" si="6"/>
        <v>1.274E-2</v>
      </c>
      <c r="M39" s="33">
        <f t="shared" si="6"/>
        <v>1.274E-2</v>
      </c>
    </row>
    <row r="40" spans="1:14" s="20" customFormat="1" ht="10.199999999999999">
      <c r="A40" s="26" t="s">
        <v>17</v>
      </c>
      <c r="B40" s="21">
        <f t="shared" ref="B40:M40" si="7">B38*B39</f>
        <v>2038.3999999999999</v>
      </c>
      <c r="C40" s="21">
        <f t="shared" si="7"/>
        <v>2038.3999999999999</v>
      </c>
      <c r="D40" s="21">
        <f t="shared" si="7"/>
        <v>2038.3999999999999</v>
      </c>
      <c r="E40" s="21">
        <f t="shared" si="7"/>
        <v>2038.3999999999999</v>
      </c>
      <c r="F40" s="21">
        <f t="shared" si="7"/>
        <v>2038.3999999999999</v>
      </c>
      <c r="G40" s="21">
        <f t="shared" si="7"/>
        <v>2038.3999999999999</v>
      </c>
      <c r="H40" s="21">
        <f t="shared" si="7"/>
        <v>2038.3999999999999</v>
      </c>
      <c r="I40" s="21">
        <f t="shared" si="7"/>
        <v>2038.3999999999999</v>
      </c>
      <c r="J40" s="21">
        <f t="shared" si="7"/>
        <v>2038.3999999999999</v>
      </c>
      <c r="K40" s="21">
        <f t="shared" si="7"/>
        <v>2038.3999999999999</v>
      </c>
      <c r="L40" s="21">
        <f t="shared" si="7"/>
        <v>2038.3999999999999</v>
      </c>
      <c r="M40" s="21">
        <f t="shared" si="7"/>
        <v>2038.3999999999999</v>
      </c>
      <c r="N40" s="21">
        <f>SUM(B40:M40)</f>
        <v>24460.800000000003</v>
      </c>
    </row>
    <row r="41" spans="1:14" s="20" customFormat="1" ht="10.199999999999999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s="20" customFormat="1" ht="10.199999999999999">
      <c r="A42" s="402" t="s">
        <v>116</v>
      </c>
    </row>
    <row r="43" spans="1:14" s="20" customFormat="1" ht="10.199999999999999">
      <c r="A43" s="27" t="s">
        <v>16</v>
      </c>
      <c r="B43" s="28">
        <f>'TSAS Demand Revenues (7)'!B38</f>
        <v>40000</v>
      </c>
      <c r="C43" s="28">
        <f>'TSAS Demand Revenues (7)'!C38</f>
        <v>40000</v>
      </c>
      <c r="D43" s="28">
        <f>'TSAS Demand Revenues (7)'!D38</f>
        <v>40000</v>
      </c>
      <c r="E43" s="28">
        <f>'TSAS Demand Revenues (7)'!E38</f>
        <v>40000</v>
      </c>
      <c r="F43" s="28">
        <f>'TSAS Demand Revenues (7)'!F38</f>
        <v>40000</v>
      </c>
      <c r="G43" s="28">
        <f>'TSAS Demand Revenues (7)'!G38</f>
        <v>40000</v>
      </c>
      <c r="H43" s="28">
        <f>'TSAS Demand Revenues (7)'!H38</f>
        <v>40000</v>
      </c>
      <c r="I43" s="28">
        <f>'TSAS Demand Revenues (7)'!I38</f>
        <v>40000</v>
      </c>
      <c r="J43" s="28">
        <f>'TSAS Demand Revenues (7)'!J38</f>
        <v>40000</v>
      </c>
      <c r="K43" s="28">
        <f>'TSAS Demand Revenues (7)'!K38</f>
        <v>40000</v>
      </c>
      <c r="L43" s="28">
        <f>'TSAS Demand Revenues (7)'!L38</f>
        <v>40000</v>
      </c>
      <c r="M43" s="28">
        <f>'TSAS Demand Revenues (7)'!M38</f>
        <v>40000</v>
      </c>
      <c r="N43" s="28">
        <f>SUM(B43:M43)</f>
        <v>480000</v>
      </c>
    </row>
    <row r="44" spans="1:14" s="20" customFormat="1" ht="10.199999999999999">
      <c r="A44" s="26" t="s">
        <v>20</v>
      </c>
      <c r="B44" s="33">
        <f>'TSAS Scheduling Revenue (1)'!B34</f>
        <v>1.274E-2</v>
      </c>
      <c r="C44" s="33">
        <f>'TSAS Scheduling Revenue (1)'!C34</f>
        <v>1.274E-2</v>
      </c>
      <c r="D44" s="33">
        <f>'TSAS Scheduling Revenue (1)'!D34</f>
        <v>1.274E-2</v>
      </c>
      <c r="E44" s="33">
        <f>'TSAS Scheduling Revenue (1)'!E34</f>
        <v>1.274E-2</v>
      </c>
      <c r="F44" s="33">
        <f>'TSAS Scheduling Revenue (1)'!F34</f>
        <v>1.274E-2</v>
      </c>
      <c r="G44" s="33">
        <f>'TSAS Scheduling Revenue (1)'!G34</f>
        <v>1.274E-2</v>
      </c>
      <c r="H44" s="33">
        <f>'TSAS Scheduling Revenue (1)'!H34</f>
        <v>1.274E-2</v>
      </c>
      <c r="I44" s="33">
        <f>'TSAS Scheduling Revenue (1)'!I34</f>
        <v>1.274E-2</v>
      </c>
      <c r="J44" s="33">
        <f>'TSAS Scheduling Revenue (1)'!J34</f>
        <v>1.274E-2</v>
      </c>
      <c r="K44" s="33">
        <f>'TSAS Scheduling Revenue (1)'!K34</f>
        <v>1.274E-2</v>
      </c>
      <c r="L44" s="33">
        <f>'TSAS Scheduling Revenue (1)'!L34</f>
        <v>1.274E-2</v>
      </c>
      <c r="M44" s="33">
        <f>'TSAS Scheduling Revenue (1)'!M34</f>
        <v>1.274E-2</v>
      </c>
    </row>
    <row r="45" spans="1:14" s="20" customFormat="1" ht="10.199999999999999">
      <c r="A45" s="26" t="s">
        <v>17</v>
      </c>
      <c r="B45" s="21">
        <f t="shared" ref="B45:M45" si="8">B43*B44</f>
        <v>509.59999999999997</v>
      </c>
      <c r="C45" s="21">
        <f t="shared" si="8"/>
        <v>509.59999999999997</v>
      </c>
      <c r="D45" s="21">
        <f t="shared" si="8"/>
        <v>509.59999999999997</v>
      </c>
      <c r="E45" s="21">
        <f t="shared" si="8"/>
        <v>509.59999999999997</v>
      </c>
      <c r="F45" s="21">
        <f t="shared" si="8"/>
        <v>509.59999999999997</v>
      </c>
      <c r="G45" s="21">
        <f t="shared" si="8"/>
        <v>509.59999999999997</v>
      </c>
      <c r="H45" s="21">
        <f t="shared" si="8"/>
        <v>509.59999999999997</v>
      </c>
      <c r="I45" s="21">
        <f t="shared" si="8"/>
        <v>509.59999999999997</v>
      </c>
      <c r="J45" s="21">
        <f t="shared" si="8"/>
        <v>509.59999999999997</v>
      </c>
      <c r="K45" s="21">
        <f t="shared" si="8"/>
        <v>509.59999999999997</v>
      </c>
      <c r="L45" s="21">
        <f t="shared" si="8"/>
        <v>509.59999999999997</v>
      </c>
      <c r="M45" s="21">
        <f t="shared" si="8"/>
        <v>509.59999999999997</v>
      </c>
      <c r="N45" s="28">
        <f>SUM(B45:M45)</f>
        <v>6115.2000000000007</v>
      </c>
    </row>
    <row r="46" spans="1:14" s="20" customFormat="1" ht="10.199999999999999">
      <c r="A46" s="26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s="20" customFormat="1" ht="10.199999999999999">
      <c r="A47" s="402" t="s">
        <v>44</v>
      </c>
    </row>
    <row r="48" spans="1:14" s="20" customFormat="1" ht="10.199999999999999">
      <c r="A48" s="27" t="s">
        <v>16</v>
      </c>
      <c r="B48" s="28">
        <f>'TSAS Demand Revenues (7)'!B53</f>
        <v>25000</v>
      </c>
      <c r="C48" s="28">
        <f>'TSAS Demand Revenues (7)'!C53</f>
        <v>25000</v>
      </c>
      <c r="D48" s="28">
        <f>'TSAS Demand Revenues (7)'!D53</f>
        <v>25000</v>
      </c>
      <c r="E48" s="28">
        <f>'TSAS Demand Revenues (7)'!E53</f>
        <v>25000</v>
      </c>
      <c r="F48" s="28">
        <f>'TSAS Demand Revenues (7)'!F53</f>
        <v>25000</v>
      </c>
      <c r="G48" s="28">
        <f>'TSAS Demand Revenues (7)'!G53</f>
        <v>25000</v>
      </c>
      <c r="H48" s="28">
        <f>'TSAS Demand Revenues (7)'!H53</f>
        <v>25000</v>
      </c>
      <c r="I48" s="28">
        <f>'TSAS Demand Revenues (7)'!I53</f>
        <v>25000</v>
      </c>
      <c r="J48" s="28">
        <f>'TSAS Demand Revenues (7)'!J53</f>
        <v>25000</v>
      </c>
      <c r="K48" s="28">
        <f>'TSAS Demand Revenues (7)'!K53</f>
        <v>25000</v>
      </c>
      <c r="L48" s="28">
        <f>'TSAS Demand Revenues (7)'!L53</f>
        <v>25000</v>
      </c>
      <c r="M48" s="28">
        <f>'TSAS Demand Revenues (7)'!M53</f>
        <v>25000</v>
      </c>
      <c r="N48" s="28">
        <f>SUM(B48:M48)</f>
        <v>300000</v>
      </c>
    </row>
    <row r="49" spans="1:14" s="20" customFormat="1" ht="10.199999999999999">
      <c r="A49" s="26" t="s">
        <v>20</v>
      </c>
      <c r="B49" s="33">
        <f>'TSAS Scheduling Revenue (1)'!B44</f>
        <v>1.274E-2</v>
      </c>
      <c r="C49" s="33">
        <f>'TSAS Scheduling Revenue (1)'!C44</f>
        <v>1.274E-2</v>
      </c>
      <c r="D49" s="33">
        <f>'TSAS Scheduling Revenue (1)'!D44</f>
        <v>1.274E-2</v>
      </c>
      <c r="E49" s="33">
        <f>'TSAS Scheduling Revenue (1)'!E44</f>
        <v>1.274E-2</v>
      </c>
      <c r="F49" s="33">
        <f>'TSAS Scheduling Revenue (1)'!F44</f>
        <v>1.274E-2</v>
      </c>
      <c r="G49" s="33">
        <f>'TSAS Scheduling Revenue (1)'!G44</f>
        <v>1.274E-2</v>
      </c>
      <c r="H49" s="33">
        <f>'TSAS Scheduling Revenue (1)'!H44</f>
        <v>1.274E-2</v>
      </c>
      <c r="I49" s="33">
        <f>'TSAS Scheduling Revenue (1)'!I44</f>
        <v>1.274E-2</v>
      </c>
      <c r="J49" s="33">
        <f>'TSAS Scheduling Revenue (1)'!J44</f>
        <v>1.274E-2</v>
      </c>
      <c r="K49" s="33">
        <f>'TSAS Scheduling Revenue (1)'!K44</f>
        <v>1.274E-2</v>
      </c>
      <c r="L49" s="33">
        <f>'TSAS Scheduling Revenue (1)'!L44</f>
        <v>1.274E-2</v>
      </c>
      <c r="M49" s="33">
        <f>'TSAS Scheduling Revenue (1)'!M44</f>
        <v>1.274E-2</v>
      </c>
    </row>
    <row r="50" spans="1:14" s="20" customFormat="1" ht="10.199999999999999">
      <c r="A50" s="26" t="s">
        <v>17</v>
      </c>
      <c r="B50" s="270">
        <f>B48*B49</f>
        <v>318.5</v>
      </c>
      <c r="C50" s="270">
        <f t="shared" ref="C50:M50" si="9">C48*C49</f>
        <v>318.5</v>
      </c>
      <c r="D50" s="270">
        <f t="shared" si="9"/>
        <v>318.5</v>
      </c>
      <c r="E50" s="270">
        <f t="shared" si="9"/>
        <v>318.5</v>
      </c>
      <c r="F50" s="270">
        <f t="shared" si="9"/>
        <v>318.5</v>
      </c>
      <c r="G50" s="270">
        <f t="shared" si="9"/>
        <v>318.5</v>
      </c>
      <c r="H50" s="270">
        <f t="shared" si="9"/>
        <v>318.5</v>
      </c>
      <c r="I50" s="270">
        <f t="shared" si="9"/>
        <v>318.5</v>
      </c>
      <c r="J50" s="270">
        <f t="shared" si="9"/>
        <v>318.5</v>
      </c>
      <c r="K50" s="270">
        <f t="shared" si="9"/>
        <v>318.5</v>
      </c>
      <c r="L50" s="270">
        <f t="shared" si="9"/>
        <v>318.5</v>
      </c>
      <c r="M50" s="270">
        <f t="shared" si="9"/>
        <v>318.5</v>
      </c>
      <c r="N50" s="20">
        <f>SUM(B50:M50)</f>
        <v>3822</v>
      </c>
    </row>
    <row r="51" spans="1:14" s="20" customFormat="1" ht="10.199999999999999">
      <c r="A51" s="2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4" s="20" customFormat="1" ht="10.199999999999999">
      <c r="A52" s="402" t="s">
        <v>171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s="20" customFormat="1" ht="10.199999999999999">
      <c r="A53" s="27" t="s">
        <v>16</v>
      </c>
      <c r="B53" s="21">
        <f>'TSAS Reactive Revenues (2)'!B53</f>
        <v>4000</v>
      </c>
      <c r="C53" s="21">
        <f>'TSAS Reactive Revenues (2)'!C53</f>
        <v>4000</v>
      </c>
      <c r="D53" s="21">
        <f>'TSAS Reactive Revenues (2)'!D53</f>
        <v>4000</v>
      </c>
      <c r="E53" s="21">
        <f>'TSAS Reactive Revenues (2)'!E53</f>
        <v>4000</v>
      </c>
      <c r="F53" s="21">
        <f>'TSAS Reactive Revenues (2)'!F53</f>
        <v>4000</v>
      </c>
      <c r="G53" s="21">
        <f>'TSAS Reactive Revenues (2)'!G53</f>
        <v>4000</v>
      </c>
      <c r="H53" s="21">
        <f>'TSAS Reactive Revenues (2)'!H53</f>
        <v>4000</v>
      </c>
      <c r="I53" s="21">
        <f>'TSAS Reactive Revenues (2)'!I53</f>
        <v>4000</v>
      </c>
      <c r="J53" s="21">
        <f>'TSAS Reactive Revenues (2)'!J53</f>
        <v>4000</v>
      </c>
      <c r="K53" s="21">
        <f>'TSAS Reactive Revenues (2)'!K53</f>
        <v>4000</v>
      </c>
      <c r="L53" s="21">
        <f>'TSAS Reactive Revenues (2)'!L53</f>
        <v>4000</v>
      </c>
      <c r="M53" s="21">
        <f>'TSAS Reactive Revenues (2)'!M53</f>
        <v>4000</v>
      </c>
      <c r="N53" s="28">
        <f>SUM(B53:M53)</f>
        <v>48000</v>
      </c>
    </row>
    <row r="54" spans="1:14" s="20" customFormat="1" ht="10.199999999999999">
      <c r="A54" s="26" t="s">
        <v>20</v>
      </c>
      <c r="B54" s="33">
        <v>1.274E-2</v>
      </c>
      <c r="C54" s="33">
        <v>1.274E-2</v>
      </c>
      <c r="D54" s="33">
        <v>1.274E-2</v>
      </c>
      <c r="E54" s="33">
        <v>1.274E-2</v>
      </c>
      <c r="F54" s="33">
        <v>1.274E-2</v>
      </c>
      <c r="G54" s="33">
        <v>1.274E-2</v>
      </c>
      <c r="H54" s="33">
        <v>1.274E-2</v>
      </c>
      <c r="I54" s="33">
        <v>1.274E-2</v>
      </c>
      <c r="J54" s="33">
        <v>1.274E-2</v>
      </c>
      <c r="K54" s="33">
        <v>1.274E-2</v>
      </c>
      <c r="L54" s="33">
        <v>1.274E-2</v>
      </c>
      <c r="M54" s="33">
        <v>1.274E-2</v>
      </c>
    </row>
    <row r="55" spans="1:14" s="20" customFormat="1" ht="10.199999999999999">
      <c r="A55" s="26" t="s">
        <v>17</v>
      </c>
      <c r="B55" s="21">
        <f t="shared" ref="B55:M55" si="10">B53*B54</f>
        <v>50.96</v>
      </c>
      <c r="C55" s="21">
        <f t="shared" si="10"/>
        <v>50.96</v>
      </c>
      <c r="D55" s="21">
        <f t="shared" si="10"/>
        <v>50.96</v>
      </c>
      <c r="E55" s="21">
        <f t="shared" si="10"/>
        <v>50.96</v>
      </c>
      <c r="F55" s="21">
        <f t="shared" si="10"/>
        <v>50.96</v>
      </c>
      <c r="G55" s="21">
        <f t="shared" si="10"/>
        <v>50.96</v>
      </c>
      <c r="H55" s="21">
        <f t="shared" si="10"/>
        <v>50.96</v>
      </c>
      <c r="I55" s="21">
        <f t="shared" si="10"/>
        <v>50.96</v>
      </c>
      <c r="J55" s="21">
        <f t="shared" si="10"/>
        <v>50.96</v>
      </c>
      <c r="K55" s="21">
        <f t="shared" si="10"/>
        <v>50.96</v>
      </c>
      <c r="L55" s="21">
        <f t="shared" si="10"/>
        <v>50.96</v>
      </c>
      <c r="M55" s="21">
        <f t="shared" si="10"/>
        <v>50.96</v>
      </c>
      <c r="N55" s="21">
        <f>SUM(B55:M55)</f>
        <v>611.52</v>
      </c>
    </row>
    <row r="56" spans="1:14" s="20" customFormat="1" ht="10.199999999999999">
      <c r="A56" s="26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s="20" customFormat="1" ht="10.199999999999999">
      <c r="A57" s="402" t="s">
        <v>237</v>
      </c>
    </row>
    <row r="58" spans="1:14" s="20" customFormat="1" ht="10.199999999999999">
      <c r="A58" s="27" t="s">
        <v>16</v>
      </c>
      <c r="B58" s="28">
        <f>'TSAS Reactive Revenues (2)'!B38</f>
        <v>4000</v>
      </c>
      <c r="C58" s="28">
        <f>'TSAS Reactive Revenues (2)'!C38</f>
        <v>4000</v>
      </c>
      <c r="D58" s="28">
        <f>'TSAS Reactive Revenues (2)'!D38</f>
        <v>4000</v>
      </c>
      <c r="E58" s="28">
        <f>'TSAS Reactive Revenues (2)'!E38</f>
        <v>4000</v>
      </c>
      <c r="F58" s="28">
        <f>'TSAS Reactive Revenues (2)'!F38</f>
        <v>4000</v>
      </c>
      <c r="G58" s="28">
        <f>'TSAS Reactive Revenues (2)'!G38</f>
        <v>4000</v>
      </c>
      <c r="H58" s="28">
        <f>'TSAS Reactive Revenues (2)'!H38</f>
        <v>4000</v>
      </c>
      <c r="I58" s="28">
        <f>'TSAS Reactive Revenues (2)'!I38</f>
        <v>4000</v>
      </c>
      <c r="J58" s="28">
        <f>'TSAS Reactive Revenues (2)'!J38</f>
        <v>4000</v>
      </c>
      <c r="K58" s="28">
        <f>'TSAS Reactive Revenues (2)'!K38</f>
        <v>4000</v>
      </c>
      <c r="L58" s="28">
        <f>'TSAS Reactive Revenues (2)'!L38</f>
        <v>4000</v>
      </c>
      <c r="M58" s="28">
        <f>'TSAS Reactive Revenues (2)'!M38</f>
        <v>4000</v>
      </c>
      <c r="N58" s="28">
        <f>SUM(B58:M58)</f>
        <v>48000</v>
      </c>
    </row>
    <row r="59" spans="1:14" s="20" customFormat="1" ht="10.199999999999999">
      <c r="A59" s="26" t="s">
        <v>20</v>
      </c>
      <c r="B59" s="33">
        <f>'TSAS Scheduling Revenue (1)'!B49</f>
        <v>1.274E-2</v>
      </c>
      <c r="C59" s="33">
        <f>'TSAS Scheduling Revenue (1)'!C49</f>
        <v>1.274E-2</v>
      </c>
      <c r="D59" s="33">
        <f>'TSAS Scheduling Revenue (1)'!D49</f>
        <v>1.274E-2</v>
      </c>
      <c r="E59" s="33">
        <f>'TSAS Scheduling Revenue (1)'!E49</f>
        <v>1.274E-2</v>
      </c>
      <c r="F59" s="33">
        <f>'TSAS Scheduling Revenue (1)'!F49</f>
        <v>1.274E-2</v>
      </c>
      <c r="G59" s="33">
        <f>'TSAS Scheduling Revenue (1)'!G49</f>
        <v>1.274E-2</v>
      </c>
      <c r="H59" s="33">
        <f>'TSAS Scheduling Revenue (1)'!H49</f>
        <v>1.274E-2</v>
      </c>
      <c r="I59" s="33">
        <f>'TSAS Scheduling Revenue (1)'!I49</f>
        <v>1.274E-2</v>
      </c>
      <c r="J59" s="33">
        <f>'TSAS Scheduling Revenue (1)'!J49</f>
        <v>1.274E-2</v>
      </c>
      <c r="K59" s="33">
        <f>'TSAS Scheduling Revenue (1)'!K49</f>
        <v>1.274E-2</v>
      </c>
      <c r="L59" s="33">
        <f>'TSAS Scheduling Revenue (1)'!L49</f>
        <v>1.274E-2</v>
      </c>
      <c r="M59" s="33">
        <f>'TSAS Scheduling Revenue (1)'!M49</f>
        <v>1.274E-2</v>
      </c>
    </row>
    <row r="60" spans="1:14" s="20" customFormat="1" ht="10.199999999999999">
      <c r="A60" s="26" t="s">
        <v>17</v>
      </c>
      <c r="B60" s="21">
        <f>B58*B59</f>
        <v>50.96</v>
      </c>
      <c r="C60" s="21">
        <f t="shared" ref="C60:M60" si="11">C58*C59</f>
        <v>50.96</v>
      </c>
      <c r="D60" s="21">
        <f t="shared" si="11"/>
        <v>50.96</v>
      </c>
      <c r="E60" s="21">
        <f t="shared" si="11"/>
        <v>50.96</v>
      </c>
      <c r="F60" s="21">
        <f t="shared" si="11"/>
        <v>50.96</v>
      </c>
      <c r="G60" s="21">
        <f t="shared" si="11"/>
        <v>50.96</v>
      </c>
      <c r="H60" s="21">
        <f t="shared" si="11"/>
        <v>50.96</v>
      </c>
      <c r="I60" s="21">
        <f t="shared" si="11"/>
        <v>50.96</v>
      </c>
      <c r="J60" s="21">
        <f t="shared" si="11"/>
        <v>50.96</v>
      </c>
      <c r="K60" s="21">
        <f t="shared" si="11"/>
        <v>50.96</v>
      </c>
      <c r="L60" s="21">
        <f t="shared" si="11"/>
        <v>50.96</v>
      </c>
      <c r="M60" s="21">
        <f t="shared" si="11"/>
        <v>50.96</v>
      </c>
      <c r="N60" s="21">
        <f>SUM(B60:M60)</f>
        <v>611.52</v>
      </c>
    </row>
    <row r="61" spans="1:14" s="20" customFormat="1" ht="10.199999999999999">
      <c r="A61" s="26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4">
      <c r="A62" s="402" t="s">
        <v>179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27" t="s">
        <v>16</v>
      </c>
      <c r="B63" s="28">
        <v>3000</v>
      </c>
      <c r="C63" s="28">
        <f>B63</f>
        <v>3000</v>
      </c>
      <c r="D63" s="28">
        <f t="shared" ref="D63:M63" si="12">C63</f>
        <v>3000</v>
      </c>
      <c r="E63" s="28">
        <f t="shared" si="12"/>
        <v>3000</v>
      </c>
      <c r="F63" s="28">
        <f t="shared" si="12"/>
        <v>3000</v>
      </c>
      <c r="G63" s="28">
        <f t="shared" si="12"/>
        <v>3000</v>
      </c>
      <c r="H63" s="28">
        <f t="shared" si="12"/>
        <v>3000</v>
      </c>
      <c r="I63" s="28">
        <f t="shared" si="12"/>
        <v>3000</v>
      </c>
      <c r="J63" s="28">
        <f t="shared" si="12"/>
        <v>3000</v>
      </c>
      <c r="K63" s="28">
        <f t="shared" si="12"/>
        <v>3000</v>
      </c>
      <c r="L63" s="28">
        <f t="shared" si="12"/>
        <v>3000</v>
      </c>
      <c r="M63" s="28">
        <f t="shared" si="12"/>
        <v>3000</v>
      </c>
      <c r="N63" s="28">
        <f>SUM(B63:M63)</f>
        <v>36000</v>
      </c>
    </row>
    <row r="64" spans="1:14">
      <c r="A64" s="26" t="s">
        <v>20</v>
      </c>
      <c r="B64" s="33">
        <f>'TSAS Scheduling Revenue (1)'!B59</f>
        <v>1.274E-2</v>
      </c>
      <c r="C64" s="33">
        <f>'TSAS Scheduling Revenue (1)'!C59</f>
        <v>1.274E-2</v>
      </c>
      <c r="D64" s="33">
        <f>'TSAS Scheduling Revenue (1)'!D59</f>
        <v>1.274E-2</v>
      </c>
      <c r="E64" s="33">
        <f>'TSAS Scheduling Revenue (1)'!E59</f>
        <v>1.274E-2</v>
      </c>
      <c r="F64" s="33">
        <f>'TSAS Scheduling Revenue (1)'!F59</f>
        <v>1.274E-2</v>
      </c>
      <c r="G64" s="33">
        <f>'TSAS Scheduling Revenue (1)'!G59</f>
        <v>1.274E-2</v>
      </c>
      <c r="H64" s="33">
        <f>'TSAS Scheduling Revenue (1)'!H59</f>
        <v>1.274E-2</v>
      </c>
      <c r="I64" s="33">
        <f>'TSAS Scheduling Revenue (1)'!I59</f>
        <v>1.274E-2</v>
      </c>
      <c r="J64" s="33">
        <f>'TSAS Scheduling Revenue (1)'!J59</f>
        <v>1.274E-2</v>
      </c>
      <c r="K64" s="33">
        <f>'TSAS Scheduling Revenue (1)'!K59</f>
        <v>1.274E-2</v>
      </c>
      <c r="L64" s="33">
        <f>'TSAS Scheduling Revenue (1)'!L59</f>
        <v>1.274E-2</v>
      </c>
      <c r="M64" s="33">
        <f>'TSAS Scheduling Revenue (1)'!M59</f>
        <v>1.274E-2</v>
      </c>
      <c r="N64" s="20"/>
    </row>
    <row r="65" spans="1:15">
      <c r="A65" s="26" t="s">
        <v>17</v>
      </c>
      <c r="B65" s="21">
        <f t="shared" ref="B65:M65" si="13">B63*B64</f>
        <v>38.22</v>
      </c>
      <c r="C65" s="21">
        <f t="shared" si="13"/>
        <v>38.22</v>
      </c>
      <c r="D65" s="21">
        <f t="shared" si="13"/>
        <v>38.22</v>
      </c>
      <c r="E65" s="21">
        <f t="shared" si="13"/>
        <v>38.22</v>
      </c>
      <c r="F65" s="21">
        <f t="shared" si="13"/>
        <v>38.22</v>
      </c>
      <c r="G65" s="21">
        <f t="shared" si="13"/>
        <v>38.22</v>
      </c>
      <c r="H65" s="21">
        <f t="shared" si="13"/>
        <v>38.22</v>
      </c>
      <c r="I65" s="21">
        <f t="shared" si="13"/>
        <v>38.22</v>
      </c>
      <c r="J65" s="21">
        <f t="shared" si="13"/>
        <v>38.22</v>
      </c>
      <c r="K65" s="21">
        <f t="shared" si="13"/>
        <v>38.22</v>
      </c>
      <c r="L65" s="21">
        <f t="shared" si="13"/>
        <v>38.22</v>
      </c>
      <c r="M65" s="21">
        <f t="shared" si="13"/>
        <v>38.22</v>
      </c>
      <c r="N65" s="21">
        <f>SUM(B65:M65)</f>
        <v>458.6400000000001</v>
      </c>
    </row>
    <row r="66" spans="1:15" s="20" customFormat="1" ht="10.199999999999999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1:15" s="20" customFormat="1" ht="10.199999999999999">
      <c r="A67" s="145" t="s">
        <v>25</v>
      </c>
      <c r="B67" s="144">
        <f>B15+B20+B25+B30+B35+B45+B40+B50+B60+B65+B55</f>
        <v>6408.9334399999998</v>
      </c>
      <c r="C67" s="144">
        <f t="shared" ref="C67:M67" si="14">C15+C20+C25+C30+C35+C45+C40+C50+C60+C65+C55</f>
        <v>6408.9334399999998</v>
      </c>
      <c r="D67" s="144">
        <f t="shared" si="14"/>
        <v>6408.9334399999998</v>
      </c>
      <c r="E67" s="144">
        <f t="shared" si="14"/>
        <v>6408.9334399999998</v>
      </c>
      <c r="F67" s="144">
        <f t="shared" si="14"/>
        <v>6408.9334399999998</v>
      </c>
      <c r="G67" s="144">
        <f t="shared" si="14"/>
        <v>6408.9334399999998</v>
      </c>
      <c r="H67" s="144">
        <f t="shared" si="14"/>
        <v>6408.9334399999998</v>
      </c>
      <c r="I67" s="144">
        <f t="shared" si="14"/>
        <v>6408.9334399999998</v>
      </c>
      <c r="J67" s="144">
        <f t="shared" si="14"/>
        <v>6408.9334399999998</v>
      </c>
      <c r="K67" s="144">
        <f t="shared" si="14"/>
        <v>6408.9334399999998</v>
      </c>
      <c r="L67" s="144">
        <f t="shared" si="14"/>
        <v>6408.9334399999998</v>
      </c>
      <c r="M67" s="144">
        <f t="shared" si="14"/>
        <v>6408.9334399999998</v>
      </c>
      <c r="N67" s="144">
        <f>SUM(B67:M67)</f>
        <v>76907.201279999994</v>
      </c>
    </row>
    <row r="68" spans="1:15" s="20" customFormat="1" ht="10.199999999999999">
      <c r="A68" s="145" t="s">
        <v>60</v>
      </c>
      <c r="B68" s="144">
        <f>B13+B18+B23+B28+B33+B48+B43+B38+B58+B63+B53</f>
        <v>503056</v>
      </c>
      <c r="C68" s="144">
        <f t="shared" ref="C68:M68" si="15">C13+C18+C23+C28+C33+C48+C43+C38+C58+C63+C53</f>
        <v>503056</v>
      </c>
      <c r="D68" s="144">
        <f t="shared" si="15"/>
        <v>503056</v>
      </c>
      <c r="E68" s="144">
        <f t="shared" si="15"/>
        <v>503056</v>
      </c>
      <c r="F68" s="144">
        <f t="shared" si="15"/>
        <v>503056</v>
      </c>
      <c r="G68" s="144">
        <f t="shared" si="15"/>
        <v>503056</v>
      </c>
      <c r="H68" s="144">
        <f t="shared" si="15"/>
        <v>503056</v>
      </c>
      <c r="I68" s="144">
        <f t="shared" si="15"/>
        <v>503056</v>
      </c>
      <c r="J68" s="144">
        <f t="shared" si="15"/>
        <v>503056</v>
      </c>
      <c r="K68" s="144">
        <f t="shared" si="15"/>
        <v>503056</v>
      </c>
      <c r="L68" s="144">
        <f t="shared" si="15"/>
        <v>503056</v>
      </c>
      <c r="M68" s="144">
        <f t="shared" si="15"/>
        <v>503056</v>
      </c>
      <c r="N68" s="144">
        <f>SUM(B68:M68)</f>
        <v>6036672</v>
      </c>
    </row>
    <row r="69" spans="1:15" s="20" customFormat="1" ht="10.199999999999999">
      <c r="A69" s="25">
        <f>+A8+1</f>
        <v>2015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15" s="20" customFormat="1" ht="10.199999999999999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5" s="20" customFormat="1" ht="13.2">
      <c r="A71" s="23" t="s">
        <v>19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5" s="20" customFormat="1" ht="10.199999999999999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5" s="20" customFormat="1" ht="10.199999999999999">
      <c r="A73" s="402" t="s">
        <v>359</v>
      </c>
    </row>
    <row r="74" spans="1:15" s="29" customFormat="1">
      <c r="A74" s="27" t="s">
        <v>16</v>
      </c>
      <c r="B74" s="28">
        <f>'TSAS Demand Revenues (7)'!B74</f>
        <v>5000</v>
      </c>
      <c r="C74" s="28">
        <f>'TSAS Demand Revenues (7)'!C74</f>
        <v>5000</v>
      </c>
      <c r="D74" s="28">
        <f>'TSAS Demand Revenues (7)'!D74</f>
        <v>5000</v>
      </c>
      <c r="E74" s="28">
        <f>'TSAS Demand Revenues (7)'!E74</f>
        <v>5000</v>
      </c>
      <c r="F74" s="28">
        <f>'TSAS Demand Revenues (7)'!F74</f>
        <v>5000</v>
      </c>
      <c r="G74" s="28">
        <f>'TSAS Demand Revenues (7)'!G74</f>
        <v>5000</v>
      </c>
      <c r="H74" s="28">
        <f>'TSAS Demand Revenues (7)'!H74</f>
        <v>5000</v>
      </c>
      <c r="I74" s="28">
        <f>'TSAS Demand Revenues (7)'!I74</f>
        <v>5000</v>
      </c>
      <c r="J74" s="28">
        <f>'TSAS Demand Revenues (7)'!J74</f>
        <v>5000</v>
      </c>
      <c r="K74" s="28">
        <f>'TSAS Demand Revenues (7)'!K74</f>
        <v>5000</v>
      </c>
      <c r="L74" s="28">
        <f>'TSAS Demand Revenues (7)'!L74</f>
        <v>5000</v>
      </c>
      <c r="M74" s="28">
        <f>'TSAS Demand Revenues (7)'!M74</f>
        <v>5000</v>
      </c>
      <c r="N74" s="28">
        <f>SUM(B74:M74)</f>
        <v>60000</v>
      </c>
      <c r="O74" s="22"/>
    </row>
    <row r="75" spans="1:15" s="20" customFormat="1">
      <c r="A75" s="26" t="s">
        <v>20</v>
      </c>
      <c r="B75" s="32">
        <f>'charges (1 &amp; 2)'!$E$21</f>
        <v>1.274E-2</v>
      </c>
      <c r="C75" s="32">
        <f>'charges (1 &amp; 2)'!$E$21</f>
        <v>1.274E-2</v>
      </c>
      <c r="D75" s="32">
        <f>'charges (1 &amp; 2)'!$E$21</f>
        <v>1.274E-2</v>
      </c>
      <c r="E75" s="32">
        <f>'charges (1 &amp; 2)'!$E$21</f>
        <v>1.274E-2</v>
      </c>
      <c r="F75" s="32">
        <f>'charges (1 &amp; 2)'!$E$21</f>
        <v>1.274E-2</v>
      </c>
      <c r="G75" s="32">
        <f>'charges (1 &amp; 2)'!$E$21</f>
        <v>1.274E-2</v>
      </c>
      <c r="H75" s="32">
        <f>'charges (1 &amp; 2)'!$E$21</f>
        <v>1.274E-2</v>
      </c>
      <c r="I75" s="32">
        <f>'charges (1 &amp; 2)'!$E$21</f>
        <v>1.274E-2</v>
      </c>
      <c r="J75" s="32">
        <f>'charges (1 &amp; 2)'!$E$21</f>
        <v>1.274E-2</v>
      </c>
      <c r="K75" s="32">
        <f>'charges (1 &amp; 2)'!$E$21</f>
        <v>1.274E-2</v>
      </c>
      <c r="L75" s="32">
        <f>'charges (1 &amp; 2)'!$E$21</f>
        <v>1.274E-2</v>
      </c>
      <c r="M75" s="32">
        <f>'charges (1 &amp; 2)'!$E$21</f>
        <v>1.274E-2</v>
      </c>
      <c r="O75" s="22"/>
    </row>
    <row r="76" spans="1:15" s="20" customFormat="1">
      <c r="A76" s="26" t="s">
        <v>17</v>
      </c>
      <c r="B76" s="21">
        <f t="shared" ref="B76:M76" si="16">B74*B75</f>
        <v>63.699999999999996</v>
      </c>
      <c r="C76" s="21">
        <f t="shared" si="16"/>
        <v>63.699999999999996</v>
      </c>
      <c r="D76" s="21">
        <f t="shared" si="16"/>
        <v>63.699999999999996</v>
      </c>
      <c r="E76" s="21">
        <f t="shared" si="16"/>
        <v>63.699999999999996</v>
      </c>
      <c r="F76" s="21">
        <f t="shared" si="16"/>
        <v>63.699999999999996</v>
      </c>
      <c r="G76" s="21">
        <f t="shared" si="16"/>
        <v>63.699999999999996</v>
      </c>
      <c r="H76" s="21">
        <f t="shared" si="16"/>
        <v>63.699999999999996</v>
      </c>
      <c r="I76" s="21">
        <f t="shared" si="16"/>
        <v>63.699999999999996</v>
      </c>
      <c r="J76" s="21">
        <f t="shared" si="16"/>
        <v>63.699999999999996</v>
      </c>
      <c r="K76" s="21">
        <f t="shared" si="16"/>
        <v>63.699999999999996</v>
      </c>
      <c r="L76" s="21">
        <f t="shared" si="16"/>
        <v>63.699999999999996</v>
      </c>
      <c r="M76" s="21">
        <f t="shared" si="16"/>
        <v>63.699999999999996</v>
      </c>
      <c r="N76" s="21">
        <f>SUM(B76:M76)</f>
        <v>764.40000000000009</v>
      </c>
      <c r="O76" s="22"/>
    </row>
    <row r="77" spans="1:15" s="20" customFormat="1">
      <c r="O77" s="22"/>
    </row>
    <row r="78" spans="1:15" s="20" customFormat="1">
      <c r="A78" s="26" t="s">
        <v>21</v>
      </c>
      <c r="O78" s="22"/>
    </row>
    <row r="79" spans="1:15" s="29" customFormat="1">
      <c r="A79" s="27" t="s">
        <v>16</v>
      </c>
      <c r="B79" s="28">
        <f>'TSAS Demand Revenues (7)'!B79</f>
        <v>0</v>
      </c>
      <c r="C79" s="28">
        <f>'TSAS Demand Revenues (7)'!C79</f>
        <v>0</v>
      </c>
      <c r="D79" s="28">
        <f>'TSAS Demand Revenues (7)'!D79</f>
        <v>0</v>
      </c>
      <c r="E79" s="28">
        <f>'TSAS Demand Revenues (7)'!E79</f>
        <v>0</v>
      </c>
      <c r="F79" s="28">
        <f>'TSAS Demand Revenues (7)'!F79</f>
        <v>0</v>
      </c>
      <c r="G79" s="28">
        <f>'TSAS Demand Revenues (7)'!G79</f>
        <v>0</v>
      </c>
      <c r="H79" s="28">
        <f>'TSAS Demand Revenues (7)'!H79</f>
        <v>0</v>
      </c>
      <c r="I79" s="28">
        <f>'TSAS Demand Revenues (7)'!I79</f>
        <v>0</v>
      </c>
      <c r="J79" s="28">
        <f>'TSAS Demand Revenues (7)'!J79</f>
        <v>0</v>
      </c>
      <c r="K79" s="28">
        <f>'TSAS Demand Revenues (7)'!K79</f>
        <v>0</v>
      </c>
      <c r="L79" s="28">
        <f>'TSAS Demand Revenues (7)'!L79</f>
        <v>0</v>
      </c>
      <c r="M79" s="28">
        <f>'TSAS Demand Revenues (7)'!M79</f>
        <v>0</v>
      </c>
      <c r="N79" s="28">
        <f>SUM(B79:M79)</f>
        <v>0</v>
      </c>
      <c r="O79" s="22"/>
    </row>
    <row r="80" spans="1:15" s="20" customFormat="1">
      <c r="A80" s="26" t="s">
        <v>20</v>
      </c>
      <c r="B80" s="32">
        <f>'charges (1 &amp; 2)'!$D$24</f>
        <v>1.274E-2</v>
      </c>
      <c r="C80" s="32">
        <f>'charges (1 &amp; 2)'!$D$24</f>
        <v>1.274E-2</v>
      </c>
      <c r="D80" s="32">
        <f>'charges (1 &amp; 2)'!$D$24</f>
        <v>1.274E-2</v>
      </c>
      <c r="E80" s="32">
        <f>'charges (1 &amp; 2)'!$D$24</f>
        <v>1.274E-2</v>
      </c>
      <c r="F80" s="32">
        <f>'charges (1 &amp; 2)'!$D$24</f>
        <v>1.274E-2</v>
      </c>
      <c r="G80" s="32">
        <f>'charges (1 &amp; 2)'!$D$24</f>
        <v>1.274E-2</v>
      </c>
      <c r="H80" s="32">
        <f>'charges (1 &amp; 2)'!$D$24</f>
        <v>1.274E-2</v>
      </c>
      <c r="I80" s="32">
        <f>'charges (1 &amp; 2)'!$D$24</f>
        <v>1.274E-2</v>
      </c>
      <c r="J80" s="32">
        <f>'charges (1 &amp; 2)'!$D$24</f>
        <v>1.274E-2</v>
      </c>
      <c r="K80" s="32">
        <f>'charges (1 &amp; 2)'!$D$24</f>
        <v>1.274E-2</v>
      </c>
      <c r="L80" s="32">
        <f>'charges (1 &amp; 2)'!$D$24</f>
        <v>1.274E-2</v>
      </c>
      <c r="M80" s="32">
        <f>'charges (1 &amp; 2)'!$D$24</f>
        <v>1.274E-2</v>
      </c>
      <c r="O80" s="22"/>
    </row>
    <row r="81" spans="1:15" s="20" customFormat="1">
      <c r="A81" s="26" t="s">
        <v>17</v>
      </c>
      <c r="B81" s="21">
        <f t="shared" ref="B81:M81" si="17">B79*B80</f>
        <v>0</v>
      </c>
      <c r="C81" s="21">
        <f t="shared" si="17"/>
        <v>0</v>
      </c>
      <c r="D81" s="21">
        <f t="shared" si="17"/>
        <v>0</v>
      </c>
      <c r="E81" s="21">
        <f t="shared" si="17"/>
        <v>0</v>
      </c>
      <c r="F81" s="21">
        <f t="shared" si="17"/>
        <v>0</v>
      </c>
      <c r="G81" s="21">
        <f t="shared" si="17"/>
        <v>0</v>
      </c>
      <c r="H81" s="21">
        <f t="shared" si="17"/>
        <v>0</v>
      </c>
      <c r="I81" s="21">
        <f t="shared" si="17"/>
        <v>0</v>
      </c>
      <c r="J81" s="21">
        <f t="shared" si="17"/>
        <v>0</v>
      </c>
      <c r="K81" s="21">
        <f t="shared" si="17"/>
        <v>0</v>
      </c>
      <c r="L81" s="21">
        <f t="shared" si="17"/>
        <v>0</v>
      </c>
      <c r="M81" s="21">
        <f t="shared" si="17"/>
        <v>0</v>
      </c>
      <c r="N81" s="21">
        <f>SUM(B81:M81)</f>
        <v>0</v>
      </c>
      <c r="O81" s="22"/>
    </row>
    <row r="82" spans="1:15" s="20" customFormat="1">
      <c r="B82" s="21"/>
      <c r="O82" s="22"/>
    </row>
    <row r="83" spans="1:15" s="20" customFormat="1">
      <c r="A83" s="26" t="s">
        <v>22</v>
      </c>
      <c r="O83" s="22"/>
    </row>
    <row r="84" spans="1:15" s="29" customFormat="1">
      <c r="A84" s="27" t="s">
        <v>16</v>
      </c>
      <c r="B84" s="28">
        <f>'TSAS Demand Revenues (7)'!B84</f>
        <v>0</v>
      </c>
      <c r="C84" s="28">
        <f>'TSAS Demand Revenues (7)'!C84</f>
        <v>0</v>
      </c>
      <c r="D84" s="28">
        <f>'TSAS Demand Revenues (7)'!D84</f>
        <v>0</v>
      </c>
      <c r="E84" s="28">
        <f>'TSAS Demand Revenues (7)'!E84</f>
        <v>0</v>
      </c>
      <c r="F84" s="28">
        <f>'TSAS Demand Revenues (7)'!F84</f>
        <v>0</v>
      </c>
      <c r="G84" s="28">
        <f>'TSAS Demand Revenues (7)'!G84</f>
        <v>0</v>
      </c>
      <c r="H84" s="28">
        <f>'TSAS Demand Revenues (7)'!H84</f>
        <v>0</v>
      </c>
      <c r="I84" s="28">
        <f>'TSAS Demand Revenues (7)'!I84</f>
        <v>0</v>
      </c>
      <c r="J84" s="28">
        <f>'TSAS Demand Revenues (7)'!J84</f>
        <v>0</v>
      </c>
      <c r="K84" s="28">
        <f>'TSAS Demand Revenues (7)'!K84</f>
        <v>0</v>
      </c>
      <c r="L84" s="28">
        <f>'TSAS Demand Revenues (7)'!L84</f>
        <v>0</v>
      </c>
      <c r="M84" s="28">
        <f>'TSAS Demand Revenues (7)'!M84</f>
        <v>0</v>
      </c>
      <c r="N84" s="28">
        <f>SUM(B84:M84)</f>
        <v>0</v>
      </c>
      <c r="O84" s="22"/>
    </row>
    <row r="85" spans="1:15" s="20" customFormat="1">
      <c r="A85" s="26" t="s">
        <v>20</v>
      </c>
      <c r="B85" s="33">
        <f>B80</f>
        <v>1.274E-2</v>
      </c>
      <c r="C85" s="33">
        <f t="shared" ref="C85:M85" si="18">C80</f>
        <v>1.274E-2</v>
      </c>
      <c r="D85" s="33">
        <f t="shared" si="18"/>
        <v>1.274E-2</v>
      </c>
      <c r="E85" s="33">
        <f t="shared" si="18"/>
        <v>1.274E-2</v>
      </c>
      <c r="F85" s="33">
        <f t="shared" si="18"/>
        <v>1.274E-2</v>
      </c>
      <c r="G85" s="33">
        <f t="shared" si="18"/>
        <v>1.274E-2</v>
      </c>
      <c r="H85" s="33">
        <f t="shared" si="18"/>
        <v>1.274E-2</v>
      </c>
      <c r="I85" s="33">
        <f t="shared" si="18"/>
        <v>1.274E-2</v>
      </c>
      <c r="J85" s="33">
        <f t="shared" si="18"/>
        <v>1.274E-2</v>
      </c>
      <c r="K85" s="33">
        <f t="shared" si="18"/>
        <v>1.274E-2</v>
      </c>
      <c r="L85" s="33">
        <f t="shared" si="18"/>
        <v>1.274E-2</v>
      </c>
      <c r="M85" s="33">
        <f t="shared" si="18"/>
        <v>1.274E-2</v>
      </c>
      <c r="O85" s="22"/>
    </row>
    <row r="86" spans="1:15" s="20" customFormat="1">
      <c r="A86" s="26" t="s">
        <v>17</v>
      </c>
      <c r="B86" s="21">
        <f t="shared" ref="B86:M86" si="19">B84*B85</f>
        <v>0</v>
      </c>
      <c r="C86" s="21">
        <f t="shared" si="19"/>
        <v>0</v>
      </c>
      <c r="D86" s="21">
        <f t="shared" si="19"/>
        <v>0</v>
      </c>
      <c r="E86" s="21">
        <f t="shared" si="19"/>
        <v>0</v>
      </c>
      <c r="F86" s="21">
        <f t="shared" si="19"/>
        <v>0</v>
      </c>
      <c r="G86" s="21">
        <f t="shared" si="19"/>
        <v>0</v>
      </c>
      <c r="H86" s="21">
        <f t="shared" si="19"/>
        <v>0</v>
      </c>
      <c r="I86" s="21">
        <f t="shared" si="19"/>
        <v>0</v>
      </c>
      <c r="J86" s="21">
        <f t="shared" si="19"/>
        <v>0</v>
      </c>
      <c r="K86" s="21">
        <f t="shared" si="19"/>
        <v>0</v>
      </c>
      <c r="L86" s="21">
        <f t="shared" si="19"/>
        <v>0</v>
      </c>
      <c r="M86" s="21">
        <f t="shared" si="19"/>
        <v>0</v>
      </c>
      <c r="N86" s="21">
        <f>SUM(B86:M86)</f>
        <v>0</v>
      </c>
      <c r="O86" s="22"/>
    </row>
    <row r="87" spans="1:15" s="20" customFormat="1">
      <c r="B87" s="21"/>
      <c r="O87" s="22"/>
    </row>
    <row r="88" spans="1:15" s="20" customFormat="1" ht="10.199999999999999">
      <c r="A88" s="402" t="s">
        <v>23</v>
      </c>
      <c r="O88" s="29"/>
    </row>
    <row r="89" spans="1:15" s="29" customFormat="1" ht="10.199999999999999">
      <c r="A89" s="27" t="s">
        <v>16</v>
      </c>
      <c r="B89" s="28">
        <f>'TSAS Demand Revenues (7)'!B89</f>
        <v>37056</v>
      </c>
      <c r="C89" s="28">
        <f>'TSAS Demand Revenues (7)'!C89</f>
        <v>37056</v>
      </c>
      <c r="D89" s="28">
        <f>'TSAS Demand Revenues (7)'!D89</f>
        <v>37056</v>
      </c>
      <c r="E89" s="28">
        <f>'TSAS Demand Revenues (7)'!E89</f>
        <v>37056</v>
      </c>
      <c r="F89" s="28">
        <f>'TSAS Demand Revenues (7)'!F89</f>
        <v>37056</v>
      </c>
      <c r="G89" s="28">
        <f>'TSAS Demand Revenues (7)'!G89</f>
        <v>37056</v>
      </c>
      <c r="H89" s="28">
        <f>'TSAS Demand Revenues (7)'!H89</f>
        <v>37056</v>
      </c>
      <c r="I89" s="28">
        <f>'TSAS Demand Revenues (7)'!I89</f>
        <v>37056</v>
      </c>
      <c r="J89" s="28">
        <f>'TSAS Demand Revenues (7)'!J89</f>
        <v>37056</v>
      </c>
      <c r="K89" s="28">
        <f>'TSAS Demand Revenues (7)'!K89</f>
        <v>37056</v>
      </c>
      <c r="L89" s="28">
        <f>'TSAS Demand Revenues (7)'!L89</f>
        <v>37056</v>
      </c>
      <c r="M89" s="28">
        <f>'TSAS Demand Revenues (7)'!M89</f>
        <v>37056</v>
      </c>
      <c r="N89" s="28">
        <f>SUM(B89:M89)</f>
        <v>444672</v>
      </c>
    </row>
    <row r="90" spans="1:15" s="20" customFormat="1" ht="10.199999999999999">
      <c r="A90" s="26" t="s">
        <v>20</v>
      </c>
      <c r="B90" s="33">
        <f>'charges (1 &amp; 2)'!$D$27</f>
        <v>1.274E-2</v>
      </c>
      <c r="C90" s="33">
        <f>'charges (1 &amp; 2)'!$D$27</f>
        <v>1.274E-2</v>
      </c>
      <c r="D90" s="33">
        <f>'charges (1 &amp; 2)'!$D$27</f>
        <v>1.274E-2</v>
      </c>
      <c r="E90" s="33">
        <f>'charges (1 &amp; 2)'!$D$27</f>
        <v>1.274E-2</v>
      </c>
      <c r="F90" s="33">
        <f>'charges (1 &amp; 2)'!$D$27</f>
        <v>1.274E-2</v>
      </c>
      <c r="G90" s="33">
        <f>'charges (1 &amp; 2)'!$D$27</f>
        <v>1.274E-2</v>
      </c>
      <c r="H90" s="33">
        <f>'charges (1 &amp; 2)'!$D$27</f>
        <v>1.274E-2</v>
      </c>
      <c r="I90" s="33">
        <f>'charges (1 &amp; 2)'!$D$27</f>
        <v>1.274E-2</v>
      </c>
      <c r="J90" s="33">
        <f>'charges (1 &amp; 2)'!$D$27</f>
        <v>1.274E-2</v>
      </c>
      <c r="K90" s="33">
        <f>'charges (1 &amp; 2)'!$D$27</f>
        <v>1.274E-2</v>
      </c>
      <c r="L90" s="33">
        <f>'charges (1 &amp; 2)'!$D$27</f>
        <v>1.274E-2</v>
      </c>
      <c r="M90" s="33">
        <f>'charges (1 &amp; 2)'!$D$27</f>
        <v>1.274E-2</v>
      </c>
    </row>
    <row r="91" spans="1:15" s="20" customFormat="1" ht="10.199999999999999">
      <c r="A91" s="26" t="s">
        <v>17</v>
      </c>
      <c r="B91" s="21">
        <f t="shared" ref="B91:M91" si="20">B89*B90</f>
        <v>472.09343999999999</v>
      </c>
      <c r="C91" s="21">
        <f t="shared" si="20"/>
        <v>472.09343999999999</v>
      </c>
      <c r="D91" s="21">
        <f t="shared" si="20"/>
        <v>472.09343999999999</v>
      </c>
      <c r="E91" s="21">
        <f t="shared" si="20"/>
        <v>472.09343999999999</v>
      </c>
      <c r="F91" s="21">
        <f t="shared" si="20"/>
        <v>472.09343999999999</v>
      </c>
      <c r="G91" s="21">
        <f t="shared" si="20"/>
        <v>472.09343999999999</v>
      </c>
      <c r="H91" s="21">
        <f t="shared" si="20"/>
        <v>472.09343999999999</v>
      </c>
      <c r="I91" s="21">
        <f t="shared" si="20"/>
        <v>472.09343999999999</v>
      </c>
      <c r="J91" s="21">
        <f t="shared" si="20"/>
        <v>472.09343999999999</v>
      </c>
      <c r="K91" s="21">
        <f t="shared" si="20"/>
        <v>472.09343999999999</v>
      </c>
      <c r="L91" s="21">
        <f t="shared" si="20"/>
        <v>472.09343999999999</v>
      </c>
      <c r="M91" s="21">
        <f t="shared" si="20"/>
        <v>472.09343999999999</v>
      </c>
      <c r="N91" s="21">
        <f>SUM(B91:M91)</f>
        <v>5665.1212799999994</v>
      </c>
    </row>
    <row r="92" spans="1:15" s="20" customFormat="1" ht="10.199999999999999">
      <c r="B92" s="21"/>
    </row>
    <row r="93" spans="1:15" s="20" customFormat="1" ht="10.199999999999999">
      <c r="A93" s="402" t="s">
        <v>24</v>
      </c>
    </row>
    <row r="94" spans="1:15" s="29" customFormat="1" ht="10.199999999999999">
      <c r="A94" s="27" t="s">
        <v>16</v>
      </c>
      <c r="B94" s="28">
        <f>'TSAS Demand Revenues (7)'!B94</f>
        <v>62000</v>
      </c>
      <c r="C94" s="28">
        <f>'TSAS Demand Revenues (7)'!C94</f>
        <v>62000</v>
      </c>
      <c r="D94" s="28">
        <f>'TSAS Demand Revenues (7)'!D94</f>
        <v>62000</v>
      </c>
      <c r="E94" s="28">
        <f>'TSAS Demand Revenues (7)'!E94</f>
        <v>62000</v>
      </c>
      <c r="F94" s="28">
        <f>'TSAS Demand Revenues (7)'!F94</f>
        <v>62000</v>
      </c>
      <c r="G94" s="28">
        <f>'TSAS Demand Revenues (7)'!G94</f>
        <v>62000</v>
      </c>
      <c r="H94" s="28">
        <f>'TSAS Demand Revenues (7)'!H94</f>
        <v>62000</v>
      </c>
      <c r="I94" s="28">
        <f>'TSAS Demand Revenues (7)'!I94</f>
        <v>62000</v>
      </c>
      <c r="J94" s="28">
        <f>'TSAS Demand Revenues (7)'!J94</f>
        <v>62000</v>
      </c>
      <c r="K94" s="28">
        <f>'TSAS Demand Revenues (7)'!K94</f>
        <v>62000</v>
      </c>
      <c r="L94" s="28">
        <f>'TSAS Demand Revenues (7)'!L94</f>
        <v>62000</v>
      </c>
      <c r="M94" s="28">
        <f>'TSAS Demand Revenues (7)'!M94</f>
        <v>62000</v>
      </c>
      <c r="N94" s="28">
        <f>SUM(B94:M94)</f>
        <v>744000</v>
      </c>
    </row>
    <row r="95" spans="1:15" s="20" customFormat="1" ht="10.199999999999999">
      <c r="A95" s="26" t="s">
        <v>20</v>
      </c>
      <c r="B95" s="33">
        <f>'charges (1 &amp; 2)'!$D$18</f>
        <v>1.274E-2</v>
      </c>
      <c r="C95" s="33">
        <f>'charges (1 &amp; 2)'!$D$18</f>
        <v>1.274E-2</v>
      </c>
      <c r="D95" s="33">
        <f>'charges (1 &amp; 2)'!$D$18</f>
        <v>1.274E-2</v>
      </c>
      <c r="E95" s="33">
        <f>'charges (1 &amp; 2)'!$D$18</f>
        <v>1.274E-2</v>
      </c>
      <c r="F95" s="33">
        <f>'charges (1 &amp; 2)'!$D$18</f>
        <v>1.274E-2</v>
      </c>
      <c r="G95" s="33">
        <f>'charges (1 &amp; 2)'!$D$18</f>
        <v>1.274E-2</v>
      </c>
      <c r="H95" s="33">
        <f>'charges (1 &amp; 2)'!$D$18</f>
        <v>1.274E-2</v>
      </c>
      <c r="I95" s="33">
        <f>'charges (1 &amp; 2)'!$D$18</f>
        <v>1.274E-2</v>
      </c>
      <c r="J95" s="33">
        <f>'charges (1 &amp; 2)'!$D$18</f>
        <v>1.274E-2</v>
      </c>
      <c r="K95" s="33">
        <f>'charges (1 &amp; 2)'!$D$18</f>
        <v>1.274E-2</v>
      </c>
      <c r="L95" s="33">
        <f>'charges (1 &amp; 2)'!$D$18</f>
        <v>1.274E-2</v>
      </c>
      <c r="M95" s="33">
        <f>'charges (1 &amp; 2)'!$D$18</f>
        <v>1.274E-2</v>
      </c>
    </row>
    <row r="96" spans="1:15" s="20" customFormat="1" ht="10.199999999999999">
      <c r="A96" s="26" t="s">
        <v>17</v>
      </c>
      <c r="B96" s="21">
        <f t="shared" ref="B96:M96" si="21">B94*B95</f>
        <v>789.88</v>
      </c>
      <c r="C96" s="21">
        <f t="shared" si="21"/>
        <v>789.88</v>
      </c>
      <c r="D96" s="21">
        <f t="shared" si="21"/>
        <v>789.88</v>
      </c>
      <c r="E96" s="21">
        <f t="shared" si="21"/>
        <v>789.88</v>
      </c>
      <c r="F96" s="21">
        <f t="shared" si="21"/>
        <v>789.88</v>
      </c>
      <c r="G96" s="21">
        <f t="shared" si="21"/>
        <v>789.88</v>
      </c>
      <c r="H96" s="21">
        <f t="shared" si="21"/>
        <v>789.88</v>
      </c>
      <c r="I96" s="21">
        <f t="shared" si="21"/>
        <v>789.88</v>
      </c>
      <c r="J96" s="21">
        <f t="shared" si="21"/>
        <v>789.88</v>
      </c>
      <c r="K96" s="21">
        <f t="shared" si="21"/>
        <v>789.88</v>
      </c>
      <c r="L96" s="21">
        <f t="shared" si="21"/>
        <v>789.88</v>
      </c>
      <c r="M96" s="21">
        <f t="shared" si="21"/>
        <v>789.88</v>
      </c>
      <c r="N96" s="21">
        <f>SUM(B96:M96)</f>
        <v>9478.56</v>
      </c>
    </row>
    <row r="97" spans="1:14" s="20" customFormat="1" ht="10.199999999999999">
      <c r="A97" s="2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4" s="20" customFormat="1" ht="10.199999999999999">
      <c r="A98" s="402" t="s">
        <v>116</v>
      </c>
    </row>
    <row r="99" spans="1:14" s="20" customFormat="1" ht="10.199999999999999">
      <c r="A99" s="27" t="s">
        <v>16</v>
      </c>
      <c r="B99" s="28">
        <f>'TSAS Demand Revenues (7)'!B99</f>
        <v>40000</v>
      </c>
      <c r="C99" s="28">
        <f>'TSAS Demand Revenues (7)'!C99</f>
        <v>40000</v>
      </c>
      <c r="D99" s="28">
        <f>'TSAS Demand Revenues (7)'!D99</f>
        <v>40000</v>
      </c>
      <c r="E99" s="28">
        <f>'TSAS Demand Revenues (7)'!E99</f>
        <v>40000</v>
      </c>
      <c r="F99" s="28">
        <f>'TSAS Demand Revenues (7)'!F99</f>
        <v>40000</v>
      </c>
      <c r="G99" s="28">
        <f>'TSAS Demand Revenues (7)'!G99</f>
        <v>40000</v>
      </c>
      <c r="H99" s="28">
        <f>'TSAS Demand Revenues (7)'!H99</f>
        <v>40000</v>
      </c>
      <c r="I99" s="28">
        <f>'TSAS Demand Revenues (7)'!I99</f>
        <v>40000</v>
      </c>
      <c r="J99" s="28">
        <f>'TSAS Demand Revenues (7)'!J99</f>
        <v>40000</v>
      </c>
      <c r="K99" s="28">
        <f>'TSAS Demand Revenues (7)'!K99</f>
        <v>40000</v>
      </c>
      <c r="L99" s="28">
        <f>'TSAS Demand Revenues (7)'!L99</f>
        <v>40000</v>
      </c>
      <c r="M99" s="28">
        <f>'TSAS Demand Revenues (7)'!M99</f>
        <v>40000</v>
      </c>
      <c r="N99" s="28">
        <f>SUM(B99:M99)</f>
        <v>480000</v>
      </c>
    </row>
    <row r="100" spans="1:14" s="20" customFormat="1" ht="10.199999999999999">
      <c r="A100" s="26" t="s">
        <v>20</v>
      </c>
      <c r="B100" s="33">
        <f>B44</f>
        <v>1.274E-2</v>
      </c>
      <c r="C100" s="33">
        <f t="shared" ref="C100:M100" si="22">C44</f>
        <v>1.274E-2</v>
      </c>
      <c r="D100" s="33">
        <f t="shared" si="22"/>
        <v>1.274E-2</v>
      </c>
      <c r="E100" s="33">
        <f t="shared" si="22"/>
        <v>1.274E-2</v>
      </c>
      <c r="F100" s="33">
        <f t="shared" si="22"/>
        <v>1.274E-2</v>
      </c>
      <c r="G100" s="33">
        <f t="shared" si="22"/>
        <v>1.274E-2</v>
      </c>
      <c r="H100" s="33">
        <f t="shared" si="22"/>
        <v>1.274E-2</v>
      </c>
      <c r="I100" s="33">
        <f t="shared" si="22"/>
        <v>1.274E-2</v>
      </c>
      <c r="J100" s="33">
        <f t="shared" si="22"/>
        <v>1.274E-2</v>
      </c>
      <c r="K100" s="33">
        <f t="shared" si="22"/>
        <v>1.274E-2</v>
      </c>
      <c r="L100" s="33">
        <f t="shared" si="22"/>
        <v>1.274E-2</v>
      </c>
      <c r="M100" s="33">
        <f t="shared" si="22"/>
        <v>1.274E-2</v>
      </c>
    </row>
    <row r="101" spans="1:14" s="20" customFormat="1" ht="10.199999999999999">
      <c r="A101" s="26" t="s">
        <v>17</v>
      </c>
      <c r="B101" s="21">
        <f t="shared" ref="B101:M101" si="23">B99*B100</f>
        <v>509.59999999999997</v>
      </c>
      <c r="C101" s="21">
        <f t="shared" si="23"/>
        <v>509.59999999999997</v>
      </c>
      <c r="D101" s="21">
        <f t="shared" si="23"/>
        <v>509.59999999999997</v>
      </c>
      <c r="E101" s="21">
        <f t="shared" si="23"/>
        <v>509.59999999999997</v>
      </c>
      <c r="F101" s="21">
        <f t="shared" si="23"/>
        <v>509.59999999999997</v>
      </c>
      <c r="G101" s="21">
        <f t="shared" si="23"/>
        <v>509.59999999999997</v>
      </c>
      <c r="H101" s="21">
        <f t="shared" si="23"/>
        <v>509.59999999999997</v>
      </c>
      <c r="I101" s="21">
        <f t="shared" si="23"/>
        <v>509.59999999999997</v>
      </c>
      <c r="J101" s="21">
        <f t="shared" si="23"/>
        <v>509.59999999999997</v>
      </c>
      <c r="K101" s="21">
        <f t="shared" si="23"/>
        <v>509.59999999999997</v>
      </c>
      <c r="L101" s="21">
        <f t="shared" si="23"/>
        <v>509.59999999999997</v>
      </c>
      <c r="M101" s="21">
        <f t="shared" si="23"/>
        <v>509.59999999999997</v>
      </c>
      <c r="N101" s="21">
        <f>SUM(B101:M101)</f>
        <v>6115.2000000000007</v>
      </c>
    </row>
    <row r="102" spans="1:14" s="20" customFormat="1" ht="10.199999999999999">
      <c r="A102" s="26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 s="20" customFormat="1" ht="10.199999999999999">
      <c r="A103" s="402" t="s">
        <v>44</v>
      </c>
    </row>
    <row r="104" spans="1:14" s="20" customFormat="1" ht="10.199999999999999">
      <c r="A104" s="27" t="s">
        <v>16</v>
      </c>
      <c r="B104" s="28">
        <f>'TSAS Demand Revenues (7)'!B114</f>
        <v>25000</v>
      </c>
      <c r="C104" s="28">
        <f>'TSAS Demand Revenues (7)'!C114</f>
        <v>0</v>
      </c>
      <c r="D104" s="28">
        <f>'TSAS Demand Revenues (7)'!D114</f>
        <v>0</v>
      </c>
      <c r="E104" s="28">
        <f>'TSAS Demand Revenues (7)'!E114</f>
        <v>0</v>
      </c>
      <c r="F104" s="28">
        <f>'TSAS Demand Revenues (7)'!F114</f>
        <v>0</v>
      </c>
      <c r="G104" s="28">
        <f>'TSAS Demand Revenues (7)'!G114</f>
        <v>0</v>
      </c>
      <c r="H104" s="28">
        <f>'TSAS Demand Revenues (7)'!H114</f>
        <v>0</v>
      </c>
      <c r="I104" s="28">
        <f>'TSAS Demand Revenues (7)'!I114</f>
        <v>0</v>
      </c>
      <c r="J104" s="28">
        <f>'TSAS Demand Revenues (7)'!J114</f>
        <v>0</v>
      </c>
      <c r="K104" s="28">
        <f>'TSAS Demand Revenues (7)'!K114</f>
        <v>0</v>
      </c>
      <c r="L104" s="28">
        <f>'TSAS Demand Revenues (7)'!L114</f>
        <v>0</v>
      </c>
      <c r="M104" s="28">
        <f>'TSAS Demand Revenues (7)'!M114</f>
        <v>0</v>
      </c>
      <c r="N104" s="28">
        <f>SUM(B104:M104)</f>
        <v>25000</v>
      </c>
    </row>
    <row r="105" spans="1:14" s="20" customFormat="1" ht="10.199999999999999">
      <c r="A105" s="26" t="s">
        <v>20</v>
      </c>
      <c r="B105" s="33">
        <f>B49</f>
        <v>1.274E-2</v>
      </c>
      <c r="C105" s="33">
        <f t="shared" ref="C105:M105" si="24">C49</f>
        <v>1.274E-2</v>
      </c>
      <c r="D105" s="33">
        <f t="shared" si="24"/>
        <v>1.274E-2</v>
      </c>
      <c r="E105" s="33">
        <f t="shared" si="24"/>
        <v>1.274E-2</v>
      </c>
      <c r="F105" s="33">
        <f t="shared" si="24"/>
        <v>1.274E-2</v>
      </c>
      <c r="G105" s="33">
        <f t="shared" si="24"/>
        <v>1.274E-2</v>
      </c>
      <c r="H105" s="33">
        <f t="shared" si="24"/>
        <v>1.274E-2</v>
      </c>
      <c r="I105" s="33">
        <f t="shared" si="24"/>
        <v>1.274E-2</v>
      </c>
      <c r="J105" s="33">
        <f t="shared" si="24"/>
        <v>1.274E-2</v>
      </c>
      <c r="K105" s="33">
        <f t="shared" si="24"/>
        <v>1.274E-2</v>
      </c>
      <c r="L105" s="33">
        <f t="shared" si="24"/>
        <v>1.274E-2</v>
      </c>
      <c r="M105" s="33">
        <f t="shared" si="24"/>
        <v>1.274E-2</v>
      </c>
    </row>
    <row r="106" spans="1:14" s="20" customFormat="1" ht="10.199999999999999">
      <c r="A106" s="26" t="s">
        <v>17</v>
      </c>
      <c r="B106" s="21">
        <f t="shared" ref="B106:M106" si="25">B104*B105</f>
        <v>318.5</v>
      </c>
      <c r="C106" s="21">
        <f t="shared" si="25"/>
        <v>0</v>
      </c>
      <c r="D106" s="21">
        <f t="shared" si="25"/>
        <v>0</v>
      </c>
      <c r="E106" s="21">
        <f t="shared" si="25"/>
        <v>0</v>
      </c>
      <c r="F106" s="21">
        <f t="shared" si="25"/>
        <v>0</v>
      </c>
      <c r="G106" s="21">
        <f t="shared" si="25"/>
        <v>0</v>
      </c>
      <c r="H106" s="21">
        <f t="shared" si="25"/>
        <v>0</v>
      </c>
      <c r="I106" s="21">
        <f t="shared" si="25"/>
        <v>0</v>
      </c>
      <c r="J106" s="21">
        <f t="shared" si="25"/>
        <v>0</v>
      </c>
      <c r="K106" s="21">
        <f t="shared" si="25"/>
        <v>0</v>
      </c>
      <c r="L106" s="21">
        <f t="shared" si="25"/>
        <v>0</v>
      </c>
      <c r="M106" s="21">
        <f t="shared" si="25"/>
        <v>0</v>
      </c>
      <c r="N106" s="21">
        <f>SUM(B106:M106)</f>
        <v>318.5</v>
      </c>
    </row>
    <row r="107" spans="1:14" s="20" customFormat="1" ht="10.199999999999999">
      <c r="A107" s="26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s="20" customFormat="1" ht="10.199999999999999">
      <c r="A108" s="26" t="s">
        <v>171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4" s="20" customFormat="1" ht="10.199999999999999">
      <c r="A109" s="27" t="s">
        <v>16</v>
      </c>
      <c r="B109" s="21">
        <f>'TSAS Demand Revenues (7)'!B124</f>
        <v>4000</v>
      </c>
      <c r="C109" s="21">
        <f>'TSAS Demand Revenues (7)'!C124</f>
        <v>0</v>
      </c>
      <c r="D109" s="21">
        <f>'TSAS Demand Revenues (7)'!D124</f>
        <v>0</v>
      </c>
      <c r="E109" s="21">
        <f>'TSAS Demand Revenues (7)'!E124</f>
        <v>0</v>
      </c>
      <c r="F109" s="21">
        <f>'TSAS Demand Revenues (7)'!F124</f>
        <v>0</v>
      </c>
      <c r="G109" s="21">
        <f>'TSAS Demand Revenues (7)'!G124</f>
        <v>0</v>
      </c>
      <c r="H109" s="21">
        <f>'TSAS Demand Revenues (7)'!H124</f>
        <v>0</v>
      </c>
      <c r="I109" s="21">
        <f>'TSAS Demand Revenues (7)'!I124</f>
        <v>0</v>
      </c>
      <c r="J109" s="21">
        <f>'TSAS Demand Revenues (7)'!J124</f>
        <v>0</v>
      </c>
      <c r="K109" s="21">
        <f>'TSAS Demand Revenues (7)'!K124</f>
        <v>0</v>
      </c>
      <c r="L109" s="21">
        <f>'TSAS Demand Revenues (7)'!L124</f>
        <v>0</v>
      </c>
      <c r="M109" s="21">
        <f>'TSAS Demand Revenues (7)'!M124</f>
        <v>0</v>
      </c>
      <c r="N109" s="28">
        <f>SUM(B109:M109)</f>
        <v>4000</v>
      </c>
    </row>
    <row r="110" spans="1:14" s="20" customFormat="1" ht="10.199999999999999">
      <c r="A110" s="26" t="s">
        <v>20</v>
      </c>
      <c r="B110" s="33">
        <f>'TSAS Scheduling Revenue (1)'!B105</f>
        <v>1.274E-2</v>
      </c>
      <c r="C110" s="33">
        <f>'TSAS Scheduling Revenue (1)'!C105</f>
        <v>1.274E-2</v>
      </c>
      <c r="D110" s="33">
        <f>'TSAS Scheduling Revenue (1)'!D105</f>
        <v>1.274E-2</v>
      </c>
      <c r="E110" s="33">
        <f>'TSAS Scheduling Revenue (1)'!E105</f>
        <v>1.274E-2</v>
      </c>
      <c r="F110" s="33">
        <f>'TSAS Scheduling Revenue (1)'!F105</f>
        <v>1.274E-2</v>
      </c>
      <c r="G110" s="33">
        <f>'TSAS Scheduling Revenue (1)'!G105</f>
        <v>1.274E-2</v>
      </c>
      <c r="H110" s="33">
        <f>'TSAS Scheduling Revenue (1)'!H105</f>
        <v>1.274E-2</v>
      </c>
      <c r="I110" s="33">
        <f>'TSAS Scheduling Revenue (1)'!I105</f>
        <v>1.274E-2</v>
      </c>
      <c r="J110" s="33">
        <f>'TSAS Scheduling Revenue (1)'!J105</f>
        <v>1.274E-2</v>
      </c>
      <c r="K110" s="33">
        <f>'TSAS Scheduling Revenue (1)'!K105</f>
        <v>1.274E-2</v>
      </c>
      <c r="L110" s="33">
        <f>'TSAS Scheduling Revenue (1)'!L105</f>
        <v>1.274E-2</v>
      </c>
      <c r="M110" s="33">
        <f>'TSAS Scheduling Revenue (1)'!M105</f>
        <v>1.274E-2</v>
      </c>
    </row>
    <row r="111" spans="1:14" s="20" customFormat="1" ht="10.199999999999999">
      <c r="A111" s="26" t="s">
        <v>17</v>
      </c>
      <c r="B111" s="21">
        <f t="shared" ref="B111:M111" si="26">B109*B110</f>
        <v>50.96</v>
      </c>
      <c r="C111" s="21">
        <f t="shared" si="26"/>
        <v>0</v>
      </c>
      <c r="D111" s="21">
        <f t="shared" si="26"/>
        <v>0</v>
      </c>
      <c r="E111" s="21">
        <f t="shared" si="26"/>
        <v>0</v>
      </c>
      <c r="F111" s="21">
        <f t="shared" si="26"/>
        <v>0</v>
      </c>
      <c r="G111" s="21">
        <f t="shared" si="26"/>
        <v>0</v>
      </c>
      <c r="H111" s="21">
        <f t="shared" si="26"/>
        <v>0</v>
      </c>
      <c r="I111" s="21">
        <f t="shared" si="26"/>
        <v>0</v>
      </c>
      <c r="J111" s="21">
        <f t="shared" si="26"/>
        <v>0</v>
      </c>
      <c r="K111" s="21">
        <f t="shared" si="26"/>
        <v>0</v>
      </c>
      <c r="L111" s="21">
        <f t="shared" si="26"/>
        <v>0</v>
      </c>
      <c r="M111" s="21">
        <f t="shared" si="26"/>
        <v>0</v>
      </c>
      <c r="N111" s="21">
        <f>SUM(B111:M111)</f>
        <v>50.96</v>
      </c>
    </row>
    <row r="112" spans="1:14" s="20" customFormat="1" ht="10.199999999999999">
      <c r="A112" s="26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s="20" customFormat="1" ht="10.199999999999999">
      <c r="A113" s="26" t="s">
        <v>178</v>
      </c>
    </row>
    <row r="114" spans="1:14" s="20" customFormat="1" ht="10.199999999999999">
      <c r="A114" s="27" t="s">
        <v>16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f>SUM(B114:M114)</f>
        <v>0</v>
      </c>
    </row>
    <row r="115" spans="1:14" s="20" customFormat="1" ht="10.199999999999999">
      <c r="A115" s="26" t="s">
        <v>20</v>
      </c>
      <c r="B115" s="33">
        <f>B110</f>
        <v>1.274E-2</v>
      </c>
      <c r="C115" s="33">
        <f t="shared" ref="C115:M115" si="27">C110</f>
        <v>1.274E-2</v>
      </c>
      <c r="D115" s="33">
        <f t="shared" si="27"/>
        <v>1.274E-2</v>
      </c>
      <c r="E115" s="33">
        <f t="shared" si="27"/>
        <v>1.274E-2</v>
      </c>
      <c r="F115" s="33">
        <f t="shared" si="27"/>
        <v>1.274E-2</v>
      </c>
      <c r="G115" s="33">
        <f t="shared" si="27"/>
        <v>1.274E-2</v>
      </c>
      <c r="H115" s="33">
        <f t="shared" si="27"/>
        <v>1.274E-2</v>
      </c>
      <c r="I115" s="33">
        <f t="shared" si="27"/>
        <v>1.274E-2</v>
      </c>
      <c r="J115" s="33">
        <f t="shared" si="27"/>
        <v>1.274E-2</v>
      </c>
      <c r="K115" s="33">
        <f t="shared" si="27"/>
        <v>1.274E-2</v>
      </c>
      <c r="L115" s="33">
        <f t="shared" si="27"/>
        <v>1.274E-2</v>
      </c>
      <c r="M115" s="33">
        <f t="shared" si="27"/>
        <v>1.274E-2</v>
      </c>
    </row>
    <row r="116" spans="1:14" s="20" customFormat="1" ht="10.199999999999999">
      <c r="A116" s="26" t="s">
        <v>17</v>
      </c>
      <c r="B116" s="21">
        <f t="shared" ref="B116:M116" si="28">B114*B115</f>
        <v>0</v>
      </c>
      <c r="C116" s="21">
        <f t="shared" si="28"/>
        <v>0</v>
      </c>
      <c r="D116" s="21">
        <f t="shared" si="28"/>
        <v>0</v>
      </c>
      <c r="E116" s="21">
        <f t="shared" si="28"/>
        <v>0</v>
      </c>
      <c r="F116" s="21">
        <f t="shared" si="28"/>
        <v>0</v>
      </c>
      <c r="G116" s="21">
        <f t="shared" si="28"/>
        <v>0</v>
      </c>
      <c r="H116" s="21">
        <f t="shared" si="28"/>
        <v>0</v>
      </c>
      <c r="I116" s="21">
        <f t="shared" si="28"/>
        <v>0</v>
      </c>
      <c r="J116" s="21">
        <f t="shared" si="28"/>
        <v>0</v>
      </c>
      <c r="K116" s="21">
        <f t="shared" si="28"/>
        <v>0</v>
      </c>
      <c r="L116" s="21">
        <f t="shared" si="28"/>
        <v>0</v>
      </c>
      <c r="M116" s="21">
        <f t="shared" si="28"/>
        <v>0</v>
      </c>
      <c r="N116" s="21">
        <f>SUM(B116:M116)</f>
        <v>0</v>
      </c>
    </row>
    <row r="117" spans="1:14" s="20" customFormat="1" ht="10.199999999999999">
      <c r="A117" s="26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1:14">
      <c r="A118" s="402" t="s">
        <v>179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>
      <c r="A119" s="27" t="s">
        <v>16</v>
      </c>
      <c r="B119" s="28">
        <f>'TSAS Demand Revenues (7)'!B109</f>
        <v>0</v>
      </c>
      <c r="C119" s="28">
        <f>'TSAS Demand Revenues (7)'!C109</f>
        <v>0</v>
      </c>
      <c r="D119" s="28">
        <f>'TSAS Demand Revenues (7)'!D109</f>
        <v>0</v>
      </c>
      <c r="E119" s="28">
        <f>'TSAS Demand Revenues (7)'!E109</f>
        <v>0</v>
      </c>
      <c r="F119" s="28">
        <f>'TSAS Demand Revenues (7)'!F109</f>
        <v>0</v>
      </c>
      <c r="G119" s="28">
        <f>'TSAS Demand Revenues (7)'!G109</f>
        <v>0</v>
      </c>
      <c r="H119" s="28">
        <f>'TSAS Demand Revenues (7)'!H109</f>
        <v>0</v>
      </c>
      <c r="I119" s="28">
        <f>'TSAS Demand Revenues (7)'!I109</f>
        <v>0</v>
      </c>
      <c r="J119" s="28">
        <f>'TSAS Demand Revenues (7)'!J109</f>
        <v>0</v>
      </c>
      <c r="K119" s="28">
        <f>'TSAS Demand Revenues (7)'!K109</f>
        <v>0</v>
      </c>
      <c r="L119" s="28">
        <f>'TSAS Demand Revenues (7)'!L109</f>
        <v>0</v>
      </c>
      <c r="M119" s="28">
        <f>'TSAS Demand Revenues (7)'!M109</f>
        <v>0</v>
      </c>
      <c r="N119" s="28">
        <f>SUM(B119:M119)</f>
        <v>0</v>
      </c>
    </row>
    <row r="120" spans="1:14">
      <c r="A120" s="26" t="s">
        <v>20</v>
      </c>
      <c r="B120" s="33">
        <f>B64</f>
        <v>1.274E-2</v>
      </c>
      <c r="C120" s="33">
        <f t="shared" ref="C120:M120" si="29">C64</f>
        <v>1.274E-2</v>
      </c>
      <c r="D120" s="33">
        <f t="shared" si="29"/>
        <v>1.274E-2</v>
      </c>
      <c r="E120" s="33">
        <f t="shared" si="29"/>
        <v>1.274E-2</v>
      </c>
      <c r="F120" s="33">
        <f t="shared" si="29"/>
        <v>1.274E-2</v>
      </c>
      <c r="G120" s="33">
        <f t="shared" si="29"/>
        <v>1.274E-2</v>
      </c>
      <c r="H120" s="33">
        <f t="shared" si="29"/>
        <v>1.274E-2</v>
      </c>
      <c r="I120" s="33">
        <f t="shared" si="29"/>
        <v>1.274E-2</v>
      </c>
      <c r="J120" s="33">
        <f t="shared" si="29"/>
        <v>1.274E-2</v>
      </c>
      <c r="K120" s="33">
        <f t="shared" si="29"/>
        <v>1.274E-2</v>
      </c>
      <c r="L120" s="33">
        <f t="shared" si="29"/>
        <v>1.274E-2</v>
      </c>
      <c r="M120" s="33">
        <f t="shared" si="29"/>
        <v>1.274E-2</v>
      </c>
      <c r="N120" s="20"/>
    </row>
    <row r="121" spans="1:14">
      <c r="A121" s="26" t="s">
        <v>17</v>
      </c>
      <c r="B121" s="21">
        <f t="shared" ref="B121:M121" si="30">B119*B120</f>
        <v>0</v>
      </c>
      <c r="C121" s="21">
        <f t="shared" si="30"/>
        <v>0</v>
      </c>
      <c r="D121" s="21">
        <f t="shared" si="30"/>
        <v>0</v>
      </c>
      <c r="E121" s="21">
        <f t="shared" si="30"/>
        <v>0</v>
      </c>
      <c r="F121" s="21">
        <f t="shared" si="30"/>
        <v>0</v>
      </c>
      <c r="G121" s="21">
        <f t="shared" si="30"/>
        <v>0</v>
      </c>
      <c r="H121" s="21">
        <f t="shared" si="30"/>
        <v>0</v>
      </c>
      <c r="I121" s="21">
        <f t="shared" si="30"/>
        <v>0</v>
      </c>
      <c r="J121" s="21">
        <f t="shared" si="30"/>
        <v>0</v>
      </c>
      <c r="K121" s="21">
        <f t="shared" si="30"/>
        <v>0</v>
      </c>
      <c r="L121" s="21">
        <f t="shared" si="30"/>
        <v>0</v>
      </c>
      <c r="M121" s="21">
        <f t="shared" si="30"/>
        <v>0</v>
      </c>
      <c r="N121" s="21">
        <f>SUM(B121:M121)</f>
        <v>0</v>
      </c>
    </row>
    <row r="122" spans="1:14" s="20" customFormat="1" ht="10.199999999999999">
      <c r="A122" s="26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402" t="s">
        <v>117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>
      <c r="A124" s="27" t="s">
        <v>16</v>
      </c>
      <c r="B124" s="28">
        <f>'TSAS Demand Revenues (7)'!B119</f>
        <v>150000</v>
      </c>
      <c r="C124" s="28">
        <f>'TSAS Demand Revenues (7)'!C119</f>
        <v>150000</v>
      </c>
      <c r="D124" s="28">
        <f>'TSAS Demand Revenues (7)'!D119</f>
        <v>150000</v>
      </c>
      <c r="E124" s="28">
        <f>'TSAS Demand Revenues (7)'!E119</f>
        <v>150000</v>
      </c>
      <c r="F124" s="28">
        <f>'TSAS Demand Revenues (7)'!F119</f>
        <v>150000</v>
      </c>
      <c r="G124" s="28">
        <f>'TSAS Demand Revenues (7)'!G119</f>
        <v>150000</v>
      </c>
      <c r="H124" s="28">
        <f>'TSAS Demand Revenues (7)'!H119</f>
        <v>150000</v>
      </c>
      <c r="I124" s="28">
        <f>'TSAS Demand Revenues (7)'!I119</f>
        <v>150000</v>
      </c>
      <c r="J124" s="28">
        <f>'TSAS Demand Revenues (7)'!J119</f>
        <v>150000</v>
      </c>
      <c r="K124" s="28">
        <f>'TSAS Demand Revenues (7)'!K119</f>
        <v>150000</v>
      </c>
      <c r="L124" s="28">
        <f>'TSAS Demand Revenues (7)'!L119</f>
        <v>150000</v>
      </c>
      <c r="M124" s="28">
        <f>'TSAS Demand Revenues (7)'!M119</f>
        <v>150000</v>
      </c>
      <c r="N124" s="28">
        <f>SUM(B124:M124)</f>
        <v>1800000</v>
      </c>
    </row>
    <row r="125" spans="1:14">
      <c r="A125" s="26" t="s">
        <v>20</v>
      </c>
      <c r="B125" s="33">
        <f>B120</f>
        <v>1.274E-2</v>
      </c>
      <c r="C125" s="33">
        <f t="shared" ref="C125:M125" si="31">C120</f>
        <v>1.274E-2</v>
      </c>
      <c r="D125" s="33">
        <f t="shared" si="31"/>
        <v>1.274E-2</v>
      </c>
      <c r="E125" s="33">
        <f t="shared" si="31"/>
        <v>1.274E-2</v>
      </c>
      <c r="F125" s="33">
        <f t="shared" si="31"/>
        <v>1.274E-2</v>
      </c>
      <c r="G125" s="33">
        <f t="shared" si="31"/>
        <v>1.274E-2</v>
      </c>
      <c r="H125" s="33">
        <f t="shared" si="31"/>
        <v>1.274E-2</v>
      </c>
      <c r="I125" s="33">
        <f t="shared" si="31"/>
        <v>1.274E-2</v>
      </c>
      <c r="J125" s="33">
        <f t="shared" si="31"/>
        <v>1.274E-2</v>
      </c>
      <c r="K125" s="33">
        <f t="shared" si="31"/>
        <v>1.274E-2</v>
      </c>
      <c r="L125" s="33">
        <f t="shared" si="31"/>
        <v>1.274E-2</v>
      </c>
      <c r="M125" s="33">
        <f t="shared" si="31"/>
        <v>1.274E-2</v>
      </c>
      <c r="N125" s="20"/>
    </row>
    <row r="126" spans="1:14">
      <c r="A126" s="26" t="s">
        <v>17</v>
      </c>
      <c r="B126" s="21">
        <f t="shared" ref="B126:M126" si="32">B124*B125</f>
        <v>1911</v>
      </c>
      <c r="C126" s="21">
        <f t="shared" si="32"/>
        <v>1911</v>
      </c>
      <c r="D126" s="21">
        <f t="shared" si="32"/>
        <v>1911</v>
      </c>
      <c r="E126" s="21">
        <f t="shared" si="32"/>
        <v>1911</v>
      </c>
      <c r="F126" s="21">
        <f t="shared" si="32"/>
        <v>1911</v>
      </c>
      <c r="G126" s="21">
        <f t="shared" si="32"/>
        <v>1911</v>
      </c>
      <c r="H126" s="21">
        <f t="shared" si="32"/>
        <v>1911</v>
      </c>
      <c r="I126" s="21">
        <f t="shared" si="32"/>
        <v>1911</v>
      </c>
      <c r="J126" s="21">
        <f t="shared" si="32"/>
        <v>1911</v>
      </c>
      <c r="K126" s="21">
        <f t="shared" si="32"/>
        <v>1911</v>
      </c>
      <c r="L126" s="21">
        <f t="shared" si="32"/>
        <v>1911</v>
      </c>
      <c r="M126" s="21">
        <f t="shared" si="32"/>
        <v>1911</v>
      </c>
      <c r="N126" s="21">
        <f>SUM(B126:M126)</f>
        <v>22932</v>
      </c>
    </row>
    <row r="127" spans="1:14">
      <c r="A127" s="26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</row>
    <row r="128" spans="1:14" s="20" customFormat="1" ht="10.199999999999999">
      <c r="A128" s="402" t="s">
        <v>237</v>
      </c>
    </row>
    <row r="129" spans="1:16" s="20" customFormat="1" ht="10.199999999999999">
      <c r="A129" s="27" t="s">
        <v>16</v>
      </c>
      <c r="B129" s="28">
        <f>'TSAS Reactive Revenues (2)'!B115</f>
        <v>4000</v>
      </c>
      <c r="C129" s="28">
        <f>'TSAS Reactive Revenues (2)'!C115</f>
        <v>4000</v>
      </c>
      <c r="D129" s="28">
        <f>'TSAS Reactive Revenues (2)'!D115</f>
        <v>4000</v>
      </c>
      <c r="E129" s="28">
        <f>'TSAS Reactive Revenues (2)'!E115</f>
        <v>4000</v>
      </c>
      <c r="F129" s="28">
        <f>'TSAS Reactive Revenues (2)'!F115</f>
        <v>4000</v>
      </c>
      <c r="G129" s="28">
        <f>'TSAS Reactive Revenues (2)'!G115</f>
        <v>4000</v>
      </c>
      <c r="H129" s="28">
        <f>'TSAS Reactive Revenues (2)'!H115</f>
        <v>4000</v>
      </c>
      <c r="I129" s="28">
        <f>'TSAS Reactive Revenues (2)'!I115</f>
        <v>4000</v>
      </c>
      <c r="J129" s="28">
        <f>'TSAS Reactive Revenues (2)'!J115</f>
        <v>4000</v>
      </c>
      <c r="K129" s="28">
        <f>'TSAS Reactive Revenues (2)'!K115</f>
        <v>4000</v>
      </c>
      <c r="L129" s="28">
        <f>'TSAS Reactive Revenues (2)'!L115</f>
        <v>4000</v>
      </c>
      <c r="M129" s="28">
        <f>'TSAS Reactive Revenues (2)'!M115</f>
        <v>4000</v>
      </c>
      <c r="N129" s="28">
        <f>SUM(B129:M129)</f>
        <v>48000</v>
      </c>
    </row>
    <row r="130" spans="1:16" s="20" customFormat="1" ht="10.199999999999999">
      <c r="A130" s="26" t="s">
        <v>20</v>
      </c>
      <c r="B130" s="33">
        <f>'TSAS Scheduling Revenue (1)'!B120</f>
        <v>1.274E-2</v>
      </c>
      <c r="C130" s="33">
        <f>'TSAS Scheduling Revenue (1)'!C120</f>
        <v>1.274E-2</v>
      </c>
      <c r="D130" s="33">
        <f>'TSAS Scheduling Revenue (1)'!D120</f>
        <v>1.274E-2</v>
      </c>
      <c r="E130" s="33">
        <f>'TSAS Scheduling Revenue (1)'!E120</f>
        <v>1.274E-2</v>
      </c>
      <c r="F130" s="33">
        <f>'TSAS Scheduling Revenue (1)'!F120</f>
        <v>1.274E-2</v>
      </c>
      <c r="G130" s="33">
        <f>'TSAS Scheduling Revenue (1)'!G120</f>
        <v>1.274E-2</v>
      </c>
      <c r="H130" s="33">
        <f>'TSAS Scheduling Revenue (1)'!H120</f>
        <v>1.274E-2</v>
      </c>
      <c r="I130" s="33">
        <f>'TSAS Scheduling Revenue (1)'!I120</f>
        <v>1.274E-2</v>
      </c>
      <c r="J130" s="33">
        <f>'TSAS Scheduling Revenue (1)'!J120</f>
        <v>1.274E-2</v>
      </c>
      <c r="K130" s="33">
        <f>'TSAS Scheduling Revenue (1)'!K120</f>
        <v>1.274E-2</v>
      </c>
      <c r="L130" s="33">
        <f>'TSAS Scheduling Revenue (1)'!L120</f>
        <v>1.274E-2</v>
      </c>
      <c r="M130" s="33">
        <f>'TSAS Scheduling Revenue (1)'!M120</f>
        <v>1.274E-2</v>
      </c>
    </row>
    <row r="131" spans="1:16" s="20" customFormat="1" ht="10.199999999999999">
      <c r="A131" s="26" t="s">
        <v>17</v>
      </c>
      <c r="B131" s="21">
        <f>B129*B130</f>
        <v>50.96</v>
      </c>
      <c r="C131" s="21">
        <f t="shared" ref="C131:M131" si="33">C129*C130</f>
        <v>50.96</v>
      </c>
      <c r="D131" s="21">
        <f t="shared" si="33"/>
        <v>50.96</v>
      </c>
      <c r="E131" s="21">
        <f t="shared" si="33"/>
        <v>50.96</v>
      </c>
      <c r="F131" s="21">
        <f t="shared" si="33"/>
        <v>50.96</v>
      </c>
      <c r="G131" s="21">
        <f t="shared" si="33"/>
        <v>50.96</v>
      </c>
      <c r="H131" s="21">
        <f t="shared" si="33"/>
        <v>50.96</v>
      </c>
      <c r="I131" s="21">
        <f t="shared" si="33"/>
        <v>50.96</v>
      </c>
      <c r="J131" s="21">
        <f t="shared" si="33"/>
        <v>50.96</v>
      </c>
      <c r="K131" s="21">
        <f t="shared" si="33"/>
        <v>50.96</v>
      </c>
      <c r="L131" s="21">
        <f t="shared" si="33"/>
        <v>50.96</v>
      </c>
      <c r="M131" s="21">
        <f t="shared" si="33"/>
        <v>50.96</v>
      </c>
      <c r="N131" s="21">
        <f>SUM(B131:M131)</f>
        <v>611.52</v>
      </c>
    </row>
    <row r="132" spans="1:16" s="20" customFormat="1" ht="10.199999999999999">
      <c r="A132" s="26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6" s="20" customFormat="1" ht="10.199999999999999">
      <c r="A133" s="402" t="s">
        <v>239</v>
      </c>
    </row>
    <row r="134" spans="1:16" s="20" customFormat="1" ht="10.199999999999999">
      <c r="A134" s="27" t="s">
        <v>16</v>
      </c>
      <c r="B134" s="28">
        <f>'TSAS Reactive Revenues (2)'!B130</f>
        <v>160000</v>
      </c>
      <c r="C134" s="28">
        <f>'TSAS Reactive Revenues (2)'!C130</f>
        <v>160000</v>
      </c>
      <c r="D134" s="28">
        <f>'TSAS Reactive Revenues (2)'!D130</f>
        <v>160000</v>
      </c>
      <c r="E134" s="28">
        <f>'TSAS Reactive Revenues (2)'!E130</f>
        <v>160000</v>
      </c>
      <c r="F134" s="28">
        <f>'TSAS Reactive Revenues (2)'!F130</f>
        <v>160000</v>
      </c>
      <c r="G134" s="28">
        <f>'TSAS Reactive Revenues (2)'!G130</f>
        <v>160000</v>
      </c>
      <c r="H134" s="28">
        <f>'TSAS Reactive Revenues (2)'!H130</f>
        <v>160000</v>
      </c>
      <c r="I134" s="28">
        <f>'TSAS Reactive Revenues (2)'!I130</f>
        <v>160000</v>
      </c>
      <c r="J134" s="28">
        <f>'TSAS Reactive Revenues (2)'!J130</f>
        <v>160000</v>
      </c>
      <c r="K134" s="28">
        <f>'TSAS Reactive Revenues (2)'!K130</f>
        <v>160000</v>
      </c>
      <c r="L134" s="28">
        <f>'TSAS Reactive Revenues (2)'!L130</f>
        <v>160000</v>
      </c>
      <c r="M134" s="28">
        <f>'TSAS Reactive Revenues (2)'!M130</f>
        <v>160000</v>
      </c>
      <c r="N134" s="28">
        <f>SUM(B134:M134)</f>
        <v>1920000</v>
      </c>
      <c r="O134" s="403" t="s">
        <v>358</v>
      </c>
      <c r="P134" s="403"/>
    </row>
    <row r="135" spans="1:16" s="20" customFormat="1" ht="10.199999999999999">
      <c r="A135" s="26" t="s">
        <v>20</v>
      </c>
      <c r="B135" s="33">
        <f>B130</f>
        <v>1.274E-2</v>
      </c>
      <c r="C135" s="33">
        <f>B135</f>
        <v>1.274E-2</v>
      </c>
      <c r="D135" s="33">
        <f t="shared" ref="D135" si="34">C135</f>
        <v>1.274E-2</v>
      </c>
      <c r="E135" s="33">
        <f t="shared" ref="E135" si="35">D135</f>
        <v>1.274E-2</v>
      </c>
      <c r="F135" s="33">
        <f t="shared" ref="F135" si="36">E135</f>
        <v>1.274E-2</v>
      </c>
      <c r="G135" s="33">
        <f t="shared" ref="G135" si="37">F135</f>
        <v>1.274E-2</v>
      </c>
      <c r="H135" s="33">
        <f t="shared" ref="H135" si="38">G135</f>
        <v>1.274E-2</v>
      </c>
      <c r="I135" s="33">
        <f t="shared" ref="I135" si="39">H135</f>
        <v>1.274E-2</v>
      </c>
      <c r="J135" s="33">
        <f t="shared" ref="J135" si="40">I135</f>
        <v>1.274E-2</v>
      </c>
      <c r="K135" s="33">
        <f t="shared" ref="K135" si="41">J135</f>
        <v>1.274E-2</v>
      </c>
      <c r="L135" s="33">
        <f t="shared" ref="L135" si="42">K135</f>
        <v>1.274E-2</v>
      </c>
      <c r="M135" s="33">
        <f t="shared" ref="M135" si="43">L135</f>
        <v>1.274E-2</v>
      </c>
    </row>
    <row r="136" spans="1:16" s="20" customFormat="1" ht="10.199999999999999">
      <c r="A136" s="26" t="s">
        <v>17</v>
      </c>
      <c r="B136" s="21">
        <f t="shared" ref="B136:M136" si="44">B134*B135</f>
        <v>2038.3999999999999</v>
      </c>
      <c r="C136" s="21">
        <f t="shared" si="44"/>
        <v>2038.3999999999999</v>
      </c>
      <c r="D136" s="21">
        <f t="shared" si="44"/>
        <v>2038.3999999999999</v>
      </c>
      <c r="E136" s="21">
        <f t="shared" si="44"/>
        <v>2038.3999999999999</v>
      </c>
      <c r="F136" s="21">
        <f t="shared" si="44"/>
        <v>2038.3999999999999</v>
      </c>
      <c r="G136" s="21">
        <f t="shared" si="44"/>
        <v>2038.3999999999999</v>
      </c>
      <c r="H136" s="21">
        <f t="shared" si="44"/>
        <v>2038.3999999999999</v>
      </c>
      <c r="I136" s="21">
        <f t="shared" si="44"/>
        <v>2038.3999999999999</v>
      </c>
      <c r="J136" s="21">
        <f t="shared" si="44"/>
        <v>2038.3999999999999</v>
      </c>
      <c r="K136" s="21">
        <f t="shared" si="44"/>
        <v>2038.3999999999999</v>
      </c>
      <c r="L136" s="21">
        <f t="shared" si="44"/>
        <v>2038.3999999999999</v>
      </c>
      <c r="M136" s="21">
        <f t="shared" si="44"/>
        <v>2038.3999999999999</v>
      </c>
      <c r="N136" s="21">
        <f>SUM(B136:M136)</f>
        <v>24460.800000000003</v>
      </c>
    </row>
    <row r="137" spans="1:16" s="20" customFormat="1" ht="10.199999999999999">
      <c r="A137" s="26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6" s="20" customFormat="1" ht="10.199999999999999">
      <c r="A138" s="402" t="s">
        <v>302</v>
      </c>
      <c r="B138" s="21">
        <f>'TSAS Demand Revenues (7)'!B133</f>
        <v>20000</v>
      </c>
      <c r="C138" s="21">
        <f>'TSAS Demand Revenues (7)'!C133</f>
        <v>0</v>
      </c>
      <c r="D138" s="21">
        <f>'TSAS Demand Revenues (7)'!D133</f>
        <v>0</v>
      </c>
      <c r="E138" s="21">
        <f>'TSAS Demand Revenues (7)'!E133</f>
        <v>0</v>
      </c>
      <c r="F138" s="21">
        <f>'TSAS Demand Revenues (7)'!F133</f>
        <v>0</v>
      </c>
      <c r="G138" s="21">
        <f>'TSAS Demand Revenues (7)'!G133</f>
        <v>0</v>
      </c>
      <c r="H138" s="21">
        <f>'TSAS Demand Revenues (7)'!H133</f>
        <v>0</v>
      </c>
      <c r="I138" s="21">
        <f>'TSAS Demand Revenues (7)'!I133</f>
        <v>0</v>
      </c>
      <c r="J138" s="21">
        <f>'TSAS Demand Revenues (7)'!J133</f>
        <v>0</v>
      </c>
      <c r="K138" s="21">
        <f>'TSAS Demand Revenues (7)'!K133</f>
        <v>0</v>
      </c>
      <c r="L138" s="21">
        <f>'TSAS Demand Revenues (7)'!L133</f>
        <v>0</v>
      </c>
      <c r="M138" s="21">
        <f>'TSAS Demand Revenues (7)'!M133</f>
        <v>0</v>
      </c>
      <c r="N138" s="28">
        <f>SUM(B138:M138)</f>
        <v>20000</v>
      </c>
    </row>
    <row r="139" spans="1:16" s="20" customFormat="1" ht="10.199999999999999">
      <c r="A139" s="26" t="s">
        <v>20</v>
      </c>
      <c r="B139" s="33">
        <f>B135</f>
        <v>1.274E-2</v>
      </c>
      <c r="C139" s="33">
        <f t="shared" ref="C139:M139" si="45">C135</f>
        <v>1.274E-2</v>
      </c>
      <c r="D139" s="33">
        <f t="shared" si="45"/>
        <v>1.274E-2</v>
      </c>
      <c r="E139" s="33">
        <f t="shared" si="45"/>
        <v>1.274E-2</v>
      </c>
      <c r="F139" s="33">
        <f t="shared" si="45"/>
        <v>1.274E-2</v>
      </c>
      <c r="G139" s="33">
        <f t="shared" si="45"/>
        <v>1.274E-2</v>
      </c>
      <c r="H139" s="33">
        <f t="shared" si="45"/>
        <v>1.274E-2</v>
      </c>
      <c r="I139" s="33">
        <f t="shared" si="45"/>
        <v>1.274E-2</v>
      </c>
      <c r="J139" s="33">
        <f t="shared" si="45"/>
        <v>1.274E-2</v>
      </c>
      <c r="K139" s="33">
        <f t="shared" si="45"/>
        <v>1.274E-2</v>
      </c>
      <c r="L139" s="33">
        <f t="shared" si="45"/>
        <v>1.274E-2</v>
      </c>
      <c r="M139" s="33">
        <f t="shared" si="45"/>
        <v>1.274E-2</v>
      </c>
    </row>
    <row r="140" spans="1:16" s="20" customFormat="1" ht="10.199999999999999">
      <c r="A140" s="26" t="s">
        <v>17</v>
      </c>
      <c r="B140" s="21">
        <f t="shared" ref="B140:M140" si="46">B138*B139</f>
        <v>254.79999999999998</v>
      </c>
      <c r="C140" s="21">
        <f t="shared" si="46"/>
        <v>0</v>
      </c>
      <c r="D140" s="21">
        <f t="shared" si="46"/>
        <v>0</v>
      </c>
      <c r="E140" s="21">
        <f t="shared" si="46"/>
        <v>0</v>
      </c>
      <c r="F140" s="21">
        <f t="shared" si="46"/>
        <v>0</v>
      </c>
      <c r="G140" s="21">
        <f t="shared" si="46"/>
        <v>0</v>
      </c>
      <c r="H140" s="21">
        <f t="shared" si="46"/>
        <v>0</v>
      </c>
      <c r="I140" s="21">
        <f t="shared" si="46"/>
        <v>0</v>
      </c>
      <c r="J140" s="21">
        <f t="shared" si="46"/>
        <v>0</v>
      </c>
      <c r="K140" s="21">
        <f t="shared" si="46"/>
        <v>0</v>
      </c>
      <c r="L140" s="21">
        <f t="shared" si="46"/>
        <v>0</v>
      </c>
      <c r="M140" s="21">
        <f t="shared" si="46"/>
        <v>0</v>
      </c>
      <c r="N140" s="21">
        <f>SUM(B140:M140)</f>
        <v>254.79999999999998</v>
      </c>
    </row>
    <row r="141" spans="1:16" s="20" customFormat="1" ht="10.199999999999999">
      <c r="A141" s="26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6" s="20" customFormat="1" ht="10.199999999999999">
      <c r="A142" s="145" t="s">
        <v>25</v>
      </c>
      <c r="B142" s="144">
        <f>B76+B81+B86+B91+B96+B101+B106+B111+B116+B121+B126+B131+B136+B140</f>
        <v>6459.8934399999998</v>
      </c>
      <c r="C142" s="144">
        <f t="shared" ref="C142:M142" si="47">C76+C81+C86+C91+C96+C101+C106+C111+C116+C121+C126+C131+C136+C140</f>
        <v>5835.6334399999996</v>
      </c>
      <c r="D142" s="144">
        <f t="shared" si="47"/>
        <v>5835.6334399999996</v>
      </c>
      <c r="E142" s="144">
        <f t="shared" si="47"/>
        <v>5835.6334399999996</v>
      </c>
      <c r="F142" s="144">
        <f t="shared" si="47"/>
        <v>5835.6334399999996</v>
      </c>
      <c r="G142" s="144">
        <f t="shared" si="47"/>
        <v>5835.6334399999996</v>
      </c>
      <c r="H142" s="144">
        <f t="shared" si="47"/>
        <v>5835.6334399999996</v>
      </c>
      <c r="I142" s="144">
        <f t="shared" si="47"/>
        <v>5835.6334399999996</v>
      </c>
      <c r="J142" s="144">
        <f t="shared" si="47"/>
        <v>5835.6334399999996</v>
      </c>
      <c r="K142" s="144">
        <f t="shared" si="47"/>
        <v>5835.6334399999996</v>
      </c>
      <c r="L142" s="144">
        <f t="shared" si="47"/>
        <v>5835.6334399999996</v>
      </c>
      <c r="M142" s="144">
        <f t="shared" si="47"/>
        <v>5835.6334399999996</v>
      </c>
      <c r="N142" s="144">
        <f>SUM(B142:M142)</f>
        <v>70651.861279999983</v>
      </c>
    </row>
    <row r="143" spans="1:16" s="20" customFormat="1" ht="10.199999999999999">
      <c r="A143" s="145" t="s">
        <v>60</v>
      </c>
      <c r="B143" s="144">
        <f>B74+B79+B84+B89+B94+B104+B99+B109+B114+B119+B124+B129+B134+B138</f>
        <v>507056</v>
      </c>
      <c r="C143" s="144">
        <f t="shared" ref="C143:M143" si="48">C74+C79+C84+C89+C94+C104+C99+C109+C114+C119+C124+C129+C134+C138</f>
        <v>458056</v>
      </c>
      <c r="D143" s="144">
        <f t="shared" si="48"/>
        <v>458056</v>
      </c>
      <c r="E143" s="144">
        <f t="shared" si="48"/>
        <v>458056</v>
      </c>
      <c r="F143" s="144">
        <f t="shared" si="48"/>
        <v>458056</v>
      </c>
      <c r="G143" s="144">
        <f t="shared" si="48"/>
        <v>458056</v>
      </c>
      <c r="H143" s="144">
        <f t="shared" si="48"/>
        <v>458056</v>
      </c>
      <c r="I143" s="144">
        <f t="shared" si="48"/>
        <v>458056</v>
      </c>
      <c r="J143" s="144">
        <f t="shared" si="48"/>
        <v>458056</v>
      </c>
      <c r="K143" s="144">
        <f t="shared" si="48"/>
        <v>458056</v>
      </c>
      <c r="L143" s="144">
        <f t="shared" si="48"/>
        <v>458056</v>
      </c>
      <c r="M143" s="144">
        <f t="shared" si="48"/>
        <v>458056</v>
      </c>
      <c r="N143" s="144">
        <f>SUM(B143:M143)</f>
        <v>5545672</v>
      </c>
    </row>
    <row r="144" spans="1:16" s="20" customFormat="1" ht="10.199999999999999">
      <c r="A144" s="25">
        <f>+A69+1</f>
        <v>2016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</row>
    <row r="145" spans="1:15" s="20" customFormat="1" ht="13.2">
      <c r="A145" s="23" t="s">
        <v>19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5" s="20" customFormat="1" ht="10.199999999999999">
      <c r="A146" s="23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</row>
    <row r="147" spans="1:15" s="20" customFormat="1" ht="10.199999999999999">
      <c r="A147" s="402" t="s">
        <v>359</v>
      </c>
    </row>
    <row r="148" spans="1:15" s="29" customFormat="1">
      <c r="A148" s="27" t="s">
        <v>16</v>
      </c>
      <c r="B148" s="28">
        <f>'TSAS Demand Revenues (7)'!B143</f>
        <v>5000</v>
      </c>
      <c r="C148" s="28">
        <f>'TSAS Demand Revenues (7)'!C143</f>
        <v>5000</v>
      </c>
      <c r="D148" s="28">
        <f>'TSAS Demand Revenues (7)'!D143</f>
        <v>5000</v>
      </c>
      <c r="E148" s="28">
        <f>'TSAS Demand Revenues (7)'!E143</f>
        <v>5000</v>
      </c>
      <c r="F148" s="28">
        <f>'TSAS Demand Revenues (7)'!F143</f>
        <v>5000</v>
      </c>
      <c r="G148" s="28">
        <f>'TSAS Demand Revenues (7)'!G143</f>
        <v>5000</v>
      </c>
      <c r="H148" s="28">
        <f>'TSAS Demand Revenues (7)'!H143</f>
        <v>5000</v>
      </c>
      <c r="I148" s="28">
        <f>'TSAS Demand Revenues (7)'!I143</f>
        <v>5000</v>
      </c>
      <c r="J148" s="28">
        <f>'TSAS Demand Revenues (7)'!J143</f>
        <v>5000</v>
      </c>
      <c r="K148" s="28">
        <f>'TSAS Demand Revenues (7)'!K143</f>
        <v>5000</v>
      </c>
      <c r="L148" s="28">
        <f>'TSAS Demand Revenues (7)'!L143</f>
        <v>5000</v>
      </c>
      <c r="M148" s="28">
        <f>'TSAS Demand Revenues (7)'!M143</f>
        <v>5000</v>
      </c>
      <c r="N148" s="28">
        <f>SUM(B148:M148)</f>
        <v>60000</v>
      </c>
      <c r="O148" s="22"/>
    </row>
    <row r="149" spans="1:15" s="20" customFormat="1">
      <c r="A149" s="26" t="s">
        <v>20</v>
      </c>
      <c r="B149" s="32">
        <f>B105</f>
        <v>1.274E-2</v>
      </c>
      <c r="C149" s="32">
        <f t="shared" ref="C149:M149" si="49">C105</f>
        <v>1.274E-2</v>
      </c>
      <c r="D149" s="32">
        <f t="shared" si="49"/>
        <v>1.274E-2</v>
      </c>
      <c r="E149" s="32">
        <f t="shared" si="49"/>
        <v>1.274E-2</v>
      </c>
      <c r="F149" s="32">
        <f t="shared" si="49"/>
        <v>1.274E-2</v>
      </c>
      <c r="G149" s="32">
        <f t="shared" si="49"/>
        <v>1.274E-2</v>
      </c>
      <c r="H149" s="32">
        <f t="shared" si="49"/>
        <v>1.274E-2</v>
      </c>
      <c r="I149" s="32">
        <f t="shared" si="49"/>
        <v>1.274E-2</v>
      </c>
      <c r="J149" s="32">
        <f t="shared" si="49"/>
        <v>1.274E-2</v>
      </c>
      <c r="K149" s="32">
        <f t="shared" si="49"/>
        <v>1.274E-2</v>
      </c>
      <c r="L149" s="32">
        <f t="shared" si="49"/>
        <v>1.274E-2</v>
      </c>
      <c r="M149" s="32">
        <f t="shared" si="49"/>
        <v>1.274E-2</v>
      </c>
      <c r="O149" s="22"/>
    </row>
    <row r="150" spans="1:15" s="20" customFormat="1">
      <c r="A150" s="26" t="s">
        <v>17</v>
      </c>
      <c r="B150" s="21">
        <f t="shared" ref="B150:M150" si="50">B148*B149</f>
        <v>63.699999999999996</v>
      </c>
      <c r="C150" s="21">
        <f t="shared" si="50"/>
        <v>63.699999999999996</v>
      </c>
      <c r="D150" s="21">
        <f t="shared" si="50"/>
        <v>63.699999999999996</v>
      </c>
      <c r="E150" s="21">
        <f t="shared" si="50"/>
        <v>63.699999999999996</v>
      </c>
      <c r="F150" s="21">
        <f t="shared" si="50"/>
        <v>63.699999999999996</v>
      </c>
      <c r="G150" s="21">
        <f t="shared" si="50"/>
        <v>63.699999999999996</v>
      </c>
      <c r="H150" s="21">
        <f t="shared" si="50"/>
        <v>63.699999999999996</v>
      </c>
      <c r="I150" s="21">
        <f t="shared" si="50"/>
        <v>63.699999999999996</v>
      </c>
      <c r="J150" s="21">
        <f t="shared" si="50"/>
        <v>63.699999999999996</v>
      </c>
      <c r="K150" s="21">
        <f t="shared" si="50"/>
        <v>63.699999999999996</v>
      </c>
      <c r="L150" s="21">
        <f t="shared" si="50"/>
        <v>63.699999999999996</v>
      </c>
      <c r="M150" s="21">
        <f t="shared" si="50"/>
        <v>63.699999999999996</v>
      </c>
      <c r="N150" s="21">
        <f>SUM(B150:M150)</f>
        <v>764.40000000000009</v>
      </c>
      <c r="O150" s="22"/>
    </row>
    <row r="151" spans="1:15" s="20" customFormat="1">
      <c r="O151" s="22"/>
    </row>
    <row r="152" spans="1:15" s="20" customFormat="1">
      <c r="A152" s="26" t="s">
        <v>21</v>
      </c>
      <c r="O152" s="22"/>
    </row>
    <row r="153" spans="1:15" s="29" customFormat="1">
      <c r="A153" s="27" t="s">
        <v>16</v>
      </c>
      <c r="B153" s="28">
        <f>'TSAS Demand Revenues (7)'!B148</f>
        <v>0</v>
      </c>
      <c r="C153" s="28">
        <f>'TSAS Demand Revenues (7)'!C148</f>
        <v>0</v>
      </c>
      <c r="D153" s="28">
        <f>'TSAS Demand Revenues (7)'!D148</f>
        <v>0</v>
      </c>
      <c r="E153" s="28">
        <f>'TSAS Demand Revenues (7)'!E148</f>
        <v>0</v>
      </c>
      <c r="F153" s="28">
        <f>'TSAS Demand Revenues (7)'!F148</f>
        <v>0</v>
      </c>
      <c r="G153" s="28">
        <f>'TSAS Demand Revenues (7)'!G148</f>
        <v>0</v>
      </c>
      <c r="H153" s="28">
        <f>'TSAS Demand Revenues (7)'!H148</f>
        <v>0</v>
      </c>
      <c r="I153" s="28">
        <f>'TSAS Demand Revenues (7)'!I148</f>
        <v>0</v>
      </c>
      <c r="J153" s="28">
        <f>'TSAS Demand Revenues (7)'!J148</f>
        <v>0</v>
      </c>
      <c r="K153" s="28">
        <f>'TSAS Demand Revenues (7)'!K148</f>
        <v>0</v>
      </c>
      <c r="L153" s="28">
        <f>'TSAS Demand Revenues (7)'!L148</f>
        <v>0</v>
      </c>
      <c r="M153" s="28">
        <f>'TSAS Demand Revenues (7)'!M148</f>
        <v>0</v>
      </c>
      <c r="N153" s="28">
        <f>SUM(B153:M153)</f>
        <v>0</v>
      </c>
      <c r="O153" s="22"/>
    </row>
    <row r="154" spans="1:15" s="20" customFormat="1">
      <c r="A154" s="26" t="s">
        <v>20</v>
      </c>
      <c r="B154" s="32">
        <f>'charges (1 &amp; 2)'!$F$24</f>
        <v>1.274E-2</v>
      </c>
      <c r="C154" s="32">
        <f>'charges (1 &amp; 2)'!$F$24</f>
        <v>1.274E-2</v>
      </c>
      <c r="D154" s="32">
        <f>'charges (1 &amp; 2)'!$F$24</f>
        <v>1.274E-2</v>
      </c>
      <c r="E154" s="32">
        <f>'charges (1 &amp; 2)'!$F$24</f>
        <v>1.274E-2</v>
      </c>
      <c r="F154" s="32">
        <f>'charges (1 &amp; 2)'!$F$24</f>
        <v>1.274E-2</v>
      </c>
      <c r="G154" s="32">
        <f>'charges (1 &amp; 2)'!$F$24</f>
        <v>1.274E-2</v>
      </c>
      <c r="H154" s="32">
        <f>'charges (1 &amp; 2)'!$F$24</f>
        <v>1.274E-2</v>
      </c>
      <c r="I154" s="32">
        <f>'charges (1 &amp; 2)'!$F$24</f>
        <v>1.274E-2</v>
      </c>
      <c r="J154" s="32">
        <f>'charges (1 &amp; 2)'!$F$24</f>
        <v>1.274E-2</v>
      </c>
      <c r="K154" s="32">
        <f>'charges (1 &amp; 2)'!$F$24</f>
        <v>1.274E-2</v>
      </c>
      <c r="L154" s="32">
        <f>'charges (1 &amp; 2)'!$F$24</f>
        <v>1.274E-2</v>
      </c>
      <c r="M154" s="32">
        <f>'charges (1 &amp; 2)'!$F$24</f>
        <v>1.274E-2</v>
      </c>
      <c r="O154" s="22"/>
    </row>
    <row r="155" spans="1:15" s="20" customFormat="1">
      <c r="A155" s="26" t="s">
        <v>17</v>
      </c>
      <c r="B155" s="21">
        <f t="shared" ref="B155:M155" si="51">B153*B154</f>
        <v>0</v>
      </c>
      <c r="C155" s="21">
        <f t="shared" si="51"/>
        <v>0</v>
      </c>
      <c r="D155" s="21">
        <f t="shared" si="51"/>
        <v>0</v>
      </c>
      <c r="E155" s="21">
        <f t="shared" si="51"/>
        <v>0</v>
      </c>
      <c r="F155" s="21">
        <f t="shared" si="51"/>
        <v>0</v>
      </c>
      <c r="G155" s="21">
        <f t="shared" si="51"/>
        <v>0</v>
      </c>
      <c r="H155" s="21">
        <f t="shared" si="51"/>
        <v>0</v>
      </c>
      <c r="I155" s="21">
        <f t="shared" si="51"/>
        <v>0</v>
      </c>
      <c r="J155" s="21">
        <f t="shared" si="51"/>
        <v>0</v>
      </c>
      <c r="K155" s="21">
        <f t="shared" si="51"/>
        <v>0</v>
      </c>
      <c r="L155" s="21">
        <f t="shared" si="51"/>
        <v>0</v>
      </c>
      <c r="M155" s="21">
        <f t="shared" si="51"/>
        <v>0</v>
      </c>
      <c r="N155" s="21">
        <f>SUM(B155:M155)</f>
        <v>0</v>
      </c>
      <c r="O155" s="22"/>
    </row>
    <row r="156" spans="1:15" s="20" customFormat="1">
      <c r="B156" s="21"/>
      <c r="O156" s="22"/>
    </row>
    <row r="157" spans="1:15" s="20" customFormat="1">
      <c r="A157" s="26" t="s">
        <v>22</v>
      </c>
      <c r="O157" s="22"/>
    </row>
    <row r="158" spans="1:15" s="29" customFormat="1">
      <c r="A158" s="27" t="s">
        <v>16</v>
      </c>
      <c r="B158" s="28">
        <f>'TSAS Demand Revenues (7)'!B153</f>
        <v>0</v>
      </c>
      <c r="C158" s="28">
        <f>'TSAS Demand Revenues (7)'!C153</f>
        <v>0</v>
      </c>
      <c r="D158" s="28">
        <f>'TSAS Demand Revenues (7)'!D153</f>
        <v>0</v>
      </c>
      <c r="E158" s="28">
        <f>'TSAS Demand Revenues (7)'!E153</f>
        <v>0</v>
      </c>
      <c r="F158" s="28">
        <f>'TSAS Demand Revenues (7)'!F153</f>
        <v>0</v>
      </c>
      <c r="G158" s="28">
        <f>'TSAS Demand Revenues (7)'!G153</f>
        <v>0</v>
      </c>
      <c r="H158" s="28">
        <f>'TSAS Demand Revenues (7)'!H153</f>
        <v>0</v>
      </c>
      <c r="I158" s="28">
        <f>'TSAS Demand Revenues (7)'!I153</f>
        <v>0</v>
      </c>
      <c r="J158" s="28">
        <f>'TSAS Demand Revenues (7)'!J153</f>
        <v>0</v>
      </c>
      <c r="K158" s="28">
        <f>'TSAS Demand Revenues (7)'!K153</f>
        <v>0</v>
      </c>
      <c r="L158" s="28">
        <f>'TSAS Demand Revenues (7)'!L153</f>
        <v>0</v>
      </c>
      <c r="M158" s="28">
        <f>'TSAS Demand Revenues (7)'!M153</f>
        <v>0</v>
      </c>
      <c r="N158" s="28">
        <f>SUM(B158:M158)</f>
        <v>0</v>
      </c>
      <c r="O158" s="22"/>
    </row>
    <row r="159" spans="1:15" s="20" customFormat="1">
      <c r="A159" s="26" t="s">
        <v>20</v>
      </c>
      <c r="B159" s="33">
        <f>B154</f>
        <v>1.274E-2</v>
      </c>
      <c r="C159" s="33">
        <f t="shared" ref="C159:M159" si="52">C154</f>
        <v>1.274E-2</v>
      </c>
      <c r="D159" s="33">
        <f t="shared" si="52"/>
        <v>1.274E-2</v>
      </c>
      <c r="E159" s="33">
        <f t="shared" si="52"/>
        <v>1.274E-2</v>
      </c>
      <c r="F159" s="33">
        <f t="shared" si="52"/>
        <v>1.274E-2</v>
      </c>
      <c r="G159" s="33">
        <f t="shared" si="52"/>
        <v>1.274E-2</v>
      </c>
      <c r="H159" s="33">
        <f t="shared" si="52"/>
        <v>1.274E-2</v>
      </c>
      <c r="I159" s="33">
        <f t="shared" si="52"/>
        <v>1.274E-2</v>
      </c>
      <c r="J159" s="33">
        <f t="shared" si="52"/>
        <v>1.274E-2</v>
      </c>
      <c r="K159" s="33">
        <f t="shared" si="52"/>
        <v>1.274E-2</v>
      </c>
      <c r="L159" s="33">
        <f t="shared" si="52"/>
        <v>1.274E-2</v>
      </c>
      <c r="M159" s="33">
        <f t="shared" si="52"/>
        <v>1.274E-2</v>
      </c>
      <c r="O159" s="22"/>
    </row>
    <row r="160" spans="1:15" s="20" customFormat="1">
      <c r="A160" s="26" t="s">
        <v>17</v>
      </c>
      <c r="B160" s="21">
        <f t="shared" ref="B160:M160" si="53">B158*B159</f>
        <v>0</v>
      </c>
      <c r="C160" s="21">
        <f t="shared" si="53"/>
        <v>0</v>
      </c>
      <c r="D160" s="21">
        <f t="shared" si="53"/>
        <v>0</v>
      </c>
      <c r="E160" s="21">
        <f t="shared" si="53"/>
        <v>0</v>
      </c>
      <c r="F160" s="21">
        <f t="shared" si="53"/>
        <v>0</v>
      </c>
      <c r="G160" s="21">
        <f t="shared" si="53"/>
        <v>0</v>
      </c>
      <c r="H160" s="21">
        <f t="shared" si="53"/>
        <v>0</v>
      </c>
      <c r="I160" s="21">
        <f t="shared" si="53"/>
        <v>0</v>
      </c>
      <c r="J160" s="21">
        <f t="shared" si="53"/>
        <v>0</v>
      </c>
      <c r="K160" s="21">
        <f t="shared" si="53"/>
        <v>0</v>
      </c>
      <c r="L160" s="21">
        <f t="shared" si="53"/>
        <v>0</v>
      </c>
      <c r="M160" s="21">
        <f t="shared" si="53"/>
        <v>0</v>
      </c>
      <c r="N160" s="21">
        <f>SUM(B160:M160)</f>
        <v>0</v>
      </c>
      <c r="O160" s="22"/>
    </row>
    <row r="161" spans="1:15" s="20" customFormat="1">
      <c r="B161" s="21"/>
      <c r="O161" s="22"/>
    </row>
    <row r="162" spans="1:15" s="20" customFormat="1" ht="10.199999999999999">
      <c r="A162" s="402" t="s">
        <v>23</v>
      </c>
      <c r="O162" s="29"/>
    </row>
    <row r="163" spans="1:15" s="29" customFormat="1" ht="10.199999999999999">
      <c r="A163" s="27" t="s">
        <v>16</v>
      </c>
      <c r="B163" s="28">
        <f>'TSAS Demand Revenues (7)'!B158</f>
        <v>37056</v>
      </c>
      <c r="C163" s="28">
        <f>'TSAS Demand Revenues (7)'!C158</f>
        <v>37056</v>
      </c>
      <c r="D163" s="28">
        <f>'TSAS Demand Revenues (7)'!D158</f>
        <v>37056</v>
      </c>
      <c r="E163" s="28">
        <f>'TSAS Demand Revenues (7)'!E158</f>
        <v>37056</v>
      </c>
      <c r="F163" s="28">
        <f>'TSAS Demand Revenues (7)'!F158</f>
        <v>37056</v>
      </c>
      <c r="G163" s="28">
        <f>'TSAS Demand Revenues (7)'!G158</f>
        <v>37056</v>
      </c>
      <c r="H163" s="28">
        <f>'TSAS Demand Revenues (7)'!H158</f>
        <v>37056</v>
      </c>
      <c r="I163" s="28">
        <f>'TSAS Demand Revenues (7)'!I158</f>
        <v>37056</v>
      </c>
      <c r="J163" s="28">
        <f>'TSAS Demand Revenues (7)'!J158</f>
        <v>37056</v>
      </c>
      <c r="K163" s="28">
        <f>'TSAS Demand Revenues (7)'!K158</f>
        <v>37056</v>
      </c>
      <c r="L163" s="28">
        <f>'TSAS Demand Revenues (7)'!L158</f>
        <v>37056</v>
      </c>
      <c r="M163" s="28">
        <f>'TSAS Demand Revenues (7)'!M158</f>
        <v>37056</v>
      </c>
      <c r="N163" s="28">
        <f>SUM(B163:M163)</f>
        <v>444672</v>
      </c>
    </row>
    <row r="164" spans="1:15" s="20" customFormat="1" ht="10.199999999999999">
      <c r="A164" s="26" t="s">
        <v>20</v>
      </c>
      <c r="B164" s="33">
        <f>'charges (1 &amp; 2)'!$E$27</f>
        <v>1.274E-2</v>
      </c>
      <c r="C164" s="33">
        <f>'charges (1 &amp; 2)'!$E$27</f>
        <v>1.274E-2</v>
      </c>
      <c r="D164" s="33">
        <f>'charges (1 &amp; 2)'!$E$27</f>
        <v>1.274E-2</v>
      </c>
      <c r="E164" s="33">
        <f>'charges (1 &amp; 2)'!$E$27</f>
        <v>1.274E-2</v>
      </c>
      <c r="F164" s="33">
        <f>'charges (1 &amp; 2)'!$E$27</f>
        <v>1.274E-2</v>
      </c>
      <c r="G164" s="33">
        <f>'charges (1 &amp; 2)'!$E$27</f>
        <v>1.274E-2</v>
      </c>
      <c r="H164" s="33">
        <f>'charges (1 &amp; 2)'!$E$27</f>
        <v>1.274E-2</v>
      </c>
      <c r="I164" s="33">
        <f>'charges (1 &amp; 2)'!$E$27</f>
        <v>1.274E-2</v>
      </c>
      <c r="J164" s="33">
        <f>'charges (1 &amp; 2)'!$E$27</f>
        <v>1.274E-2</v>
      </c>
      <c r="K164" s="33">
        <f>'charges (1 &amp; 2)'!$E$27</f>
        <v>1.274E-2</v>
      </c>
      <c r="L164" s="33">
        <f>'charges (1 &amp; 2)'!$E$27</f>
        <v>1.274E-2</v>
      </c>
      <c r="M164" s="33">
        <f>'charges (1 &amp; 2)'!$E$27</f>
        <v>1.274E-2</v>
      </c>
    </row>
    <row r="165" spans="1:15" s="20" customFormat="1" ht="10.199999999999999">
      <c r="A165" s="26" t="s">
        <v>17</v>
      </c>
      <c r="B165" s="21">
        <f t="shared" ref="B165:M165" si="54">B163*B164</f>
        <v>472.09343999999999</v>
      </c>
      <c r="C165" s="21">
        <f t="shared" si="54"/>
        <v>472.09343999999999</v>
      </c>
      <c r="D165" s="21">
        <f t="shared" si="54"/>
        <v>472.09343999999999</v>
      </c>
      <c r="E165" s="21">
        <f t="shared" si="54"/>
        <v>472.09343999999999</v>
      </c>
      <c r="F165" s="21">
        <f t="shared" si="54"/>
        <v>472.09343999999999</v>
      </c>
      <c r="G165" s="21">
        <f t="shared" si="54"/>
        <v>472.09343999999999</v>
      </c>
      <c r="H165" s="21">
        <f t="shared" si="54"/>
        <v>472.09343999999999</v>
      </c>
      <c r="I165" s="21">
        <f t="shared" si="54"/>
        <v>472.09343999999999</v>
      </c>
      <c r="J165" s="21">
        <f t="shared" si="54"/>
        <v>472.09343999999999</v>
      </c>
      <c r="K165" s="21">
        <f t="shared" si="54"/>
        <v>472.09343999999999</v>
      </c>
      <c r="L165" s="21">
        <f t="shared" si="54"/>
        <v>472.09343999999999</v>
      </c>
      <c r="M165" s="21">
        <f t="shared" si="54"/>
        <v>472.09343999999999</v>
      </c>
      <c r="N165" s="21">
        <f>SUM(B165:M165)</f>
        <v>5665.1212799999994</v>
      </c>
    </row>
    <row r="166" spans="1:15" s="20" customFormat="1" ht="10.199999999999999">
      <c r="B166" s="21"/>
    </row>
    <row r="167" spans="1:15" s="20" customFormat="1" ht="10.199999999999999">
      <c r="A167" s="402" t="s">
        <v>24</v>
      </c>
    </row>
    <row r="168" spans="1:15" s="29" customFormat="1" ht="10.199999999999999">
      <c r="A168" s="27" t="s">
        <v>16</v>
      </c>
      <c r="B168" s="28">
        <f>'TSAS Demand Revenues (7)'!B163</f>
        <v>62000</v>
      </c>
      <c r="C168" s="28">
        <f>'TSAS Demand Revenues (7)'!C163</f>
        <v>62000</v>
      </c>
      <c r="D168" s="28">
        <f>'TSAS Demand Revenues (7)'!D163</f>
        <v>62000</v>
      </c>
      <c r="E168" s="28">
        <f>'TSAS Demand Revenues (7)'!E163</f>
        <v>62000</v>
      </c>
      <c r="F168" s="28">
        <f>'TSAS Demand Revenues (7)'!F163</f>
        <v>62000</v>
      </c>
      <c r="G168" s="28">
        <f>'TSAS Demand Revenues (7)'!G163</f>
        <v>62000</v>
      </c>
      <c r="H168" s="28">
        <f>'TSAS Demand Revenues (7)'!H163</f>
        <v>62000</v>
      </c>
      <c r="I168" s="28">
        <f>'TSAS Demand Revenues (7)'!I163</f>
        <v>62000</v>
      </c>
      <c r="J168" s="28">
        <f>'TSAS Demand Revenues (7)'!J163</f>
        <v>62000</v>
      </c>
      <c r="K168" s="28">
        <f>'TSAS Demand Revenues (7)'!K163</f>
        <v>62000</v>
      </c>
      <c r="L168" s="28">
        <f>'TSAS Demand Revenues (7)'!L163</f>
        <v>62000</v>
      </c>
      <c r="M168" s="28">
        <f>'TSAS Demand Revenues (7)'!M163</f>
        <v>62000</v>
      </c>
      <c r="N168" s="28">
        <f>SUM(B168:M168)</f>
        <v>744000</v>
      </c>
    </row>
    <row r="169" spans="1:15" s="20" customFormat="1" ht="10.199999999999999">
      <c r="A169" s="26" t="s">
        <v>20</v>
      </c>
      <c r="B169" s="33">
        <f>'charges (1 &amp; 2)'!$F$18</f>
        <v>1.274E-2</v>
      </c>
      <c r="C169" s="33">
        <f>'charges (1 &amp; 2)'!$F$18</f>
        <v>1.274E-2</v>
      </c>
      <c r="D169" s="33">
        <f>'charges (1 &amp; 2)'!$F$18</f>
        <v>1.274E-2</v>
      </c>
      <c r="E169" s="33">
        <f>'charges (1 &amp; 2)'!$F$18</f>
        <v>1.274E-2</v>
      </c>
      <c r="F169" s="33">
        <f>'charges (1 &amp; 2)'!$F$18</f>
        <v>1.274E-2</v>
      </c>
      <c r="G169" s="33">
        <f>'charges (1 &amp; 2)'!$F$18</f>
        <v>1.274E-2</v>
      </c>
      <c r="H169" s="33">
        <f>'charges (1 &amp; 2)'!$F$18</f>
        <v>1.274E-2</v>
      </c>
      <c r="I169" s="33">
        <f>'charges (1 &amp; 2)'!$F$18</f>
        <v>1.274E-2</v>
      </c>
      <c r="J169" s="33">
        <f>'charges (1 &amp; 2)'!$F$18</f>
        <v>1.274E-2</v>
      </c>
      <c r="K169" s="33">
        <f>'charges (1 &amp; 2)'!$F$18</f>
        <v>1.274E-2</v>
      </c>
      <c r="L169" s="33">
        <f>'charges (1 &amp; 2)'!$F$18</f>
        <v>1.274E-2</v>
      </c>
      <c r="M169" s="33">
        <f>'charges (1 &amp; 2)'!$F$18</f>
        <v>1.274E-2</v>
      </c>
    </row>
    <row r="170" spans="1:15" s="20" customFormat="1" ht="10.199999999999999">
      <c r="A170" s="26" t="s">
        <v>17</v>
      </c>
      <c r="B170" s="21">
        <f t="shared" ref="B170:M170" si="55">B168*B169</f>
        <v>789.88</v>
      </c>
      <c r="C170" s="21">
        <f t="shared" si="55"/>
        <v>789.88</v>
      </c>
      <c r="D170" s="21">
        <f t="shared" si="55"/>
        <v>789.88</v>
      </c>
      <c r="E170" s="21">
        <f t="shared" si="55"/>
        <v>789.88</v>
      </c>
      <c r="F170" s="21">
        <f t="shared" si="55"/>
        <v>789.88</v>
      </c>
      <c r="G170" s="21">
        <f t="shared" si="55"/>
        <v>789.88</v>
      </c>
      <c r="H170" s="21">
        <f t="shared" si="55"/>
        <v>789.88</v>
      </c>
      <c r="I170" s="21">
        <f t="shared" si="55"/>
        <v>789.88</v>
      </c>
      <c r="J170" s="21">
        <f t="shared" si="55"/>
        <v>789.88</v>
      </c>
      <c r="K170" s="21">
        <f t="shared" si="55"/>
        <v>789.88</v>
      </c>
      <c r="L170" s="21">
        <f t="shared" si="55"/>
        <v>789.88</v>
      </c>
      <c r="M170" s="21">
        <f t="shared" si="55"/>
        <v>789.88</v>
      </c>
      <c r="N170" s="21">
        <f>SUM(B170:M170)</f>
        <v>9478.56</v>
      </c>
    </row>
    <row r="171" spans="1:15" s="20" customFormat="1" ht="10.199999999999999">
      <c r="A171" s="26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5" s="20" customFormat="1" ht="10.199999999999999">
      <c r="A172" s="402" t="s">
        <v>116</v>
      </c>
    </row>
    <row r="173" spans="1:15" s="20" customFormat="1" ht="10.199999999999999">
      <c r="A173" s="27" t="s">
        <v>16</v>
      </c>
      <c r="B173" s="28">
        <f>'TSAS Demand Revenues (7)'!B168</f>
        <v>40000</v>
      </c>
      <c r="C173" s="28">
        <f>'TSAS Demand Revenues (7)'!C168</f>
        <v>40000</v>
      </c>
      <c r="D173" s="28">
        <f>'TSAS Demand Revenues (7)'!D168</f>
        <v>40000</v>
      </c>
      <c r="E173" s="28">
        <f>'TSAS Demand Revenues (7)'!E168</f>
        <v>40000</v>
      </c>
      <c r="F173" s="28">
        <f>'TSAS Demand Revenues (7)'!F168</f>
        <v>40000</v>
      </c>
      <c r="G173" s="28">
        <f>'TSAS Demand Revenues (7)'!G168</f>
        <v>40000</v>
      </c>
      <c r="H173" s="28">
        <f>'TSAS Demand Revenues (7)'!H168</f>
        <v>40000</v>
      </c>
      <c r="I173" s="28">
        <f>'TSAS Demand Revenues (7)'!I168</f>
        <v>40000</v>
      </c>
      <c r="J173" s="28">
        <f>'TSAS Demand Revenues (7)'!J168</f>
        <v>40000</v>
      </c>
      <c r="K173" s="28">
        <f>'TSAS Demand Revenues (7)'!K168</f>
        <v>40000</v>
      </c>
      <c r="L173" s="28">
        <f>'TSAS Demand Revenues (7)'!L168</f>
        <v>40000</v>
      </c>
      <c r="M173" s="28">
        <f>'TSAS Demand Revenues (7)'!M168</f>
        <v>40000</v>
      </c>
      <c r="N173" s="28">
        <f>SUM(B173:M173)</f>
        <v>480000</v>
      </c>
    </row>
    <row r="174" spans="1:15" s="20" customFormat="1" ht="10.199999999999999">
      <c r="A174" s="26" t="s">
        <v>20</v>
      </c>
      <c r="B174" s="33">
        <f>B100</f>
        <v>1.274E-2</v>
      </c>
      <c r="C174" s="33">
        <f t="shared" ref="C174:M174" si="56">C100</f>
        <v>1.274E-2</v>
      </c>
      <c r="D174" s="33">
        <f t="shared" si="56"/>
        <v>1.274E-2</v>
      </c>
      <c r="E174" s="33">
        <f t="shared" si="56"/>
        <v>1.274E-2</v>
      </c>
      <c r="F174" s="33">
        <f t="shared" si="56"/>
        <v>1.274E-2</v>
      </c>
      <c r="G174" s="33">
        <f t="shared" si="56"/>
        <v>1.274E-2</v>
      </c>
      <c r="H174" s="33">
        <f t="shared" si="56"/>
        <v>1.274E-2</v>
      </c>
      <c r="I174" s="33">
        <f t="shared" si="56"/>
        <v>1.274E-2</v>
      </c>
      <c r="J174" s="33">
        <f t="shared" si="56"/>
        <v>1.274E-2</v>
      </c>
      <c r="K174" s="33">
        <f t="shared" si="56"/>
        <v>1.274E-2</v>
      </c>
      <c r="L174" s="33">
        <f t="shared" si="56"/>
        <v>1.274E-2</v>
      </c>
      <c r="M174" s="33">
        <f t="shared" si="56"/>
        <v>1.274E-2</v>
      </c>
    </row>
    <row r="175" spans="1:15" s="20" customFormat="1" ht="10.199999999999999">
      <c r="A175" s="26" t="s">
        <v>17</v>
      </c>
      <c r="B175" s="21">
        <f t="shared" ref="B175:M175" si="57">B173*B174</f>
        <v>509.59999999999997</v>
      </c>
      <c r="C175" s="21">
        <f t="shared" si="57"/>
        <v>509.59999999999997</v>
      </c>
      <c r="D175" s="21">
        <f t="shared" si="57"/>
        <v>509.59999999999997</v>
      </c>
      <c r="E175" s="21">
        <f t="shared" si="57"/>
        <v>509.59999999999997</v>
      </c>
      <c r="F175" s="21">
        <f t="shared" si="57"/>
        <v>509.59999999999997</v>
      </c>
      <c r="G175" s="21">
        <f t="shared" si="57"/>
        <v>509.59999999999997</v>
      </c>
      <c r="H175" s="21">
        <f t="shared" si="57"/>
        <v>509.59999999999997</v>
      </c>
      <c r="I175" s="21">
        <f t="shared" si="57"/>
        <v>509.59999999999997</v>
      </c>
      <c r="J175" s="21">
        <f t="shared" si="57"/>
        <v>509.59999999999997</v>
      </c>
      <c r="K175" s="21">
        <f t="shared" si="57"/>
        <v>509.59999999999997</v>
      </c>
      <c r="L175" s="21">
        <f t="shared" si="57"/>
        <v>509.59999999999997</v>
      </c>
      <c r="M175" s="21">
        <f t="shared" si="57"/>
        <v>509.59999999999997</v>
      </c>
      <c r="N175" s="21">
        <f>SUM(B175:M175)</f>
        <v>6115.2000000000007</v>
      </c>
    </row>
    <row r="176" spans="1:15" s="20" customFormat="1" ht="10.199999999999999">
      <c r="A176" s="26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s="20" customFormat="1" ht="10.199999999999999">
      <c r="A177" s="402" t="s">
        <v>286</v>
      </c>
    </row>
    <row r="178" spans="1:14" s="20" customFormat="1" ht="10.199999999999999">
      <c r="A178" s="27" t="s">
        <v>16</v>
      </c>
      <c r="B178" s="28">
        <f>'TSAS Demand Revenues (7)'!B173</f>
        <v>4000</v>
      </c>
      <c r="C178" s="28">
        <f>'TSAS Demand Revenues (7)'!C173</f>
        <v>4000</v>
      </c>
      <c r="D178" s="28">
        <f>'TSAS Demand Revenues (7)'!D173</f>
        <v>4000</v>
      </c>
      <c r="E178" s="28">
        <f>'TSAS Demand Revenues (7)'!E173</f>
        <v>4000</v>
      </c>
      <c r="F178" s="28">
        <f>'TSAS Demand Revenues (7)'!F173</f>
        <v>4000</v>
      </c>
      <c r="G178" s="28">
        <f>'TSAS Demand Revenues (7)'!G173</f>
        <v>4000</v>
      </c>
      <c r="H178" s="28">
        <f>'TSAS Demand Revenues (7)'!H173</f>
        <v>4000</v>
      </c>
      <c r="I178" s="28">
        <f>'TSAS Demand Revenues (7)'!I173</f>
        <v>4000</v>
      </c>
      <c r="J178" s="28">
        <f>'TSAS Demand Revenues (7)'!J173</f>
        <v>4000</v>
      </c>
      <c r="K178" s="28">
        <f>'TSAS Demand Revenues (7)'!K173</f>
        <v>4000</v>
      </c>
      <c r="L178" s="28">
        <f>'TSAS Demand Revenues (7)'!L173</f>
        <v>3000</v>
      </c>
      <c r="M178" s="28">
        <f>'TSAS Demand Revenues (7)'!M173</f>
        <v>3000</v>
      </c>
      <c r="N178" s="28">
        <f>SUM(B178:M178)</f>
        <v>46000</v>
      </c>
    </row>
    <row r="179" spans="1:14" s="20" customFormat="1" ht="10.199999999999999">
      <c r="A179" s="26" t="s">
        <v>20</v>
      </c>
      <c r="B179" s="33">
        <f>B174</f>
        <v>1.274E-2</v>
      </c>
      <c r="C179" s="33">
        <f t="shared" ref="C179:M179" si="58">C174</f>
        <v>1.274E-2</v>
      </c>
      <c r="D179" s="33">
        <f t="shared" si="58"/>
        <v>1.274E-2</v>
      </c>
      <c r="E179" s="33">
        <f t="shared" si="58"/>
        <v>1.274E-2</v>
      </c>
      <c r="F179" s="33">
        <f t="shared" si="58"/>
        <v>1.274E-2</v>
      </c>
      <c r="G179" s="33">
        <f t="shared" si="58"/>
        <v>1.274E-2</v>
      </c>
      <c r="H179" s="33">
        <f t="shared" si="58"/>
        <v>1.274E-2</v>
      </c>
      <c r="I179" s="33">
        <f t="shared" si="58"/>
        <v>1.274E-2</v>
      </c>
      <c r="J179" s="33">
        <f t="shared" si="58"/>
        <v>1.274E-2</v>
      </c>
      <c r="K179" s="33">
        <f t="shared" si="58"/>
        <v>1.274E-2</v>
      </c>
      <c r="L179" s="33">
        <f t="shared" si="58"/>
        <v>1.274E-2</v>
      </c>
      <c r="M179" s="33">
        <f t="shared" si="58"/>
        <v>1.274E-2</v>
      </c>
    </row>
    <row r="180" spans="1:14" s="20" customFormat="1" ht="10.199999999999999">
      <c r="A180" s="26" t="s">
        <v>17</v>
      </c>
      <c r="B180" s="21">
        <f t="shared" ref="B180:M180" si="59">B178*B179</f>
        <v>50.96</v>
      </c>
      <c r="C180" s="21">
        <f t="shared" si="59"/>
        <v>50.96</v>
      </c>
      <c r="D180" s="21">
        <f t="shared" si="59"/>
        <v>50.96</v>
      </c>
      <c r="E180" s="21">
        <f t="shared" si="59"/>
        <v>50.96</v>
      </c>
      <c r="F180" s="21">
        <f t="shared" si="59"/>
        <v>50.96</v>
      </c>
      <c r="G180" s="21">
        <f t="shared" si="59"/>
        <v>50.96</v>
      </c>
      <c r="H180" s="21">
        <f t="shared" si="59"/>
        <v>50.96</v>
      </c>
      <c r="I180" s="21">
        <f t="shared" si="59"/>
        <v>50.96</v>
      </c>
      <c r="J180" s="21">
        <f t="shared" si="59"/>
        <v>50.96</v>
      </c>
      <c r="K180" s="21">
        <f t="shared" si="59"/>
        <v>50.96</v>
      </c>
      <c r="L180" s="21">
        <f t="shared" si="59"/>
        <v>38.22</v>
      </c>
      <c r="M180" s="21">
        <f t="shared" si="59"/>
        <v>38.22</v>
      </c>
      <c r="N180" s="21">
        <f>SUM(B180:M180)</f>
        <v>586.04</v>
      </c>
    </row>
    <row r="181" spans="1:14" s="20" customFormat="1" ht="10.199999999999999">
      <c r="A181" s="26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>
      <c r="A182" s="402" t="s">
        <v>179</v>
      </c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>
      <c r="A183" s="27" t="s">
        <v>16</v>
      </c>
      <c r="B183" s="28">
        <f>'TSAS Demand Revenues (7)'!B178</f>
        <v>0</v>
      </c>
      <c r="C183" s="28">
        <f>'TSAS Demand Revenues (7)'!C178</f>
        <v>0</v>
      </c>
      <c r="D183" s="28">
        <f>'TSAS Demand Revenues (7)'!D178</f>
        <v>0</v>
      </c>
      <c r="E183" s="28">
        <f>'TSAS Demand Revenues (7)'!E178</f>
        <v>0</v>
      </c>
      <c r="F183" s="28">
        <f>'TSAS Demand Revenues (7)'!F178</f>
        <v>0</v>
      </c>
      <c r="G183" s="28">
        <f>'TSAS Demand Revenues (7)'!G178</f>
        <v>0</v>
      </c>
      <c r="H183" s="28">
        <f>'TSAS Demand Revenues (7)'!H178</f>
        <v>0</v>
      </c>
      <c r="I183" s="28">
        <f>'TSAS Demand Revenues (7)'!I178</f>
        <v>0</v>
      </c>
      <c r="J183" s="28">
        <f>'TSAS Demand Revenues (7)'!J178</f>
        <v>0</v>
      </c>
      <c r="K183" s="28">
        <f>'TSAS Demand Revenues (7)'!K178</f>
        <v>0</v>
      </c>
      <c r="L183" s="28">
        <f>'TSAS Demand Revenues (7)'!L178</f>
        <v>0</v>
      </c>
      <c r="M183" s="28">
        <f>'TSAS Demand Revenues (7)'!M178</f>
        <v>0</v>
      </c>
      <c r="N183" s="28">
        <f>SUM(B183:M183)</f>
        <v>0</v>
      </c>
    </row>
    <row r="184" spans="1:14">
      <c r="A184" s="26" t="s">
        <v>20</v>
      </c>
      <c r="B184" s="33">
        <f>B174</f>
        <v>1.274E-2</v>
      </c>
      <c r="C184" s="33">
        <f t="shared" ref="C184:M184" si="60">C174</f>
        <v>1.274E-2</v>
      </c>
      <c r="D184" s="33">
        <f t="shared" si="60"/>
        <v>1.274E-2</v>
      </c>
      <c r="E184" s="33">
        <f t="shared" si="60"/>
        <v>1.274E-2</v>
      </c>
      <c r="F184" s="33">
        <f t="shared" si="60"/>
        <v>1.274E-2</v>
      </c>
      <c r="G184" s="33">
        <f t="shared" si="60"/>
        <v>1.274E-2</v>
      </c>
      <c r="H184" s="33">
        <f t="shared" si="60"/>
        <v>1.274E-2</v>
      </c>
      <c r="I184" s="33">
        <f t="shared" si="60"/>
        <v>1.274E-2</v>
      </c>
      <c r="J184" s="33">
        <f t="shared" si="60"/>
        <v>1.274E-2</v>
      </c>
      <c r="K184" s="33">
        <f t="shared" si="60"/>
        <v>1.274E-2</v>
      </c>
      <c r="L184" s="33">
        <f t="shared" si="60"/>
        <v>1.274E-2</v>
      </c>
      <c r="M184" s="33">
        <f t="shared" si="60"/>
        <v>1.274E-2</v>
      </c>
      <c r="N184" s="20"/>
    </row>
    <row r="185" spans="1:14">
      <c r="A185" s="26" t="s">
        <v>17</v>
      </c>
      <c r="B185" s="21">
        <f t="shared" ref="B185:M185" si="61">B183*B184</f>
        <v>0</v>
      </c>
      <c r="C185" s="21">
        <f t="shared" si="61"/>
        <v>0</v>
      </c>
      <c r="D185" s="21">
        <f t="shared" si="61"/>
        <v>0</v>
      </c>
      <c r="E185" s="21">
        <f t="shared" si="61"/>
        <v>0</v>
      </c>
      <c r="F185" s="21">
        <f t="shared" si="61"/>
        <v>0</v>
      </c>
      <c r="G185" s="21">
        <f t="shared" si="61"/>
        <v>0</v>
      </c>
      <c r="H185" s="21">
        <f t="shared" si="61"/>
        <v>0</v>
      </c>
      <c r="I185" s="21">
        <f t="shared" si="61"/>
        <v>0</v>
      </c>
      <c r="J185" s="21">
        <f t="shared" si="61"/>
        <v>0</v>
      </c>
      <c r="K185" s="21">
        <f t="shared" si="61"/>
        <v>0</v>
      </c>
      <c r="L185" s="21">
        <f t="shared" si="61"/>
        <v>0</v>
      </c>
      <c r="M185" s="21">
        <f t="shared" si="61"/>
        <v>0</v>
      </c>
      <c r="N185" s="21">
        <f>SUM(B185:M185)</f>
        <v>0</v>
      </c>
    </row>
    <row r="186" spans="1:14" s="20" customFormat="1" ht="10.199999999999999">
      <c r="A186" s="26"/>
    </row>
    <row r="187" spans="1:14">
      <c r="A187" s="402" t="s">
        <v>117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>
      <c r="A188" s="27" t="s">
        <v>16</v>
      </c>
      <c r="B188" s="28">
        <f>'TSAS Demand Revenues (7)'!B188</f>
        <v>150000</v>
      </c>
      <c r="C188" s="28">
        <f>'TSAS Demand Revenues (7)'!C188</f>
        <v>150000</v>
      </c>
      <c r="D188" s="28">
        <f>'TSAS Demand Revenues (7)'!D188</f>
        <v>150000</v>
      </c>
      <c r="E188" s="28">
        <f>'TSAS Demand Revenues (7)'!E188</f>
        <v>150000</v>
      </c>
      <c r="F188" s="28">
        <f>'TSAS Demand Revenues (7)'!F188</f>
        <v>150000</v>
      </c>
      <c r="G188" s="28">
        <f>'TSAS Demand Revenues (7)'!G188</f>
        <v>150000</v>
      </c>
      <c r="H188" s="28">
        <f>'TSAS Demand Revenues (7)'!H188</f>
        <v>150000</v>
      </c>
      <c r="I188" s="28">
        <f>'TSAS Demand Revenues (7)'!I188</f>
        <v>150000</v>
      </c>
      <c r="J188" s="28">
        <f>'TSAS Demand Revenues (7)'!J188</f>
        <v>150000</v>
      </c>
      <c r="K188" s="28">
        <f>'TSAS Demand Revenues (7)'!K188</f>
        <v>150000</v>
      </c>
      <c r="L188" s="28">
        <f>'TSAS Demand Revenues (7)'!L188</f>
        <v>150000</v>
      </c>
      <c r="M188" s="28">
        <f>'TSAS Demand Revenues (7)'!M188</f>
        <v>150000</v>
      </c>
      <c r="N188" s="28">
        <f>SUM(B188:M188)</f>
        <v>1800000</v>
      </c>
    </row>
    <row r="189" spans="1:14">
      <c r="A189" s="26" t="s">
        <v>20</v>
      </c>
      <c r="B189" s="33">
        <f>B184</f>
        <v>1.274E-2</v>
      </c>
      <c r="C189" s="33">
        <f t="shared" ref="C189:M189" si="62">C184</f>
        <v>1.274E-2</v>
      </c>
      <c r="D189" s="33">
        <f t="shared" si="62"/>
        <v>1.274E-2</v>
      </c>
      <c r="E189" s="33">
        <f t="shared" si="62"/>
        <v>1.274E-2</v>
      </c>
      <c r="F189" s="33">
        <f t="shared" si="62"/>
        <v>1.274E-2</v>
      </c>
      <c r="G189" s="33">
        <f t="shared" si="62"/>
        <v>1.274E-2</v>
      </c>
      <c r="H189" s="33">
        <f t="shared" si="62"/>
        <v>1.274E-2</v>
      </c>
      <c r="I189" s="33">
        <f t="shared" si="62"/>
        <v>1.274E-2</v>
      </c>
      <c r="J189" s="33">
        <f t="shared" si="62"/>
        <v>1.274E-2</v>
      </c>
      <c r="K189" s="33">
        <f t="shared" si="62"/>
        <v>1.274E-2</v>
      </c>
      <c r="L189" s="33">
        <f t="shared" si="62"/>
        <v>1.274E-2</v>
      </c>
      <c r="M189" s="33">
        <f t="shared" si="62"/>
        <v>1.274E-2</v>
      </c>
      <c r="N189" s="20"/>
    </row>
    <row r="190" spans="1:14">
      <c r="A190" s="26" t="s">
        <v>17</v>
      </c>
      <c r="B190" s="21">
        <f t="shared" ref="B190:M190" si="63">B188*B189</f>
        <v>1911</v>
      </c>
      <c r="C190" s="21">
        <f t="shared" si="63"/>
        <v>1911</v>
      </c>
      <c r="D190" s="21">
        <f t="shared" si="63"/>
        <v>1911</v>
      </c>
      <c r="E190" s="21">
        <f t="shared" si="63"/>
        <v>1911</v>
      </c>
      <c r="F190" s="21">
        <f t="shared" si="63"/>
        <v>1911</v>
      </c>
      <c r="G190" s="21">
        <f t="shared" si="63"/>
        <v>1911</v>
      </c>
      <c r="H190" s="21">
        <f t="shared" si="63"/>
        <v>1911</v>
      </c>
      <c r="I190" s="21">
        <f t="shared" si="63"/>
        <v>1911</v>
      </c>
      <c r="J190" s="21">
        <f t="shared" si="63"/>
        <v>1911</v>
      </c>
      <c r="K190" s="21">
        <f t="shared" si="63"/>
        <v>1911</v>
      </c>
      <c r="L190" s="21">
        <f t="shared" si="63"/>
        <v>1911</v>
      </c>
      <c r="M190" s="21">
        <f t="shared" si="63"/>
        <v>1911</v>
      </c>
      <c r="N190" s="21">
        <f>SUM(B190:M190)</f>
        <v>22932</v>
      </c>
    </row>
    <row r="191" spans="1:14" s="20" customFormat="1" ht="10.199999999999999">
      <c r="A191" s="26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4" s="20" customFormat="1" ht="10.199999999999999">
      <c r="A192" s="402" t="s">
        <v>44</v>
      </c>
    </row>
    <row r="193" spans="1:14" s="20" customFormat="1" ht="10.199999999999999">
      <c r="A193" s="27" t="s">
        <v>16</v>
      </c>
      <c r="B193" s="28">
        <f>'TSAS Demand Revenues (7)'!B183</f>
        <v>0</v>
      </c>
      <c r="C193" s="28">
        <f>'TSAS Demand Revenues (7)'!C183</f>
        <v>0</v>
      </c>
      <c r="D193" s="28">
        <f>'TSAS Demand Revenues (7)'!D183</f>
        <v>0</v>
      </c>
      <c r="E193" s="28">
        <f>'TSAS Demand Revenues (7)'!E183</f>
        <v>0</v>
      </c>
      <c r="F193" s="28">
        <f>'TSAS Demand Revenues (7)'!F183</f>
        <v>0</v>
      </c>
      <c r="G193" s="28">
        <f>'TSAS Demand Revenues (7)'!G183</f>
        <v>0</v>
      </c>
      <c r="H193" s="28">
        <f>'TSAS Demand Revenues (7)'!H183</f>
        <v>0</v>
      </c>
      <c r="I193" s="28">
        <f>'TSAS Demand Revenues (7)'!I183</f>
        <v>0</v>
      </c>
      <c r="J193" s="28">
        <f>'TSAS Demand Revenues (7)'!J183</f>
        <v>0</v>
      </c>
      <c r="K193" s="28">
        <f>'TSAS Demand Revenues (7)'!K183</f>
        <v>0</v>
      </c>
      <c r="L193" s="28">
        <f>'TSAS Demand Revenues (7)'!L183</f>
        <v>0</v>
      </c>
      <c r="M193" s="28">
        <f>'TSAS Demand Revenues (7)'!M183</f>
        <v>0</v>
      </c>
      <c r="N193" s="28">
        <f>SUM(B193:M193)</f>
        <v>0</v>
      </c>
    </row>
    <row r="194" spans="1:14" s="20" customFormat="1" ht="10.199999999999999">
      <c r="A194" s="26" t="s">
        <v>20</v>
      </c>
      <c r="B194" s="33">
        <f>B189</f>
        <v>1.274E-2</v>
      </c>
      <c r="C194" s="33">
        <f t="shared" ref="C194:M194" si="64">C189</f>
        <v>1.274E-2</v>
      </c>
      <c r="D194" s="33">
        <f t="shared" si="64"/>
        <v>1.274E-2</v>
      </c>
      <c r="E194" s="33">
        <f t="shared" si="64"/>
        <v>1.274E-2</v>
      </c>
      <c r="F194" s="33">
        <f t="shared" si="64"/>
        <v>1.274E-2</v>
      </c>
      <c r="G194" s="33">
        <f t="shared" si="64"/>
        <v>1.274E-2</v>
      </c>
      <c r="H194" s="33">
        <f t="shared" si="64"/>
        <v>1.274E-2</v>
      </c>
      <c r="I194" s="33">
        <f t="shared" si="64"/>
        <v>1.274E-2</v>
      </c>
      <c r="J194" s="33">
        <f t="shared" si="64"/>
        <v>1.274E-2</v>
      </c>
      <c r="K194" s="33">
        <f t="shared" si="64"/>
        <v>1.274E-2</v>
      </c>
      <c r="L194" s="33">
        <f t="shared" si="64"/>
        <v>1.274E-2</v>
      </c>
      <c r="M194" s="33">
        <f t="shared" si="64"/>
        <v>1.274E-2</v>
      </c>
    </row>
    <row r="195" spans="1:14" s="20" customFormat="1" ht="10.199999999999999">
      <c r="A195" s="26" t="s">
        <v>17</v>
      </c>
      <c r="B195" s="21">
        <f t="shared" ref="B195:M195" si="65">B193*B194</f>
        <v>0</v>
      </c>
      <c r="C195" s="21">
        <f t="shared" si="65"/>
        <v>0</v>
      </c>
      <c r="D195" s="21">
        <f t="shared" si="65"/>
        <v>0</v>
      </c>
      <c r="E195" s="21">
        <f t="shared" si="65"/>
        <v>0</v>
      </c>
      <c r="F195" s="21">
        <f t="shared" si="65"/>
        <v>0</v>
      </c>
      <c r="G195" s="21">
        <f t="shared" si="65"/>
        <v>0</v>
      </c>
      <c r="H195" s="21">
        <f t="shared" si="65"/>
        <v>0</v>
      </c>
      <c r="I195" s="21">
        <f t="shared" si="65"/>
        <v>0</v>
      </c>
      <c r="J195" s="21">
        <f t="shared" si="65"/>
        <v>0</v>
      </c>
      <c r="K195" s="21">
        <f t="shared" si="65"/>
        <v>0</v>
      </c>
      <c r="L195" s="21">
        <f t="shared" si="65"/>
        <v>0</v>
      </c>
      <c r="M195" s="21">
        <f t="shared" si="65"/>
        <v>0</v>
      </c>
      <c r="N195" s="21">
        <f>SUM(B195:M195)</f>
        <v>0</v>
      </c>
    </row>
    <row r="196" spans="1:14" s="20" customFormat="1" ht="10.199999999999999">
      <c r="A196" s="26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</row>
    <row r="197" spans="1:14" s="20" customFormat="1" ht="10.199999999999999">
      <c r="A197" s="402" t="s">
        <v>287</v>
      </c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s="20" customFormat="1" ht="10.199999999999999">
      <c r="A198" s="27" t="s">
        <v>16</v>
      </c>
      <c r="B198" s="21">
        <f>'TSAS Reactive Revenues (2)'!B199</f>
        <v>160000</v>
      </c>
      <c r="C198" s="21">
        <f>'TSAS Reactive Revenues (2)'!C199</f>
        <v>160000</v>
      </c>
      <c r="D198" s="21">
        <f>'TSAS Reactive Revenues (2)'!D199</f>
        <v>0</v>
      </c>
      <c r="E198" s="21">
        <f>'TSAS Reactive Revenues (2)'!E199</f>
        <v>0</v>
      </c>
      <c r="F198" s="21">
        <f>'TSAS Reactive Revenues (2)'!F199</f>
        <v>0</v>
      </c>
      <c r="G198" s="21">
        <f>'TSAS Reactive Revenues (2)'!G199</f>
        <v>0</v>
      </c>
      <c r="H198" s="21">
        <f>'TSAS Reactive Revenues (2)'!H199</f>
        <v>0</v>
      </c>
      <c r="I198" s="21">
        <f>'TSAS Reactive Revenues (2)'!I199</f>
        <v>0</v>
      </c>
      <c r="J198" s="21">
        <f>'TSAS Reactive Revenues (2)'!J199</f>
        <v>0</v>
      </c>
      <c r="K198" s="21">
        <f>'TSAS Reactive Revenues (2)'!K199</f>
        <v>0</v>
      </c>
      <c r="L198" s="21">
        <f>'TSAS Reactive Revenues (2)'!L199</f>
        <v>0</v>
      </c>
      <c r="M198" s="21">
        <f>'TSAS Reactive Revenues (2)'!M199</f>
        <v>0</v>
      </c>
      <c r="N198" s="28">
        <f>SUM(B198:M198)</f>
        <v>320000</v>
      </c>
    </row>
    <row r="199" spans="1:14" s="20" customFormat="1" ht="10.199999999999999">
      <c r="A199" s="26" t="s">
        <v>20</v>
      </c>
      <c r="B199" s="33">
        <f>B194</f>
        <v>1.274E-2</v>
      </c>
      <c r="C199" s="33">
        <f t="shared" ref="C199:M199" si="66">C194</f>
        <v>1.274E-2</v>
      </c>
      <c r="D199" s="33">
        <f t="shared" si="66"/>
        <v>1.274E-2</v>
      </c>
      <c r="E199" s="33">
        <f t="shared" si="66"/>
        <v>1.274E-2</v>
      </c>
      <c r="F199" s="33">
        <f t="shared" si="66"/>
        <v>1.274E-2</v>
      </c>
      <c r="G199" s="33">
        <f t="shared" si="66"/>
        <v>1.274E-2</v>
      </c>
      <c r="H199" s="33">
        <f t="shared" si="66"/>
        <v>1.274E-2</v>
      </c>
      <c r="I199" s="33">
        <f t="shared" si="66"/>
        <v>1.274E-2</v>
      </c>
      <c r="J199" s="33">
        <f t="shared" si="66"/>
        <v>1.274E-2</v>
      </c>
      <c r="K199" s="33">
        <f t="shared" si="66"/>
        <v>1.274E-2</v>
      </c>
      <c r="L199" s="33">
        <f t="shared" si="66"/>
        <v>1.274E-2</v>
      </c>
      <c r="M199" s="33">
        <f t="shared" si="66"/>
        <v>1.274E-2</v>
      </c>
      <c r="N199" s="21"/>
    </row>
    <row r="200" spans="1:14" s="20" customFormat="1" ht="10.199999999999999">
      <c r="A200" s="26" t="s">
        <v>17</v>
      </c>
      <c r="B200" s="21">
        <f t="shared" ref="B200:M200" si="67">B198*B199</f>
        <v>2038.3999999999999</v>
      </c>
      <c r="C200" s="21">
        <f t="shared" si="67"/>
        <v>2038.3999999999999</v>
      </c>
      <c r="D200" s="21">
        <f t="shared" si="67"/>
        <v>0</v>
      </c>
      <c r="E200" s="21">
        <f t="shared" si="67"/>
        <v>0</v>
      </c>
      <c r="F200" s="21">
        <f t="shared" si="67"/>
        <v>0</v>
      </c>
      <c r="G200" s="21">
        <f t="shared" si="67"/>
        <v>0</v>
      </c>
      <c r="H200" s="21">
        <f t="shared" si="67"/>
        <v>0</v>
      </c>
      <c r="I200" s="21">
        <f t="shared" si="67"/>
        <v>0</v>
      </c>
      <c r="J200" s="21">
        <f t="shared" si="67"/>
        <v>0</v>
      </c>
      <c r="K200" s="21">
        <f t="shared" si="67"/>
        <v>0</v>
      </c>
      <c r="L200" s="21">
        <f t="shared" si="67"/>
        <v>0</v>
      </c>
      <c r="M200" s="21">
        <f t="shared" si="67"/>
        <v>0</v>
      </c>
      <c r="N200" s="21">
        <f>SUM(B200:M200)</f>
        <v>4076.7999999999997</v>
      </c>
    </row>
    <row r="201" spans="1:14" s="20" customFormat="1" ht="10.199999999999999">
      <c r="A201" s="26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4" s="20" customFormat="1" ht="10.199999999999999">
      <c r="A202" s="337"/>
      <c r="B202" s="21"/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8">
        <f>SUM(B202:M202)</f>
        <v>0</v>
      </c>
    </row>
    <row r="203" spans="1:14" s="20" customFormat="1" ht="10.199999999999999">
      <c r="A203" s="26" t="s">
        <v>20</v>
      </c>
      <c r="B203" s="33">
        <f>B199</f>
        <v>1.274E-2</v>
      </c>
      <c r="C203" s="33">
        <f t="shared" ref="C203:M203" si="68">C199</f>
        <v>1.274E-2</v>
      </c>
      <c r="D203" s="33">
        <f t="shared" si="68"/>
        <v>1.274E-2</v>
      </c>
      <c r="E203" s="33">
        <f t="shared" si="68"/>
        <v>1.274E-2</v>
      </c>
      <c r="F203" s="33">
        <f t="shared" si="68"/>
        <v>1.274E-2</v>
      </c>
      <c r="G203" s="33">
        <f t="shared" si="68"/>
        <v>1.274E-2</v>
      </c>
      <c r="H203" s="33">
        <f t="shared" si="68"/>
        <v>1.274E-2</v>
      </c>
      <c r="I203" s="33">
        <f t="shared" si="68"/>
        <v>1.274E-2</v>
      </c>
      <c r="J203" s="33">
        <f t="shared" si="68"/>
        <v>1.274E-2</v>
      </c>
      <c r="K203" s="33">
        <f t="shared" si="68"/>
        <v>1.274E-2</v>
      </c>
      <c r="L203" s="33">
        <f t="shared" si="68"/>
        <v>1.274E-2</v>
      </c>
      <c r="M203" s="33">
        <f t="shared" si="68"/>
        <v>1.274E-2</v>
      </c>
      <c r="N203" s="33"/>
    </row>
    <row r="204" spans="1:14" s="20" customFormat="1" ht="10.199999999999999">
      <c r="A204" s="26" t="s">
        <v>17</v>
      </c>
      <c r="B204" s="21">
        <f t="shared" ref="B204:M204" si="69">B202*B203</f>
        <v>0</v>
      </c>
      <c r="C204" s="21">
        <f t="shared" si="69"/>
        <v>0</v>
      </c>
      <c r="D204" s="21">
        <f t="shared" si="69"/>
        <v>0</v>
      </c>
      <c r="E204" s="21">
        <f t="shared" si="69"/>
        <v>0</v>
      </c>
      <c r="F204" s="21">
        <f t="shared" si="69"/>
        <v>0</v>
      </c>
      <c r="G204" s="21">
        <f t="shared" si="69"/>
        <v>0</v>
      </c>
      <c r="H204" s="21">
        <f t="shared" si="69"/>
        <v>0</v>
      </c>
      <c r="I204" s="21">
        <f t="shared" si="69"/>
        <v>0</v>
      </c>
      <c r="J204" s="21">
        <f t="shared" si="69"/>
        <v>0</v>
      </c>
      <c r="K204" s="21">
        <f t="shared" si="69"/>
        <v>0</v>
      </c>
      <c r="L204" s="21">
        <f t="shared" si="69"/>
        <v>0</v>
      </c>
      <c r="M204" s="21">
        <f t="shared" si="69"/>
        <v>0</v>
      </c>
      <c r="N204" s="21">
        <f>SUM(B204:M204)</f>
        <v>0</v>
      </c>
    </row>
    <row r="205" spans="1:14" s="20" customFormat="1" ht="10.199999999999999">
      <c r="A205" s="26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4" s="20" customFormat="1" ht="10.199999999999999">
      <c r="A206" s="26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</row>
    <row r="207" spans="1:14" s="20" customFormat="1" ht="10.199999999999999">
      <c r="A207" s="26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1:14" s="20" customFormat="1" ht="10.199999999999999">
      <c r="A208" s="145" t="s">
        <v>25</v>
      </c>
      <c r="B208" s="144">
        <f>B150+B155+B160+B165+B170+B175+B195+B200+B180+B185+B190+B204</f>
        <v>5835.6334399999996</v>
      </c>
      <c r="C208" s="144">
        <f t="shared" ref="C208:M208" si="70">C150+C155+C160+C165+C170+C175+C195+C200+C180+C185+C190+C204</f>
        <v>5835.6334399999996</v>
      </c>
      <c r="D208" s="144">
        <f t="shared" si="70"/>
        <v>3797.23344</v>
      </c>
      <c r="E208" s="144">
        <f t="shared" si="70"/>
        <v>3797.23344</v>
      </c>
      <c r="F208" s="144">
        <f t="shared" si="70"/>
        <v>3797.23344</v>
      </c>
      <c r="G208" s="144">
        <f t="shared" si="70"/>
        <v>3797.23344</v>
      </c>
      <c r="H208" s="144">
        <f t="shared" si="70"/>
        <v>3797.23344</v>
      </c>
      <c r="I208" s="144">
        <f t="shared" si="70"/>
        <v>3797.23344</v>
      </c>
      <c r="J208" s="144">
        <f t="shared" si="70"/>
        <v>3797.23344</v>
      </c>
      <c r="K208" s="144">
        <f t="shared" si="70"/>
        <v>3797.23344</v>
      </c>
      <c r="L208" s="144">
        <f t="shared" si="70"/>
        <v>3784.4934400000002</v>
      </c>
      <c r="M208" s="144">
        <f t="shared" si="70"/>
        <v>3784.4934400000002</v>
      </c>
      <c r="N208" s="144">
        <f>SUM(B208:M208)</f>
        <v>49618.121279999992</v>
      </c>
    </row>
    <row r="209" spans="1:15" s="20" customFormat="1" ht="10.199999999999999">
      <c r="A209" s="145" t="s">
        <v>60</v>
      </c>
      <c r="B209" s="144">
        <f>B148+B153+B158+B163+B168+B193+B173+B198+B178+B183+B188+B202</f>
        <v>458056</v>
      </c>
      <c r="C209" s="144">
        <f t="shared" ref="C209:M209" si="71">C148+C153+C158+C163+C168+C193+C173+C198+C178+C183+C188+C202</f>
        <v>458056</v>
      </c>
      <c r="D209" s="144">
        <f t="shared" si="71"/>
        <v>298056</v>
      </c>
      <c r="E209" s="144">
        <f t="shared" si="71"/>
        <v>298056</v>
      </c>
      <c r="F209" s="144">
        <f t="shared" si="71"/>
        <v>298056</v>
      </c>
      <c r="G209" s="144">
        <f t="shared" si="71"/>
        <v>298056</v>
      </c>
      <c r="H209" s="144">
        <f t="shared" si="71"/>
        <v>298056</v>
      </c>
      <c r="I209" s="144">
        <f t="shared" si="71"/>
        <v>298056</v>
      </c>
      <c r="J209" s="144">
        <f t="shared" si="71"/>
        <v>298056</v>
      </c>
      <c r="K209" s="144">
        <f t="shared" si="71"/>
        <v>298056</v>
      </c>
      <c r="L209" s="144">
        <f t="shared" si="71"/>
        <v>297056</v>
      </c>
      <c r="M209" s="144">
        <f t="shared" si="71"/>
        <v>297056</v>
      </c>
      <c r="N209" s="144">
        <f>SUM(B209:M209)</f>
        <v>3894672</v>
      </c>
    </row>
    <row r="210" spans="1:15" s="20" customFormat="1" ht="10.199999999999999">
      <c r="A210" s="25">
        <f>+A144+1</f>
        <v>2017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5" s="20" customFormat="1" ht="13.2">
      <c r="A211" s="23" t="s">
        <v>19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5" s="20" customFormat="1" ht="10.199999999999999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</row>
    <row r="213" spans="1:15" s="20" customFormat="1" ht="10.199999999999999">
      <c r="A213" s="402" t="s">
        <v>359</v>
      </c>
    </row>
    <row r="214" spans="1:15" s="29" customFormat="1">
      <c r="A214" s="27" t="s">
        <v>16</v>
      </c>
      <c r="B214" s="28">
        <f>'TSAS Demand Revenues (7)'!B212</f>
        <v>5000</v>
      </c>
      <c r="C214" s="28">
        <f>'TSAS Demand Revenues (7)'!C212</f>
        <v>5000</v>
      </c>
      <c r="D214" s="28">
        <f>'TSAS Demand Revenues (7)'!D212</f>
        <v>5000</v>
      </c>
      <c r="E214" s="28">
        <f>'TSAS Demand Revenues (7)'!E212</f>
        <v>5000</v>
      </c>
      <c r="F214" s="28">
        <f>'TSAS Demand Revenues (7)'!F212</f>
        <v>5000</v>
      </c>
      <c r="G214" s="28">
        <f>'TSAS Demand Revenues (7)'!G212</f>
        <v>5000</v>
      </c>
      <c r="H214" s="28">
        <f>'TSAS Demand Revenues (7)'!H212</f>
        <v>5000</v>
      </c>
      <c r="I214" s="28">
        <f>'TSAS Demand Revenues (7)'!I212</f>
        <v>5000</v>
      </c>
      <c r="J214" s="28">
        <f>'TSAS Demand Revenues (7)'!J212</f>
        <v>5000</v>
      </c>
      <c r="K214" s="28">
        <f>'TSAS Demand Revenues (7)'!K212</f>
        <v>5000</v>
      </c>
      <c r="L214" s="28">
        <f>'TSAS Demand Revenues (7)'!L212</f>
        <v>5000</v>
      </c>
      <c r="M214" s="28">
        <f>'TSAS Demand Revenues (7)'!M212</f>
        <v>5000</v>
      </c>
      <c r="N214" s="28">
        <f>SUM(B214:M214)</f>
        <v>60000</v>
      </c>
      <c r="O214" s="22"/>
    </row>
    <row r="215" spans="1:15" s="20" customFormat="1">
      <c r="A215" s="26" t="s">
        <v>20</v>
      </c>
      <c r="B215" s="32">
        <f>B194</f>
        <v>1.274E-2</v>
      </c>
      <c r="C215" s="32">
        <f t="shared" ref="C215:M215" si="72">C194</f>
        <v>1.274E-2</v>
      </c>
      <c r="D215" s="32">
        <f t="shared" si="72"/>
        <v>1.274E-2</v>
      </c>
      <c r="E215" s="32">
        <f t="shared" si="72"/>
        <v>1.274E-2</v>
      </c>
      <c r="F215" s="32">
        <f t="shared" si="72"/>
        <v>1.274E-2</v>
      </c>
      <c r="G215" s="32">
        <f t="shared" si="72"/>
        <v>1.274E-2</v>
      </c>
      <c r="H215" s="32">
        <f t="shared" si="72"/>
        <v>1.274E-2</v>
      </c>
      <c r="I215" s="32">
        <f t="shared" si="72"/>
        <v>1.274E-2</v>
      </c>
      <c r="J215" s="32">
        <f t="shared" si="72"/>
        <v>1.274E-2</v>
      </c>
      <c r="K215" s="32">
        <f t="shared" si="72"/>
        <v>1.274E-2</v>
      </c>
      <c r="L215" s="32">
        <f t="shared" si="72"/>
        <v>1.274E-2</v>
      </c>
      <c r="M215" s="32">
        <f t="shared" si="72"/>
        <v>1.274E-2</v>
      </c>
      <c r="O215" s="22"/>
    </row>
    <row r="216" spans="1:15" s="20" customFormat="1">
      <c r="A216" s="26" t="s">
        <v>17</v>
      </c>
      <c r="B216" s="21">
        <f t="shared" ref="B216:M216" si="73">B214*B215</f>
        <v>63.699999999999996</v>
      </c>
      <c r="C216" s="21">
        <f t="shared" si="73"/>
        <v>63.699999999999996</v>
      </c>
      <c r="D216" s="21">
        <f t="shared" si="73"/>
        <v>63.699999999999996</v>
      </c>
      <c r="E216" s="21">
        <f t="shared" si="73"/>
        <v>63.699999999999996</v>
      </c>
      <c r="F216" s="21">
        <f t="shared" si="73"/>
        <v>63.699999999999996</v>
      </c>
      <c r="G216" s="21">
        <f t="shared" si="73"/>
        <v>63.699999999999996</v>
      </c>
      <c r="H216" s="21">
        <f t="shared" si="73"/>
        <v>63.699999999999996</v>
      </c>
      <c r="I216" s="21">
        <f t="shared" si="73"/>
        <v>63.699999999999996</v>
      </c>
      <c r="J216" s="21">
        <f t="shared" si="73"/>
        <v>63.699999999999996</v>
      </c>
      <c r="K216" s="21">
        <f t="shared" si="73"/>
        <v>63.699999999999996</v>
      </c>
      <c r="L216" s="21">
        <f t="shared" si="73"/>
        <v>63.699999999999996</v>
      </c>
      <c r="M216" s="21">
        <f t="shared" si="73"/>
        <v>63.699999999999996</v>
      </c>
      <c r="N216" s="21">
        <f>SUM(B216:M216)</f>
        <v>764.40000000000009</v>
      </c>
      <c r="O216" s="22"/>
    </row>
    <row r="217" spans="1:15" s="20" customFormat="1">
      <c r="O217" s="22"/>
    </row>
    <row r="218" spans="1:15" s="20" customFormat="1">
      <c r="A218" s="26" t="s">
        <v>21</v>
      </c>
      <c r="O218" s="22"/>
    </row>
    <row r="219" spans="1:15" s="29" customFormat="1">
      <c r="A219" s="27" t="s">
        <v>16</v>
      </c>
      <c r="B219" s="28">
        <f>'TSAS Demand Revenues (7)'!B217</f>
        <v>0</v>
      </c>
      <c r="C219" s="28">
        <f>'TSAS Demand Revenues (7)'!C217</f>
        <v>0</v>
      </c>
      <c r="D219" s="28">
        <f>'TSAS Demand Revenues (7)'!D217</f>
        <v>0</v>
      </c>
      <c r="E219" s="28">
        <f>'TSAS Demand Revenues (7)'!E217</f>
        <v>0</v>
      </c>
      <c r="F219" s="28">
        <f>'TSAS Demand Revenues (7)'!F217</f>
        <v>0</v>
      </c>
      <c r="G219" s="28">
        <f>'TSAS Demand Revenues (7)'!G217</f>
        <v>0</v>
      </c>
      <c r="H219" s="28">
        <f>'TSAS Demand Revenues (7)'!H217</f>
        <v>0</v>
      </c>
      <c r="I219" s="28">
        <f>'TSAS Demand Revenues (7)'!I217</f>
        <v>0</v>
      </c>
      <c r="J219" s="28">
        <f>'TSAS Demand Revenues (7)'!J217</f>
        <v>0</v>
      </c>
      <c r="K219" s="28">
        <f>'TSAS Demand Revenues (7)'!K217</f>
        <v>0</v>
      </c>
      <c r="L219" s="28">
        <f>'TSAS Demand Revenues (7)'!L217</f>
        <v>0</v>
      </c>
      <c r="M219" s="28">
        <f>'TSAS Demand Revenues (7)'!M217</f>
        <v>0</v>
      </c>
      <c r="N219" s="28">
        <f>SUM(B219:M219)</f>
        <v>0</v>
      </c>
      <c r="O219" s="22"/>
    </row>
    <row r="220" spans="1:15" s="20" customFormat="1">
      <c r="A220" s="26" t="s">
        <v>20</v>
      </c>
      <c r="B220" s="32">
        <f>B215</f>
        <v>1.274E-2</v>
      </c>
      <c r="C220" s="32">
        <f t="shared" ref="C220:M220" si="74">+$B$19</f>
        <v>1.274E-2</v>
      </c>
      <c r="D220" s="32">
        <f t="shared" si="74"/>
        <v>1.274E-2</v>
      </c>
      <c r="E220" s="32">
        <f t="shared" si="74"/>
        <v>1.274E-2</v>
      </c>
      <c r="F220" s="32">
        <f t="shared" si="74"/>
        <v>1.274E-2</v>
      </c>
      <c r="G220" s="32">
        <f t="shared" si="74"/>
        <v>1.274E-2</v>
      </c>
      <c r="H220" s="32">
        <f t="shared" si="74"/>
        <v>1.274E-2</v>
      </c>
      <c r="I220" s="32">
        <f t="shared" si="74"/>
        <v>1.274E-2</v>
      </c>
      <c r="J220" s="32">
        <f t="shared" si="74"/>
        <v>1.274E-2</v>
      </c>
      <c r="K220" s="32">
        <f t="shared" si="74"/>
        <v>1.274E-2</v>
      </c>
      <c r="L220" s="32">
        <f t="shared" si="74"/>
        <v>1.274E-2</v>
      </c>
      <c r="M220" s="32">
        <f t="shared" si="74"/>
        <v>1.274E-2</v>
      </c>
      <c r="O220" s="22"/>
    </row>
    <row r="221" spans="1:15" s="20" customFormat="1">
      <c r="A221" s="26" t="s">
        <v>17</v>
      </c>
      <c r="B221" s="21">
        <f t="shared" ref="B221:M221" si="75">B219*B220</f>
        <v>0</v>
      </c>
      <c r="C221" s="21">
        <f t="shared" si="75"/>
        <v>0</v>
      </c>
      <c r="D221" s="21">
        <f t="shared" si="75"/>
        <v>0</v>
      </c>
      <c r="E221" s="21">
        <f t="shared" si="75"/>
        <v>0</v>
      </c>
      <c r="F221" s="21">
        <f t="shared" si="75"/>
        <v>0</v>
      </c>
      <c r="G221" s="21">
        <f t="shared" si="75"/>
        <v>0</v>
      </c>
      <c r="H221" s="21">
        <f t="shared" si="75"/>
        <v>0</v>
      </c>
      <c r="I221" s="21">
        <f t="shared" si="75"/>
        <v>0</v>
      </c>
      <c r="J221" s="21">
        <f t="shared" si="75"/>
        <v>0</v>
      </c>
      <c r="K221" s="21">
        <f t="shared" si="75"/>
        <v>0</v>
      </c>
      <c r="L221" s="21">
        <f t="shared" si="75"/>
        <v>0</v>
      </c>
      <c r="M221" s="21">
        <f t="shared" si="75"/>
        <v>0</v>
      </c>
      <c r="N221" s="21">
        <f>SUM(B221:M221)</f>
        <v>0</v>
      </c>
      <c r="O221" s="22"/>
    </row>
    <row r="222" spans="1:15" s="20" customFormat="1">
      <c r="B222" s="21"/>
      <c r="O222" s="22"/>
    </row>
    <row r="223" spans="1:15" s="20" customFormat="1">
      <c r="A223" s="26" t="s">
        <v>22</v>
      </c>
      <c r="O223" s="22"/>
    </row>
    <row r="224" spans="1:15" s="29" customFormat="1">
      <c r="A224" s="27" t="s">
        <v>16</v>
      </c>
      <c r="B224" s="28">
        <f>'TSAS Demand Revenues (7)'!B222</f>
        <v>0</v>
      </c>
      <c r="C224" s="28">
        <f>'TSAS Demand Revenues (7)'!C222</f>
        <v>0</v>
      </c>
      <c r="D224" s="28">
        <f>'TSAS Demand Revenues (7)'!D222</f>
        <v>0</v>
      </c>
      <c r="E224" s="28">
        <f>'TSAS Demand Revenues (7)'!E222</f>
        <v>0</v>
      </c>
      <c r="F224" s="28">
        <f>'TSAS Demand Revenues (7)'!F222</f>
        <v>0</v>
      </c>
      <c r="G224" s="28">
        <f>'TSAS Demand Revenues (7)'!G222</f>
        <v>0</v>
      </c>
      <c r="H224" s="28">
        <f>'TSAS Demand Revenues (7)'!H222</f>
        <v>0</v>
      </c>
      <c r="I224" s="28">
        <f>'TSAS Demand Revenues (7)'!I222</f>
        <v>0</v>
      </c>
      <c r="J224" s="28">
        <f>'TSAS Demand Revenues (7)'!J222</f>
        <v>0</v>
      </c>
      <c r="K224" s="28">
        <f>'TSAS Demand Revenues (7)'!K222</f>
        <v>0</v>
      </c>
      <c r="L224" s="28">
        <f>'TSAS Demand Revenues (7)'!L222</f>
        <v>0</v>
      </c>
      <c r="M224" s="28">
        <f>'TSAS Demand Revenues (7)'!M222</f>
        <v>0</v>
      </c>
      <c r="N224" s="28">
        <f>SUM(B224:M224)</f>
        <v>0</v>
      </c>
      <c r="O224" s="22"/>
    </row>
    <row r="225" spans="1:15" s="20" customFormat="1">
      <c r="A225" s="26" t="s">
        <v>20</v>
      </c>
      <c r="B225" s="33">
        <f>B220</f>
        <v>1.274E-2</v>
      </c>
      <c r="C225" s="33">
        <f t="shared" ref="C225:M225" si="76">+$B$24</f>
        <v>1.274E-2</v>
      </c>
      <c r="D225" s="33">
        <f t="shared" si="76"/>
        <v>1.274E-2</v>
      </c>
      <c r="E225" s="33">
        <f t="shared" si="76"/>
        <v>1.274E-2</v>
      </c>
      <c r="F225" s="33">
        <f t="shared" si="76"/>
        <v>1.274E-2</v>
      </c>
      <c r="G225" s="33">
        <f t="shared" si="76"/>
        <v>1.274E-2</v>
      </c>
      <c r="H225" s="33">
        <f t="shared" si="76"/>
        <v>1.274E-2</v>
      </c>
      <c r="I225" s="33">
        <f t="shared" si="76"/>
        <v>1.274E-2</v>
      </c>
      <c r="J225" s="33">
        <f t="shared" si="76"/>
        <v>1.274E-2</v>
      </c>
      <c r="K225" s="33">
        <f t="shared" si="76"/>
        <v>1.274E-2</v>
      </c>
      <c r="L225" s="33">
        <f t="shared" si="76"/>
        <v>1.274E-2</v>
      </c>
      <c r="M225" s="33">
        <f t="shared" si="76"/>
        <v>1.274E-2</v>
      </c>
      <c r="O225" s="22"/>
    </row>
    <row r="226" spans="1:15" s="20" customFormat="1">
      <c r="A226" s="26" t="s">
        <v>17</v>
      </c>
      <c r="B226" s="21">
        <f t="shared" ref="B226:M226" si="77">B224*B225</f>
        <v>0</v>
      </c>
      <c r="C226" s="21">
        <f t="shared" si="77"/>
        <v>0</v>
      </c>
      <c r="D226" s="21">
        <f t="shared" si="77"/>
        <v>0</v>
      </c>
      <c r="E226" s="21">
        <f t="shared" si="77"/>
        <v>0</v>
      </c>
      <c r="F226" s="21">
        <f t="shared" si="77"/>
        <v>0</v>
      </c>
      <c r="G226" s="21">
        <f t="shared" si="77"/>
        <v>0</v>
      </c>
      <c r="H226" s="21">
        <f t="shared" si="77"/>
        <v>0</v>
      </c>
      <c r="I226" s="21">
        <f t="shared" si="77"/>
        <v>0</v>
      </c>
      <c r="J226" s="21">
        <f t="shared" si="77"/>
        <v>0</v>
      </c>
      <c r="K226" s="21">
        <f t="shared" si="77"/>
        <v>0</v>
      </c>
      <c r="L226" s="21">
        <f t="shared" si="77"/>
        <v>0</v>
      </c>
      <c r="M226" s="21">
        <f t="shared" si="77"/>
        <v>0</v>
      </c>
      <c r="N226" s="21">
        <f>SUM(B226:M226)</f>
        <v>0</v>
      </c>
      <c r="O226" s="22"/>
    </row>
    <row r="227" spans="1:15" s="20" customFormat="1">
      <c r="B227" s="21"/>
      <c r="O227" s="22"/>
    </row>
    <row r="228" spans="1:15" s="20" customFormat="1" ht="10.199999999999999">
      <c r="A228" s="402" t="s">
        <v>23</v>
      </c>
      <c r="O228" s="29"/>
    </row>
    <row r="229" spans="1:15" s="29" customFormat="1" ht="10.199999999999999">
      <c r="A229" s="27" t="s">
        <v>16</v>
      </c>
      <c r="B229" s="28">
        <f>'TSAS Demand Revenues (7)'!B227</f>
        <v>37056</v>
      </c>
      <c r="C229" s="28">
        <f>'TSAS Demand Revenues (7)'!C227</f>
        <v>37056</v>
      </c>
      <c r="D229" s="28">
        <f>'TSAS Demand Revenues (7)'!D227</f>
        <v>37056</v>
      </c>
      <c r="E229" s="28">
        <f>'TSAS Demand Revenues (7)'!E227</f>
        <v>37056</v>
      </c>
      <c r="F229" s="28">
        <f>'TSAS Demand Revenues (7)'!F227</f>
        <v>37056</v>
      </c>
      <c r="G229" s="28">
        <f>'TSAS Demand Revenues (7)'!G227</f>
        <v>37056</v>
      </c>
      <c r="H229" s="28">
        <f>'TSAS Demand Revenues (7)'!H227</f>
        <v>37056</v>
      </c>
      <c r="I229" s="28">
        <f>'TSAS Demand Revenues (7)'!I227</f>
        <v>37056</v>
      </c>
      <c r="J229" s="28">
        <f>'TSAS Demand Revenues (7)'!J227</f>
        <v>37056</v>
      </c>
      <c r="K229" s="28">
        <f>'TSAS Demand Revenues (7)'!K227</f>
        <v>37056</v>
      </c>
      <c r="L229" s="28">
        <f>'TSAS Demand Revenues (7)'!L227</f>
        <v>37056</v>
      </c>
      <c r="M229" s="28">
        <f>'TSAS Demand Revenues (7)'!M227</f>
        <v>37056</v>
      </c>
      <c r="N229" s="28">
        <f>SUM(B229:M229)</f>
        <v>444672</v>
      </c>
    </row>
    <row r="230" spans="1:15" s="20" customFormat="1" ht="10.199999999999999">
      <c r="A230" s="26" t="s">
        <v>20</v>
      </c>
      <c r="B230" s="33">
        <f>B225</f>
        <v>1.274E-2</v>
      </c>
      <c r="C230" s="33">
        <f t="shared" ref="C230:M230" si="78">+$B$29</f>
        <v>1.274E-2</v>
      </c>
      <c r="D230" s="33">
        <f t="shared" si="78"/>
        <v>1.274E-2</v>
      </c>
      <c r="E230" s="33">
        <f t="shared" si="78"/>
        <v>1.274E-2</v>
      </c>
      <c r="F230" s="33">
        <f t="shared" si="78"/>
        <v>1.274E-2</v>
      </c>
      <c r="G230" s="33">
        <f t="shared" si="78"/>
        <v>1.274E-2</v>
      </c>
      <c r="H230" s="33">
        <f t="shared" si="78"/>
        <v>1.274E-2</v>
      </c>
      <c r="I230" s="33">
        <f t="shared" si="78"/>
        <v>1.274E-2</v>
      </c>
      <c r="J230" s="33">
        <f t="shared" si="78"/>
        <v>1.274E-2</v>
      </c>
      <c r="K230" s="33">
        <f t="shared" si="78"/>
        <v>1.274E-2</v>
      </c>
      <c r="L230" s="33">
        <f t="shared" si="78"/>
        <v>1.274E-2</v>
      </c>
      <c r="M230" s="33">
        <f t="shared" si="78"/>
        <v>1.274E-2</v>
      </c>
    </row>
    <row r="231" spans="1:15" s="20" customFormat="1" ht="10.199999999999999">
      <c r="A231" s="26" t="s">
        <v>17</v>
      </c>
      <c r="B231" s="21">
        <f t="shared" ref="B231:M231" si="79">B229*B230</f>
        <v>472.09343999999999</v>
      </c>
      <c r="C231" s="21">
        <f t="shared" si="79"/>
        <v>472.09343999999999</v>
      </c>
      <c r="D231" s="21">
        <f t="shared" si="79"/>
        <v>472.09343999999999</v>
      </c>
      <c r="E231" s="21">
        <f t="shared" si="79"/>
        <v>472.09343999999999</v>
      </c>
      <c r="F231" s="21">
        <f t="shared" si="79"/>
        <v>472.09343999999999</v>
      </c>
      <c r="G231" s="21">
        <f t="shared" si="79"/>
        <v>472.09343999999999</v>
      </c>
      <c r="H231" s="21">
        <f t="shared" si="79"/>
        <v>472.09343999999999</v>
      </c>
      <c r="I231" s="21">
        <f t="shared" si="79"/>
        <v>472.09343999999999</v>
      </c>
      <c r="J231" s="21">
        <f t="shared" si="79"/>
        <v>472.09343999999999</v>
      </c>
      <c r="K231" s="21">
        <f t="shared" si="79"/>
        <v>472.09343999999999</v>
      </c>
      <c r="L231" s="21">
        <f t="shared" si="79"/>
        <v>472.09343999999999</v>
      </c>
      <c r="M231" s="21">
        <f t="shared" si="79"/>
        <v>472.09343999999999</v>
      </c>
      <c r="N231" s="21">
        <f>SUM(B231:M231)</f>
        <v>5665.1212799999994</v>
      </c>
    </row>
    <row r="232" spans="1:15" s="20" customFormat="1" ht="10.199999999999999">
      <c r="B232" s="21"/>
    </row>
    <row r="233" spans="1:15" s="20" customFormat="1" ht="10.199999999999999">
      <c r="A233" s="402" t="s">
        <v>24</v>
      </c>
    </row>
    <row r="234" spans="1:15" s="29" customFormat="1" ht="10.199999999999999">
      <c r="A234" s="27" t="s">
        <v>16</v>
      </c>
      <c r="B234" s="28">
        <f>'TSAS Demand Revenues (7)'!B232</f>
        <v>62000</v>
      </c>
      <c r="C234" s="28">
        <f>'TSAS Demand Revenues (7)'!C232</f>
        <v>62000</v>
      </c>
      <c r="D234" s="28">
        <f>'TSAS Demand Revenues (7)'!D232</f>
        <v>62000</v>
      </c>
      <c r="E234" s="28">
        <f>'TSAS Demand Revenues (7)'!E232</f>
        <v>62000</v>
      </c>
      <c r="F234" s="28">
        <f>'TSAS Demand Revenues (7)'!F232</f>
        <v>62000</v>
      </c>
      <c r="G234" s="28">
        <f>'TSAS Demand Revenues (7)'!G232</f>
        <v>62000</v>
      </c>
      <c r="H234" s="28">
        <f>'TSAS Demand Revenues (7)'!H232</f>
        <v>62000</v>
      </c>
      <c r="I234" s="28">
        <f>'TSAS Demand Revenues (7)'!I232</f>
        <v>62000</v>
      </c>
      <c r="J234" s="28">
        <f>'TSAS Demand Revenues (7)'!J232</f>
        <v>62000</v>
      </c>
      <c r="K234" s="28">
        <f>'TSAS Demand Revenues (7)'!K232</f>
        <v>62000</v>
      </c>
      <c r="L234" s="28">
        <f>'TSAS Demand Revenues (7)'!L232</f>
        <v>62000</v>
      </c>
      <c r="M234" s="28">
        <f>'TSAS Demand Revenues (7)'!M232</f>
        <v>62000</v>
      </c>
      <c r="N234" s="28">
        <f>SUM(B234:M234)</f>
        <v>744000</v>
      </c>
    </row>
    <row r="235" spans="1:15" s="20" customFormat="1" ht="10.199999999999999">
      <c r="A235" s="26" t="s">
        <v>20</v>
      </c>
      <c r="B235" s="33">
        <f>B230</f>
        <v>1.274E-2</v>
      </c>
      <c r="C235" s="33">
        <f t="shared" ref="C235:M235" si="80">+$B$34</f>
        <v>1.274E-2</v>
      </c>
      <c r="D235" s="33">
        <f t="shared" si="80"/>
        <v>1.274E-2</v>
      </c>
      <c r="E235" s="33">
        <f t="shared" si="80"/>
        <v>1.274E-2</v>
      </c>
      <c r="F235" s="33">
        <f t="shared" si="80"/>
        <v>1.274E-2</v>
      </c>
      <c r="G235" s="33">
        <f t="shared" si="80"/>
        <v>1.274E-2</v>
      </c>
      <c r="H235" s="33">
        <f t="shared" si="80"/>
        <v>1.274E-2</v>
      </c>
      <c r="I235" s="33">
        <f t="shared" si="80"/>
        <v>1.274E-2</v>
      </c>
      <c r="J235" s="33">
        <f t="shared" si="80"/>
        <v>1.274E-2</v>
      </c>
      <c r="K235" s="33">
        <f t="shared" si="80"/>
        <v>1.274E-2</v>
      </c>
      <c r="L235" s="33">
        <f t="shared" si="80"/>
        <v>1.274E-2</v>
      </c>
      <c r="M235" s="33">
        <f t="shared" si="80"/>
        <v>1.274E-2</v>
      </c>
    </row>
    <row r="236" spans="1:15" s="20" customFormat="1" ht="10.199999999999999">
      <c r="A236" s="26" t="s">
        <v>17</v>
      </c>
      <c r="B236" s="21">
        <f t="shared" ref="B236:M236" si="81">B234*B235</f>
        <v>789.88</v>
      </c>
      <c r="C236" s="21">
        <f t="shared" si="81"/>
        <v>789.88</v>
      </c>
      <c r="D236" s="21">
        <f t="shared" si="81"/>
        <v>789.88</v>
      </c>
      <c r="E236" s="21">
        <f t="shared" si="81"/>
        <v>789.88</v>
      </c>
      <c r="F236" s="21">
        <f t="shared" si="81"/>
        <v>789.88</v>
      </c>
      <c r="G236" s="21">
        <f t="shared" si="81"/>
        <v>789.88</v>
      </c>
      <c r="H236" s="21">
        <f t="shared" si="81"/>
        <v>789.88</v>
      </c>
      <c r="I236" s="21">
        <f t="shared" si="81"/>
        <v>789.88</v>
      </c>
      <c r="J236" s="21">
        <f t="shared" si="81"/>
        <v>789.88</v>
      </c>
      <c r="K236" s="21">
        <f t="shared" si="81"/>
        <v>789.88</v>
      </c>
      <c r="L236" s="21">
        <f t="shared" si="81"/>
        <v>789.88</v>
      </c>
      <c r="M236" s="21">
        <f t="shared" si="81"/>
        <v>789.88</v>
      </c>
      <c r="N236" s="21">
        <f>SUM(B236:M236)</f>
        <v>9478.56</v>
      </c>
    </row>
    <row r="237" spans="1:15" s="20" customFormat="1" ht="10.199999999999999">
      <c r="A237" s="26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5" s="20" customFormat="1" ht="10.199999999999999">
      <c r="A238" s="402" t="s">
        <v>116</v>
      </c>
    </row>
    <row r="239" spans="1:15" s="20" customFormat="1" ht="10.199999999999999">
      <c r="A239" s="27" t="s">
        <v>16</v>
      </c>
      <c r="B239" s="28">
        <f>'TSAS Demand Revenues (7)'!B237</f>
        <v>40000</v>
      </c>
      <c r="C239" s="28">
        <f>'TSAS Demand Revenues (7)'!C237</f>
        <v>40000</v>
      </c>
      <c r="D239" s="28">
        <f>'TSAS Demand Revenues (7)'!D237</f>
        <v>40000</v>
      </c>
      <c r="E239" s="28">
        <f>'TSAS Demand Revenues (7)'!E237</f>
        <v>40000</v>
      </c>
      <c r="F239" s="28">
        <f>'TSAS Demand Revenues (7)'!F237</f>
        <v>40000</v>
      </c>
      <c r="G239" s="28">
        <f>'TSAS Demand Revenues (7)'!G237</f>
        <v>40000</v>
      </c>
      <c r="H239" s="28">
        <f>'TSAS Demand Revenues (7)'!H237</f>
        <v>40000</v>
      </c>
      <c r="I239" s="28">
        <f>'TSAS Demand Revenues (7)'!I237</f>
        <v>40000</v>
      </c>
      <c r="J239" s="28">
        <f>'TSAS Demand Revenues (7)'!J237</f>
        <v>40000</v>
      </c>
      <c r="K239" s="28">
        <f>'TSAS Demand Revenues (7)'!K237</f>
        <v>40000</v>
      </c>
      <c r="L239" s="28">
        <f>'TSAS Demand Revenues (7)'!L237</f>
        <v>40000</v>
      </c>
      <c r="M239" s="28">
        <f>'TSAS Demand Revenues (7)'!M237</f>
        <v>40000</v>
      </c>
      <c r="N239" s="28">
        <f>SUM(B239:M239)</f>
        <v>480000</v>
      </c>
    </row>
    <row r="240" spans="1:15" s="20" customFormat="1" ht="10.199999999999999">
      <c r="A240" s="26" t="s">
        <v>20</v>
      </c>
      <c r="B240" s="33">
        <f>B235</f>
        <v>1.274E-2</v>
      </c>
      <c r="C240" s="33">
        <f t="shared" ref="C240:M240" si="82">+$B$34</f>
        <v>1.274E-2</v>
      </c>
      <c r="D240" s="33">
        <f t="shared" si="82"/>
        <v>1.274E-2</v>
      </c>
      <c r="E240" s="33">
        <f t="shared" si="82"/>
        <v>1.274E-2</v>
      </c>
      <c r="F240" s="33">
        <f t="shared" si="82"/>
        <v>1.274E-2</v>
      </c>
      <c r="G240" s="33">
        <f t="shared" si="82"/>
        <v>1.274E-2</v>
      </c>
      <c r="H240" s="33">
        <f t="shared" si="82"/>
        <v>1.274E-2</v>
      </c>
      <c r="I240" s="33">
        <f t="shared" si="82"/>
        <v>1.274E-2</v>
      </c>
      <c r="J240" s="33">
        <f t="shared" si="82"/>
        <v>1.274E-2</v>
      </c>
      <c r="K240" s="33">
        <f t="shared" si="82"/>
        <v>1.274E-2</v>
      </c>
      <c r="L240" s="33">
        <f t="shared" si="82"/>
        <v>1.274E-2</v>
      </c>
      <c r="M240" s="33">
        <f t="shared" si="82"/>
        <v>1.274E-2</v>
      </c>
    </row>
    <row r="241" spans="1:14" s="20" customFormat="1" ht="10.199999999999999">
      <c r="A241" s="26" t="s">
        <v>17</v>
      </c>
      <c r="B241" s="21">
        <f t="shared" ref="B241:M241" si="83">B239*B240</f>
        <v>509.59999999999997</v>
      </c>
      <c r="C241" s="21">
        <f t="shared" si="83"/>
        <v>509.59999999999997</v>
      </c>
      <c r="D241" s="21">
        <f t="shared" si="83"/>
        <v>509.59999999999997</v>
      </c>
      <c r="E241" s="21">
        <f t="shared" si="83"/>
        <v>509.59999999999997</v>
      </c>
      <c r="F241" s="21">
        <f t="shared" si="83"/>
        <v>509.59999999999997</v>
      </c>
      <c r="G241" s="21">
        <f t="shared" si="83"/>
        <v>509.59999999999997</v>
      </c>
      <c r="H241" s="21">
        <f t="shared" si="83"/>
        <v>509.59999999999997</v>
      </c>
      <c r="I241" s="21">
        <f t="shared" si="83"/>
        <v>509.59999999999997</v>
      </c>
      <c r="J241" s="21">
        <f t="shared" si="83"/>
        <v>509.59999999999997</v>
      </c>
      <c r="K241" s="21">
        <f t="shared" si="83"/>
        <v>509.59999999999997</v>
      </c>
      <c r="L241" s="21">
        <f t="shared" si="83"/>
        <v>509.59999999999997</v>
      </c>
      <c r="M241" s="21">
        <f t="shared" si="83"/>
        <v>509.59999999999997</v>
      </c>
      <c r="N241" s="21">
        <f>SUM(B241:M241)</f>
        <v>6115.2000000000007</v>
      </c>
    </row>
    <row r="242" spans="1:14" s="20" customFormat="1" ht="10.199999999999999">
      <c r="A242" s="26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4" s="20" customFormat="1" ht="10.199999999999999">
      <c r="A243" s="402" t="s">
        <v>237</v>
      </c>
    </row>
    <row r="244" spans="1:14" s="20" customFormat="1" ht="10.199999999999999">
      <c r="A244" s="27" t="s">
        <v>16</v>
      </c>
      <c r="B244" s="28">
        <f>'TSAS Demand Revenues (7)'!B242</f>
        <v>3000</v>
      </c>
      <c r="C244" s="28">
        <f>'TSAS Demand Revenues (7)'!C242</f>
        <v>3000</v>
      </c>
      <c r="D244" s="28">
        <f>'TSAS Demand Revenues (7)'!D242</f>
        <v>3000</v>
      </c>
      <c r="E244" s="28">
        <f>'TSAS Demand Revenues (7)'!E242</f>
        <v>3000</v>
      </c>
      <c r="F244" s="28">
        <f>'TSAS Demand Revenues (7)'!F242</f>
        <v>3000</v>
      </c>
      <c r="G244" s="28">
        <f>'TSAS Demand Revenues (7)'!G242</f>
        <v>3000</v>
      </c>
      <c r="H244" s="28">
        <f>'TSAS Demand Revenues (7)'!H242</f>
        <v>3000</v>
      </c>
      <c r="I244" s="28">
        <f>'TSAS Demand Revenues (7)'!I242</f>
        <v>3000</v>
      </c>
      <c r="J244" s="28">
        <f>'TSAS Demand Revenues (7)'!J242</f>
        <v>3000</v>
      </c>
      <c r="K244" s="28">
        <f>'TSAS Demand Revenues (7)'!K242</f>
        <v>3000</v>
      </c>
      <c r="L244" s="28">
        <f>'TSAS Demand Revenues (7)'!L242</f>
        <v>3000</v>
      </c>
      <c r="M244" s="28">
        <f>'TSAS Demand Revenues (7)'!M242</f>
        <v>3000</v>
      </c>
      <c r="N244" s="28">
        <f>SUM(B244:M244)</f>
        <v>36000</v>
      </c>
    </row>
    <row r="245" spans="1:14" s="20" customFormat="1" ht="10.199999999999999">
      <c r="A245" s="26" t="s">
        <v>20</v>
      </c>
      <c r="B245" s="33">
        <f>B240</f>
        <v>1.274E-2</v>
      </c>
      <c r="C245" s="33">
        <f t="shared" ref="C245:M245" si="84">+$B$34</f>
        <v>1.274E-2</v>
      </c>
      <c r="D245" s="33">
        <f t="shared" si="84"/>
        <v>1.274E-2</v>
      </c>
      <c r="E245" s="33">
        <f t="shared" si="84"/>
        <v>1.274E-2</v>
      </c>
      <c r="F245" s="33">
        <f t="shared" si="84"/>
        <v>1.274E-2</v>
      </c>
      <c r="G245" s="33">
        <f t="shared" si="84"/>
        <v>1.274E-2</v>
      </c>
      <c r="H245" s="33">
        <f t="shared" si="84"/>
        <v>1.274E-2</v>
      </c>
      <c r="I245" s="33">
        <f t="shared" si="84"/>
        <v>1.274E-2</v>
      </c>
      <c r="J245" s="33">
        <f t="shared" si="84"/>
        <v>1.274E-2</v>
      </c>
      <c r="K245" s="33">
        <f t="shared" si="84"/>
        <v>1.274E-2</v>
      </c>
      <c r="L245" s="33">
        <f t="shared" si="84"/>
        <v>1.274E-2</v>
      </c>
      <c r="M245" s="33">
        <f t="shared" si="84"/>
        <v>1.274E-2</v>
      </c>
    </row>
    <row r="246" spans="1:14" s="20" customFormat="1" ht="10.199999999999999">
      <c r="A246" s="26" t="s">
        <v>17</v>
      </c>
      <c r="B246" s="21">
        <f t="shared" ref="B246:M246" si="85">B244*B245</f>
        <v>38.22</v>
      </c>
      <c r="C246" s="21">
        <f t="shared" si="85"/>
        <v>38.22</v>
      </c>
      <c r="D246" s="21">
        <f t="shared" si="85"/>
        <v>38.22</v>
      </c>
      <c r="E246" s="21">
        <f t="shared" si="85"/>
        <v>38.22</v>
      </c>
      <c r="F246" s="21">
        <f t="shared" si="85"/>
        <v>38.22</v>
      </c>
      <c r="G246" s="21">
        <f t="shared" si="85"/>
        <v>38.22</v>
      </c>
      <c r="H246" s="21">
        <f t="shared" si="85"/>
        <v>38.22</v>
      </c>
      <c r="I246" s="21">
        <f t="shared" si="85"/>
        <v>38.22</v>
      </c>
      <c r="J246" s="21">
        <f t="shared" si="85"/>
        <v>38.22</v>
      </c>
      <c r="K246" s="21">
        <f t="shared" si="85"/>
        <v>38.22</v>
      </c>
      <c r="L246" s="21">
        <f t="shared" si="85"/>
        <v>38.22</v>
      </c>
      <c r="M246" s="21">
        <f t="shared" si="85"/>
        <v>38.22</v>
      </c>
      <c r="N246" s="21">
        <f>SUM(B246:M246)</f>
        <v>458.6400000000001</v>
      </c>
    </row>
    <row r="247" spans="1:14" s="20" customFormat="1" ht="10.199999999999999">
      <c r="A247" s="26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>
      <c r="A248" s="402" t="s">
        <v>179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>
      <c r="A249" s="27" t="s">
        <v>16</v>
      </c>
      <c r="B249" s="28">
        <f>'TSAS Demand Revenues (7)'!B247</f>
        <v>0</v>
      </c>
      <c r="C249" s="28">
        <f>'TSAS Demand Revenues (7)'!C247</f>
        <v>0</v>
      </c>
      <c r="D249" s="28">
        <f>'TSAS Demand Revenues (7)'!D247</f>
        <v>0</v>
      </c>
      <c r="E249" s="28">
        <f>'TSAS Demand Revenues (7)'!E247</f>
        <v>0</v>
      </c>
      <c r="F249" s="28">
        <f>'TSAS Demand Revenues (7)'!F247</f>
        <v>0</v>
      </c>
      <c r="G249" s="28">
        <f>'TSAS Demand Revenues (7)'!G247</f>
        <v>0</v>
      </c>
      <c r="H249" s="28">
        <f>'TSAS Demand Revenues (7)'!H247</f>
        <v>0</v>
      </c>
      <c r="I249" s="28">
        <f>'TSAS Demand Revenues (7)'!I247</f>
        <v>0</v>
      </c>
      <c r="J249" s="28">
        <f>'TSAS Demand Revenues (7)'!J247</f>
        <v>0</v>
      </c>
      <c r="K249" s="28">
        <f>'TSAS Demand Revenues (7)'!K247</f>
        <v>0</v>
      </c>
      <c r="L249" s="28">
        <f>'TSAS Demand Revenues (7)'!L247</f>
        <v>0</v>
      </c>
      <c r="M249" s="28">
        <f>'TSAS Demand Revenues (7)'!M247</f>
        <v>0</v>
      </c>
      <c r="N249" s="28">
        <f>SUM(B249:M249)</f>
        <v>0</v>
      </c>
    </row>
    <row r="250" spans="1:14">
      <c r="A250" s="26" t="s">
        <v>20</v>
      </c>
      <c r="B250" s="33">
        <f>B240</f>
        <v>1.274E-2</v>
      </c>
      <c r="C250" s="33">
        <f t="shared" ref="C250:M250" si="86">C240</f>
        <v>1.274E-2</v>
      </c>
      <c r="D250" s="33">
        <f t="shared" si="86"/>
        <v>1.274E-2</v>
      </c>
      <c r="E250" s="33">
        <f t="shared" si="86"/>
        <v>1.274E-2</v>
      </c>
      <c r="F250" s="33">
        <f t="shared" si="86"/>
        <v>1.274E-2</v>
      </c>
      <c r="G250" s="33">
        <f t="shared" si="86"/>
        <v>1.274E-2</v>
      </c>
      <c r="H250" s="33">
        <f t="shared" si="86"/>
        <v>1.274E-2</v>
      </c>
      <c r="I250" s="33">
        <f t="shared" si="86"/>
        <v>1.274E-2</v>
      </c>
      <c r="J250" s="33">
        <f t="shared" si="86"/>
        <v>1.274E-2</v>
      </c>
      <c r="K250" s="33">
        <f t="shared" si="86"/>
        <v>1.274E-2</v>
      </c>
      <c r="L250" s="33">
        <f t="shared" si="86"/>
        <v>1.274E-2</v>
      </c>
      <c r="M250" s="33">
        <f t="shared" si="86"/>
        <v>1.274E-2</v>
      </c>
      <c r="N250" s="20"/>
    </row>
    <row r="251" spans="1:14">
      <c r="A251" s="26" t="s">
        <v>17</v>
      </c>
      <c r="B251" s="21">
        <f t="shared" ref="B251:M251" si="87">B249*B250</f>
        <v>0</v>
      </c>
      <c r="C251" s="21">
        <f t="shared" si="87"/>
        <v>0</v>
      </c>
      <c r="D251" s="21">
        <f t="shared" si="87"/>
        <v>0</v>
      </c>
      <c r="E251" s="21">
        <f t="shared" si="87"/>
        <v>0</v>
      </c>
      <c r="F251" s="21">
        <f t="shared" si="87"/>
        <v>0</v>
      </c>
      <c r="G251" s="21">
        <f t="shared" si="87"/>
        <v>0</v>
      </c>
      <c r="H251" s="21">
        <f t="shared" si="87"/>
        <v>0</v>
      </c>
      <c r="I251" s="21">
        <f t="shared" si="87"/>
        <v>0</v>
      </c>
      <c r="J251" s="21">
        <f t="shared" si="87"/>
        <v>0</v>
      </c>
      <c r="K251" s="21">
        <f t="shared" si="87"/>
        <v>0</v>
      </c>
      <c r="L251" s="21">
        <f t="shared" si="87"/>
        <v>0</v>
      </c>
      <c r="M251" s="21">
        <f t="shared" si="87"/>
        <v>0</v>
      </c>
      <c r="N251" s="21">
        <f>SUM(B251:M251)</f>
        <v>0</v>
      </c>
    </row>
    <row r="252" spans="1:14">
      <c r="A252" s="26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</row>
    <row r="253" spans="1:14">
      <c r="A253" s="402" t="s">
        <v>117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>
      <c r="A254" s="27" t="s">
        <v>16</v>
      </c>
      <c r="B254" s="28">
        <f>'TSAS Demand Revenues (7)'!B257</f>
        <v>150000</v>
      </c>
      <c r="C254" s="28">
        <f>'TSAS Demand Revenues (7)'!C257</f>
        <v>150000</v>
      </c>
      <c r="D254" s="28">
        <f>'TSAS Demand Revenues (7)'!D257</f>
        <v>150000</v>
      </c>
      <c r="E254" s="28">
        <f>'TSAS Demand Revenues (7)'!E257</f>
        <v>150000</v>
      </c>
      <c r="F254" s="28">
        <f>'TSAS Demand Revenues (7)'!F257</f>
        <v>150000</v>
      </c>
      <c r="G254" s="28">
        <f>'TSAS Demand Revenues (7)'!G257</f>
        <v>150000</v>
      </c>
      <c r="H254" s="28">
        <f>'TSAS Demand Revenues (7)'!H257</f>
        <v>150000</v>
      </c>
      <c r="I254" s="28">
        <f>'TSAS Demand Revenues (7)'!I257</f>
        <v>150000</v>
      </c>
      <c r="J254" s="28">
        <f>'TSAS Demand Revenues (7)'!J257</f>
        <v>150000</v>
      </c>
      <c r="K254" s="28">
        <f>'TSAS Demand Revenues (7)'!K257</f>
        <v>150000</v>
      </c>
      <c r="L254" s="28">
        <f>'TSAS Demand Revenues (7)'!L257</f>
        <v>150000</v>
      </c>
      <c r="M254" s="28">
        <f>'TSAS Demand Revenues (7)'!M257</f>
        <v>150000</v>
      </c>
      <c r="N254" s="28">
        <f>SUM(B254:M254)</f>
        <v>1800000</v>
      </c>
    </row>
    <row r="255" spans="1:14">
      <c r="A255" s="26" t="s">
        <v>20</v>
      </c>
      <c r="B255" s="33">
        <f>B250</f>
        <v>1.274E-2</v>
      </c>
      <c r="C255" s="33">
        <f t="shared" ref="C255:M255" si="88">C250</f>
        <v>1.274E-2</v>
      </c>
      <c r="D255" s="33">
        <f t="shared" si="88"/>
        <v>1.274E-2</v>
      </c>
      <c r="E255" s="33">
        <f t="shared" si="88"/>
        <v>1.274E-2</v>
      </c>
      <c r="F255" s="33">
        <f t="shared" si="88"/>
        <v>1.274E-2</v>
      </c>
      <c r="G255" s="33">
        <f t="shared" si="88"/>
        <v>1.274E-2</v>
      </c>
      <c r="H255" s="33">
        <f t="shared" si="88"/>
        <v>1.274E-2</v>
      </c>
      <c r="I255" s="33">
        <f t="shared" si="88"/>
        <v>1.274E-2</v>
      </c>
      <c r="J255" s="33">
        <f t="shared" si="88"/>
        <v>1.274E-2</v>
      </c>
      <c r="K255" s="33">
        <f t="shared" si="88"/>
        <v>1.274E-2</v>
      </c>
      <c r="L255" s="33">
        <f t="shared" si="88"/>
        <v>1.274E-2</v>
      </c>
      <c r="M255" s="33">
        <f t="shared" si="88"/>
        <v>1.274E-2</v>
      </c>
      <c r="N255" s="20"/>
    </row>
    <row r="256" spans="1:14">
      <c r="A256" s="26" t="s">
        <v>17</v>
      </c>
      <c r="B256" s="21">
        <f t="shared" ref="B256:M256" si="89">B254*B255</f>
        <v>1911</v>
      </c>
      <c r="C256" s="21">
        <f t="shared" si="89"/>
        <v>1911</v>
      </c>
      <c r="D256" s="21">
        <f t="shared" si="89"/>
        <v>1911</v>
      </c>
      <c r="E256" s="21">
        <f t="shared" si="89"/>
        <v>1911</v>
      </c>
      <c r="F256" s="21">
        <f t="shared" si="89"/>
        <v>1911</v>
      </c>
      <c r="G256" s="21">
        <f t="shared" si="89"/>
        <v>1911</v>
      </c>
      <c r="H256" s="21">
        <f t="shared" si="89"/>
        <v>1911</v>
      </c>
      <c r="I256" s="21">
        <f t="shared" si="89"/>
        <v>1911</v>
      </c>
      <c r="J256" s="21">
        <f t="shared" si="89"/>
        <v>1911</v>
      </c>
      <c r="K256" s="21">
        <f t="shared" si="89"/>
        <v>1911</v>
      </c>
      <c r="L256" s="21">
        <f t="shared" si="89"/>
        <v>1911</v>
      </c>
      <c r="M256" s="21">
        <f t="shared" si="89"/>
        <v>1911</v>
      </c>
      <c r="N256" s="21">
        <f>SUM(B256:M256)</f>
        <v>22932</v>
      </c>
    </row>
    <row r="257" spans="1:14">
      <c r="A257" s="26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s="20" customFormat="1" ht="10.199999999999999">
      <c r="A258" s="402" t="s">
        <v>44</v>
      </c>
    </row>
    <row r="259" spans="1:14" s="20" customFormat="1" ht="10.199999999999999">
      <c r="A259" s="27" t="s">
        <v>16</v>
      </c>
      <c r="B259" s="28">
        <f>'TSAS Demand Revenues (7)'!B252</f>
        <v>0</v>
      </c>
      <c r="C259" s="28">
        <f>'TSAS Demand Revenues (7)'!C252</f>
        <v>0</v>
      </c>
      <c r="D259" s="28">
        <f>'TSAS Demand Revenues (7)'!D252</f>
        <v>0</v>
      </c>
      <c r="E259" s="28">
        <f>'TSAS Demand Revenues (7)'!E252</f>
        <v>0</v>
      </c>
      <c r="F259" s="28">
        <f>'TSAS Demand Revenues (7)'!F252</f>
        <v>0</v>
      </c>
      <c r="G259" s="28">
        <f>'TSAS Demand Revenues (7)'!G252</f>
        <v>0</v>
      </c>
      <c r="H259" s="28">
        <f>'TSAS Demand Revenues (7)'!H252</f>
        <v>0</v>
      </c>
      <c r="I259" s="28">
        <f>'TSAS Demand Revenues (7)'!I252</f>
        <v>0</v>
      </c>
      <c r="J259" s="28">
        <f>'TSAS Demand Revenues (7)'!J252</f>
        <v>0</v>
      </c>
      <c r="K259" s="28">
        <f>'TSAS Demand Revenues (7)'!K252</f>
        <v>0</v>
      </c>
      <c r="L259" s="28">
        <f>'TSAS Demand Revenues (7)'!L252</f>
        <v>0</v>
      </c>
      <c r="M259" s="28">
        <f>'TSAS Demand Revenues (7)'!M252</f>
        <v>0</v>
      </c>
      <c r="N259" s="28">
        <f>SUM(B259:M259)</f>
        <v>0</v>
      </c>
    </row>
    <row r="260" spans="1:14" s="20" customFormat="1" ht="10.199999999999999">
      <c r="A260" s="26" t="s">
        <v>20</v>
      </c>
      <c r="B260" s="33">
        <f>B245</f>
        <v>1.274E-2</v>
      </c>
      <c r="C260" s="33">
        <f t="shared" ref="C260:M260" si="90">+$B$34</f>
        <v>1.274E-2</v>
      </c>
      <c r="D260" s="33">
        <f t="shared" si="90"/>
        <v>1.274E-2</v>
      </c>
      <c r="E260" s="33">
        <f t="shared" si="90"/>
        <v>1.274E-2</v>
      </c>
      <c r="F260" s="33">
        <f t="shared" si="90"/>
        <v>1.274E-2</v>
      </c>
      <c r="G260" s="33">
        <f t="shared" si="90"/>
        <v>1.274E-2</v>
      </c>
      <c r="H260" s="33">
        <f t="shared" si="90"/>
        <v>1.274E-2</v>
      </c>
      <c r="I260" s="33">
        <f t="shared" si="90"/>
        <v>1.274E-2</v>
      </c>
      <c r="J260" s="33">
        <f t="shared" si="90"/>
        <v>1.274E-2</v>
      </c>
      <c r="K260" s="33">
        <f t="shared" si="90"/>
        <v>1.274E-2</v>
      </c>
      <c r="L260" s="33">
        <f t="shared" si="90"/>
        <v>1.274E-2</v>
      </c>
      <c r="M260" s="33">
        <f t="shared" si="90"/>
        <v>1.274E-2</v>
      </c>
      <c r="N260" s="317"/>
    </row>
    <row r="261" spans="1:14" s="20" customFormat="1" ht="10.199999999999999">
      <c r="A261" s="26" t="s">
        <v>17</v>
      </c>
      <c r="B261" s="21">
        <f t="shared" ref="B261:M261" si="91">B259*B260</f>
        <v>0</v>
      </c>
      <c r="C261" s="21">
        <f t="shared" si="91"/>
        <v>0</v>
      </c>
      <c r="D261" s="21">
        <f t="shared" si="91"/>
        <v>0</v>
      </c>
      <c r="E261" s="21">
        <f t="shared" si="91"/>
        <v>0</v>
      </c>
      <c r="F261" s="21">
        <f t="shared" si="91"/>
        <v>0</v>
      </c>
      <c r="G261" s="21">
        <f t="shared" si="91"/>
        <v>0</v>
      </c>
      <c r="H261" s="21">
        <f t="shared" si="91"/>
        <v>0</v>
      </c>
      <c r="I261" s="21">
        <f t="shared" si="91"/>
        <v>0</v>
      </c>
      <c r="J261" s="21">
        <f t="shared" si="91"/>
        <v>0</v>
      </c>
      <c r="K261" s="21">
        <f t="shared" si="91"/>
        <v>0</v>
      </c>
      <c r="L261" s="21">
        <f t="shared" si="91"/>
        <v>0</v>
      </c>
      <c r="M261" s="21">
        <f t="shared" si="91"/>
        <v>0</v>
      </c>
      <c r="N261" s="21">
        <f>SUM(B261:M261)</f>
        <v>0</v>
      </c>
    </row>
    <row r="262" spans="1:14" s="20" customFormat="1" ht="10.199999999999999">
      <c r="A262" s="26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 s="20" customFormat="1" ht="10.199999999999999">
      <c r="A263" s="26" t="s">
        <v>171</v>
      </c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</row>
    <row r="264" spans="1:14" s="20" customFormat="1" ht="10.199999999999999">
      <c r="A264" s="27" t="s">
        <v>16</v>
      </c>
      <c r="B264" s="21">
        <f>'TSAS Demand Revenues (7)'!B262</f>
        <v>0</v>
      </c>
      <c r="C264" s="21">
        <f>'TSAS Demand Revenues (7)'!C262</f>
        <v>0</v>
      </c>
      <c r="D264" s="21">
        <f>'TSAS Demand Revenues (7)'!D262</f>
        <v>0</v>
      </c>
      <c r="E264" s="21">
        <f>'TSAS Demand Revenues (7)'!E262</f>
        <v>0</v>
      </c>
      <c r="F264" s="21">
        <f>'TSAS Demand Revenues (7)'!F262</f>
        <v>0</v>
      </c>
      <c r="G264" s="21">
        <f>'TSAS Demand Revenues (7)'!G262</f>
        <v>0</v>
      </c>
      <c r="H264" s="21">
        <f>'TSAS Demand Revenues (7)'!H262</f>
        <v>0</v>
      </c>
      <c r="I264" s="21">
        <f>'TSAS Demand Revenues (7)'!I262</f>
        <v>0</v>
      </c>
      <c r="J264" s="21">
        <f>'TSAS Demand Revenues (7)'!J262</f>
        <v>0</v>
      </c>
      <c r="K264" s="21">
        <f>'TSAS Demand Revenues (7)'!K262</f>
        <v>0</v>
      </c>
      <c r="L264" s="21">
        <f>'TSAS Demand Revenues (7)'!L262</f>
        <v>0</v>
      </c>
      <c r="M264" s="21">
        <f>'TSAS Demand Revenues (7)'!M262</f>
        <v>0</v>
      </c>
      <c r="N264" s="28">
        <f>SUM(B264:M264)</f>
        <v>0</v>
      </c>
    </row>
    <row r="265" spans="1:14" s="20" customFormat="1" ht="10.199999999999999">
      <c r="A265" s="26" t="s">
        <v>20</v>
      </c>
      <c r="B265" s="33">
        <f>B260</f>
        <v>1.274E-2</v>
      </c>
      <c r="C265" s="33">
        <f t="shared" ref="C265:M265" si="92">C260</f>
        <v>1.274E-2</v>
      </c>
      <c r="D265" s="33">
        <f t="shared" si="92"/>
        <v>1.274E-2</v>
      </c>
      <c r="E265" s="33">
        <f t="shared" si="92"/>
        <v>1.274E-2</v>
      </c>
      <c r="F265" s="33">
        <f t="shared" si="92"/>
        <v>1.274E-2</v>
      </c>
      <c r="G265" s="33">
        <f t="shared" si="92"/>
        <v>1.274E-2</v>
      </c>
      <c r="H265" s="33">
        <f t="shared" si="92"/>
        <v>1.274E-2</v>
      </c>
      <c r="I265" s="33">
        <f t="shared" si="92"/>
        <v>1.274E-2</v>
      </c>
      <c r="J265" s="33">
        <f t="shared" si="92"/>
        <v>1.274E-2</v>
      </c>
      <c r="K265" s="33">
        <f t="shared" si="92"/>
        <v>1.274E-2</v>
      </c>
      <c r="L265" s="33">
        <f t="shared" si="92"/>
        <v>1.274E-2</v>
      </c>
      <c r="M265" s="33">
        <f t="shared" si="92"/>
        <v>1.274E-2</v>
      </c>
    </row>
    <row r="266" spans="1:14" s="20" customFormat="1" ht="10.199999999999999">
      <c r="A266" s="26" t="s">
        <v>17</v>
      </c>
      <c r="B266" s="21">
        <f t="shared" ref="B266:M266" si="93">B264*B265</f>
        <v>0</v>
      </c>
      <c r="C266" s="21">
        <f t="shared" si="93"/>
        <v>0</v>
      </c>
      <c r="D266" s="21">
        <f t="shared" si="93"/>
        <v>0</v>
      </c>
      <c r="E266" s="21">
        <f t="shared" si="93"/>
        <v>0</v>
      </c>
      <c r="F266" s="21">
        <f t="shared" si="93"/>
        <v>0</v>
      </c>
      <c r="G266" s="21">
        <f t="shared" si="93"/>
        <v>0</v>
      </c>
      <c r="H266" s="21">
        <f t="shared" si="93"/>
        <v>0</v>
      </c>
      <c r="I266" s="21">
        <f t="shared" si="93"/>
        <v>0</v>
      </c>
      <c r="J266" s="21">
        <f t="shared" si="93"/>
        <v>0</v>
      </c>
      <c r="K266" s="21">
        <f t="shared" si="93"/>
        <v>0</v>
      </c>
      <c r="L266" s="21">
        <f t="shared" si="93"/>
        <v>0</v>
      </c>
      <c r="M266" s="21">
        <f t="shared" si="93"/>
        <v>0</v>
      </c>
      <c r="N266" s="21">
        <f>SUM(B266:M266)</f>
        <v>0</v>
      </c>
    </row>
    <row r="267" spans="1:14" s="20" customFormat="1" ht="10.199999999999999">
      <c r="A267" s="26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</row>
    <row r="268" spans="1:14" s="20" customFormat="1" ht="10.199999999999999">
      <c r="A268" s="145" t="s">
        <v>25</v>
      </c>
      <c r="B268" s="144">
        <f>B216+B221+B226+B231+B236+B241+B261+B246+B266+B251+B256</f>
        <v>3784.4934400000002</v>
      </c>
      <c r="C268" s="144">
        <f t="shared" ref="C268:M268" si="94">C216+C221+C226+C231+C236+C241+C261+C246+C266+C251+C256</f>
        <v>3784.4934400000002</v>
      </c>
      <c r="D268" s="144">
        <f t="shared" si="94"/>
        <v>3784.4934400000002</v>
      </c>
      <c r="E268" s="144">
        <f t="shared" si="94"/>
        <v>3784.4934400000002</v>
      </c>
      <c r="F268" s="144">
        <f t="shared" si="94"/>
        <v>3784.4934400000002</v>
      </c>
      <c r="G268" s="144">
        <f t="shared" si="94"/>
        <v>3784.4934400000002</v>
      </c>
      <c r="H268" s="144">
        <f t="shared" si="94"/>
        <v>3784.4934400000002</v>
      </c>
      <c r="I268" s="144">
        <f t="shared" si="94"/>
        <v>3784.4934400000002</v>
      </c>
      <c r="J268" s="144">
        <f t="shared" si="94"/>
        <v>3784.4934400000002</v>
      </c>
      <c r="K268" s="144">
        <f t="shared" si="94"/>
        <v>3784.4934400000002</v>
      </c>
      <c r="L268" s="144">
        <f t="shared" si="94"/>
        <v>3784.4934400000002</v>
      </c>
      <c r="M268" s="144">
        <f t="shared" si="94"/>
        <v>3784.4934400000002</v>
      </c>
      <c r="N268" s="144">
        <f>SUM(B268:M268)</f>
        <v>45413.921279999988</v>
      </c>
    </row>
    <row r="269" spans="1:14">
      <c r="A269" s="145" t="s">
        <v>60</v>
      </c>
      <c r="B269" s="144">
        <f>B214+B219+B224+B229+B234+B259+B239+B244+B264+B249+B254</f>
        <v>297056</v>
      </c>
      <c r="C269" s="144">
        <f t="shared" ref="C269:M269" si="95">C214+C219+C224+C229+C234+C259+C239+C244+C264+C249+C254</f>
        <v>297056</v>
      </c>
      <c r="D269" s="144">
        <f t="shared" si="95"/>
        <v>297056</v>
      </c>
      <c r="E269" s="144">
        <f t="shared" si="95"/>
        <v>297056</v>
      </c>
      <c r="F269" s="144">
        <f t="shared" si="95"/>
        <v>297056</v>
      </c>
      <c r="G269" s="144">
        <f t="shared" si="95"/>
        <v>297056</v>
      </c>
      <c r="H269" s="144">
        <f t="shared" si="95"/>
        <v>297056</v>
      </c>
      <c r="I269" s="144">
        <f t="shared" si="95"/>
        <v>297056</v>
      </c>
      <c r="J269" s="144">
        <f t="shared" si="95"/>
        <v>297056</v>
      </c>
      <c r="K269" s="144">
        <f t="shared" si="95"/>
        <v>297056</v>
      </c>
      <c r="L269" s="144">
        <f t="shared" si="95"/>
        <v>297056</v>
      </c>
      <c r="M269" s="144">
        <f t="shared" si="95"/>
        <v>297056</v>
      </c>
      <c r="N269" s="144">
        <f>SUM(B269:M269)</f>
        <v>3564672</v>
      </c>
    </row>
    <row r="270" spans="1:14">
      <c r="A270" s="25">
        <f>+A210+1</f>
        <v>2018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</row>
    <row r="271" spans="1:14" ht="13.2">
      <c r="A271" s="23" t="s">
        <v>19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>
      <c r="A273" s="402" t="s">
        <v>359</v>
      </c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>
      <c r="A274" s="27" t="s">
        <v>16</v>
      </c>
      <c r="B274" s="28">
        <f>'TSAS Demand Revenues (7)'!B272</f>
        <v>5000</v>
      </c>
      <c r="C274" s="28">
        <f>'TSAS Demand Revenues (7)'!C272</f>
        <v>5000</v>
      </c>
      <c r="D274" s="28">
        <f>'TSAS Demand Revenues (7)'!D272</f>
        <v>5000</v>
      </c>
      <c r="E274" s="28">
        <f>'TSAS Demand Revenues (7)'!E272</f>
        <v>5000</v>
      </c>
      <c r="F274" s="28">
        <f>'TSAS Demand Revenues (7)'!F272</f>
        <v>5000</v>
      </c>
      <c r="G274" s="28">
        <f>'TSAS Demand Revenues (7)'!G272</f>
        <v>5000</v>
      </c>
      <c r="H274" s="28">
        <f>'TSAS Demand Revenues (7)'!H272</f>
        <v>5000</v>
      </c>
      <c r="I274" s="28">
        <f>'TSAS Demand Revenues (7)'!I272</f>
        <v>5000</v>
      </c>
      <c r="J274" s="28">
        <f>'TSAS Demand Revenues (7)'!J272</f>
        <v>5000</v>
      </c>
      <c r="K274" s="28">
        <f>'TSAS Demand Revenues (7)'!K272</f>
        <v>5000</v>
      </c>
      <c r="L274" s="28">
        <f>'TSAS Demand Revenues (7)'!L272</f>
        <v>5000</v>
      </c>
      <c r="M274" s="28">
        <f>'TSAS Demand Revenues (7)'!M272</f>
        <v>5000</v>
      </c>
      <c r="N274" s="28">
        <f>SUM(B274:M274)</f>
        <v>60000</v>
      </c>
    </row>
    <row r="275" spans="1:14">
      <c r="A275" s="26" t="s">
        <v>20</v>
      </c>
      <c r="B275" s="32">
        <f>B260</f>
        <v>1.274E-2</v>
      </c>
      <c r="C275" s="32">
        <f t="shared" ref="C275:M275" si="96">+$B$14</f>
        <v>1.274E-2</v>
      </c>
      <c r="D275" s="32">
        <f t="shared" si="96"/>
        <v>1.274E-2</v>
      </c>
      <c r="E275" s="32">
        <f t="shared" si="96"/>
        <v>1.274E-2</v>
      </c>
      <c r="F275" s="32">
        <f t="shared" si="96"/>
        <v>1.274E-2</v>
      </c>
      <c r="G275" s="32">
        <f t="shared" si="96"/>
        <v>1.274E-2</v>
      </c>
      <c r="H275" s="32">
        <f t="shared" si="96"/>
        <v>1.274E-2</v>
      </c>
      <c r="I275" s="32">
        <f t="shared" si="96"/>
        <v>1.274E-2</v>
      </c>
      <c r="J275" s="32">
        <f t="shared" si="96"/>
        <v>1.274E-2</v>
      </c>
      <c r="K275" s="32">
        <f t="shared" si="96"/>
        <v>1.274E-2</v>
      </c>
      <c r="L275" s="32">
        <f t="shared" si="96"/>
        <v>1.274E-2</v>
      </c>
      <c r="M275" s="32">
        <f t="shared" si="96"/>
        <v>1.274E-2</v>
      </c>
      <c r="N275" s="20"/>
    </row>
    <row r="276" spans="1:14">
      <c r="A276" s="26" t="s">
        <v>17</v>
      </c>
      <c r="B276" s="21">
        <f t="shared" ref="B276:M276" si="97">B274*B275</f>
        <v>63.699999999999996</v>
      </c>
      <c r="C276" s="21">
        <f t="shared" si="97"/>
        <v>63.699999999999996</v>
      </c>
      <c r="D276" s="21">
        <f t="shared" si="97"/>
        <v>63.699999999999996</v>
      </c>
      <c r="E276" s="21">
        <f t="shared" si="97"/>
        <v>63.699999999999996</v>
      </c>
      <c r="F276" s="21">
        <f t="shared" si="97"/>
        <v>63.699999999999996</v>
      </c>
      <c r="G276" s="21">
        <f t="shared" si="97"/>
        <v>63.699999999999996</v>
      </c>
      <c r="H276" s="21">
        <f t="shared" si="97"/>
        <v>63.699999999999996</v>
      </c>
      <c r="I276" s="21">
        <f t="shared" si="97"/>
        <v>63.699999999999996</v>
      </c>
      <c r="J276" s="21">
        <f t="shared" si="97"/>
        <v>63.699999999999996</v>
      </c>
      <c r="K276" s="21">
        <f t="shared" si="97"/>
        <v>63.699999999999996</v>
      </c>
      <c r="L276" s="21">
        <f t="shared" si="97"/>
        <v>63.699999999999996</v>
      </c>
      <c r="M276" s="21">
        <f t="shared" si="97"/>
        <v>63.699999999999996</v>
      </c>
      <c r="N276" s="21">
        <f>SUM(B276:M276)</f>
        <v>764.40000000000009</v>
      </c>
    </row>
    <row r="277" spans="1:14" ht="6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>
      <c r="A278" s="26" t="s">
        <v>21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>
      <c r="A279" s="27" t="s">
        <v>16</v>
      </c>
      <c r="B279" s="28">
        <f>'TSAS Demand Revenues (7)'!B277</f>
        <v>0</v>
      </c>
      <c r="C279" s="28">
        <f>'TSAS Demand Revenues (7)'!C277</f>
        <v>0</v>
      </c>
      <c r="D279" s="28">
        <f>'TSAS Demand Revenues (7)'!D277</f>
        <v>0</v>
      </c>
      <c r="E279" s="28">
        <f>'TSAS Demand Revenues (7)'!E277</f>
        <v>0</v>
      </c>
      <c r="F279" s="28">
        <f>'TSAS Demand Revenues (7)'!F277</f>
        <v>0</v>
      </c>
      <c r="G279" s="28">
        <f>'TSAS Demand Revenues (7)'!G277</f>
        <v>0</v>
      </c>
      <c r="H279" s="28">
        <f>'TSAS Demand Revenues (7)'!H277</f>
        <v>0</v>
      </c>
      <c r="I279" s="28">
        <f>'TSAS Demand Revenues (7)'!I277</f>
        <v>0</v>
      </c>
      <c r="J279" s="28">
        <f>'TSAS Demand Revenues (7)'!J277</f>
        <v>0</v>
      </c>
      <c r="K279" s="28">
        <f>'TSAS Demand Revenues (7)'!K277</f>
        <v>0</v>
      </c>
      <c r="L279" s="28">
        <f>'TSAS Demand Revenues (7)'!L277</f>
        <v>0</v>
      </c>
      <c r="M279" s="28">
        <f>'TSAS Demand Revenues (7)'!M277</f>
        <v>0</v>
      </c>
      <c r="N279" s="28">
        <f>SUM(B279:M279)</f>
        <v>0</v>
      </c>
    </row>
    <row r="280" spans="1:14">
      <c r="A280" s="26" t="s">
        <v>20</v>
      </c>
      <c r="B280" s="32">
        <f>B275</f>
        <v>1.274E-2</v>
      </c>
      <c r="C280" s="32">
        <f t="shared" ref="C280:M280" si="98">+$B$19</f>
        <v>1.274E-2</v>
      </c>
      <c r="D280" s="32">
        <f t="shared" si="98"/>
        <v>1.274E-2</v>
      </c>
      <c r="E280" s="32">
        <f t="shared" si="98"/>
        <v>1.274E-2</v>
      </c>
      <c r="F280" s="32">
        <f t="shared" si="98"/>
        <v>1.274E-2</v>
      </c>
      <c r="G280" s="32">
        <f t="shared" si="98"/>
        <v>1.274E-2</v>
      </c>
      <c r="H280" s="32">
        <f t="shared" si="98"/>
        <v>1.274E-2</v>
      </c>
      <c r="I280" s="32">
        <f t="shared" si="98"/>
        <v>1.274E-2</v>
      </c>
      <c r="J280" s="32">
        <f t="shared" si="98"/>
        <v>1.274E-2</v>
      </c>
      <c r="K280" s="32">
        <f t="shared" si="98"/>
        <v>1.274E-2</v>
      </c>
      <c r="L280" s="32">
        <f t="shared" si="98"/>
        <v>1.274E-2</v>
      </c>
      <c r="M280" s="32">
        <f t="shared" si="98"/>
        <v>1.274E-2</v>
      </c>
      <c r="N280" s="20"/>
    </row>
    <row r="281" spans="1:14">
      <c r="A281" s="26" t="s">
        <v>17</v>
      </c>
      <c r="B281" s="21">
        <f t="shared" ref="B281:M281" si="99">B279*B280</f>
        <v>0</v>
      </c>
      <c r="C281" s="21">
        <f t="shared" si="99"/>
        <v>0</v>
      </c>
      <c r="D281" s="21">
        <f t="shared" si="99"/>
        <v>0</v>
      </c>
      <c r="E281" s="21">
        <f t="shared" si="99"/>
        <v>0</v>
      </c>
      <c r="F281" s="21">
        <f t="shared" si="99"/>
        <v>0</v>
      </c>
      <c r="G281" s="21">
        <f t="shared" si="99"/>
        <v>0</v>
      </c>
      <c r="H281" s="21">
        <f t="shared" si="99"/>
        <v>0</v>
      </c>
      <c r="I281" s="21">
        <f t="shared" si="99"/>
        <v>0</v>
      </c>
      <c r="J281" s="21">
        <f t="shared" si="99"/>
        <v>0</v>
      </c>
      <c r="K281" s="21">
        <f t="shared" si="99"/>
        <v>0</v>
      </c>
      <c r="L281" s="21">
        <f t="shared" si="99"/>
        <v>0</v>
      </c>
      <c r="M281" s="21">
        <f t="shared" si="99"/>
        <v>0</v>
      </c>
      <c r="N281" s="21">
        <f>SUM(B281:M281)</f>
        <v>0</v>
      </c>
    </row>
    <row r="282" spans="1:14" ht="4.5" customHeight="1">
      <c r="A282" s="20"/>
      <c r="B282" s="21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>
      <c r="A283" s="26" t="s">
        <v>22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>
      <c r="A284" s="27" t="s">
        <v>16</v>
      </c>
      <c r="B284" s="28">
        <f>'TSAS Demand Revenues (7)'!B282</f>
        <v>0</v>
      </c>
      <c r="C284" s="28">
        <f>'TSAS Demand Revenues (7)'!C282</f>
        <v>0</v>
      </c>
      <c r="D284" s="28">
        <f>'TSAS Demand Revenues (7)'!D282</f>
        <v>0</v>
      </c>
      <c r="E284" s="28">
        <f>'TSAS Demand Revenues (7)'!E282</f>
        <v>0</v>
      </c>
      <c r="F284" s="28">
        <f>'TSAS Demand Revenues (7)'!F282</f>
        <v>0</v>
      </c>
      <c r="G284" s="28">
        <f>'TSAS Demand Revenues (7)'!G282</f>
        <v>0</v>
      </c>
      <c r="H284" s="28">
        <f>'TSAS Demand Revenues (7)'!H282</f>
        <v>0</v>
      </c>
      <c r="I284" s="28">
        <f>'TSAS Demand Revenues (7)'!I282</f>
        <v>0</v>
      </c>
      <c r="J284" s="28">
        <f>'TSAS Demand Revenues (7)'!J282</f>
        <v>0</v>
      </c>
      <c r="K284" s="28">
        <f>'TSAS Demand Revenues (7)'!K282</f>
        <v>0</v>
      </c>
      <c r="L284" s="28">
        <f>'TSAS Demand Revenues (7)'!L282</f>
        <v>0</v>
      </c>
      <c r="M284" s="28">
        <f>'TSAS Demand Revenues (7)'!M282</f>
        <v>0</v>
      </c>
      <c r="N284" s="28">
        <f>SUM(B284:M284)</f>
        <v>0</v>
      </c>
    </row>
    <row r="285" spans="1:14">
      <c r="A285" s="26" t="s">
        <v>20</v>
      </c>
      <c r="B285" s="33">
        <f>B280</f>
        <v>1.274E-2</v>
      </c>
      <c r="C285" s="33">
        <f t="shared" ref="C285:M285" si="100">+$B$24</f>
        <v>1.274E-2</v>
      </c>
      <c r="D285" s="33">
        <f t="shared" si="100"/>
        <v>1.274E-2</v>
      </c>
      <c r="E285" s="33">
        <f t="shared" si="100"/>
        <v>1.274E-2</v>
      </c>
      <c r="F285" s="33">
        <f t="shared" si="100"/>
        <v>1.274E-2</v>
      </c>
      <c r="G285" s="33">
        <f t="shared" si="100"/>
        <v>1.274E-2</v>
      </c>
      <c r="H285" s="33">
        <f t="shared" si="100"/>
        <v>1.274E-2</v>
      </c>
      <c r="I285" s="33">
        <f t="shared" si="100"/>
        <v>1.274E-2</v>
      </c>
      <c r="J285" s="33">
        <f t="shared" si="100"/>
        <v>1.274E-2</v>
      </c>
      <c r="K285" s="33">
        <f t="shared" si="100"/>
        <v>1.274E-2</v>
      </c>
      <c r="L285" s="33">
        <f t="shared" si="100"/>
        <v>1.274E-2</v>
      </c>
      <c r="M285" s="33">
        <f t="shared" si="100"/>
        <v>1.274E-2</v>
      </c>
      <c r="N285" s="20"/>
    </row>
    <row r="286" spans="1:14">
      <c r="A286" s="26" t="s">
        <v>17</v>
      </c>
      <c r="B286" s="21">
        <f t="shared" ref="B286:M286" si="101">B284*B285</f>
        <v>0</v>
      </c>
      <c r="C286" s="21">
        <f t="shared" si="101"/>
        <v>0</v>
      </c>
      <c r="D286" s="21">
        <f t="shared" si="101"/>
        <v>0</v>
      </c>
      <c r="E286" s="21">
        <f t="shared" si="101"/>
        <v>0</v>
      </c>
      <c r="F286" s="21">
        <f t="shared" si="101"/>
        <v>0</v>
      </c>
      <c r="G286" s="21">
        <f t="shared" si="101"/>
        <v>0</v>
      </c>
      <c r="H286" s="21">
        <f t="shared" si="101"/>
        <v>0</v>
      </c>
      <c r="I286" s="21">
        <f t="shared" si="101"/>
        <v>0</v>
      </c>
      <c r="J286" s="21">
        <f t="shared" si="101"/>
        <v>0</v>
      </c>
      <c r="K286" s="21">
        <f t="shared" si="101"/>
        <v>0</v>
      </c>
      <c r="L286" s="21">
        <f t="shared" si="101"/>
        <v>0</v>
      </c>
      <c r="M286" s="21">
        <f t="shared" si="101"/>
        <v>0</v>
      </c>
      <c r="N286" s="21">
        <f>SUM(B286:M286)</f>
        <v>0</v>
      </c>
    </row>
    <row r="287" spans="1:14" ht="6" customHeight="1">
      <c r="A287" s="20"/>
      <c r="B287" s="21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21" customHeight="1">
      <c r="A288" s="402" t="s">
        <v>23</v>
      </c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>
      <c r="A289" s="27" t="s">
        <v>16</v>
      </c>
      <c r="B289" s="28">
        <f>'TSAS Demand Revenues (7)'!B287</f>
        <v>37056</v>
      </c>
      <c r="C289" s="28">
        <f>'TSAS Demand Revenues (7)'!C287</f>
        <v>37056</v>
      </c>
      <c r="D289" s="28">
        <f>'TSAS Demand Revenues (7)'!D287</f>
        <v>37056</v>
      </c>
      <c r="E289" s="28">
        <f>'TSAS Demand Revenues (7)'!E287</f>
        <v>37056</v>
      </c>
      <c r="F289" s="28">
        <f>'TSAS Demand Revenues (7)'!F287</f>
        <v>37056</v>
      </c>
      <c r="G289" s="28">
        <f>'TSAS Demand Revenues (7)'!G287</f>
        <v>37056</v>
      </c>
      <c r="H289" s="28">
        <f>'TSAS Demand Revenues (7)'!H287</f>
        <v>37056</v>
      </c>
      <c r="I289" s="28">
        <f>'TSAS Demand Revenues (7)'!I287</f>
        <v>37056</v>
      </c>
      <c r="J289" s="28">
        <f>'TSAS Demand Revenues (7)'!J287</f>
        <v>37056</v>
      </c>
      <c r="K289" s="28">
        <f>'TSAS Demand Revenues (7)'!K287</f>
        <v>37056</v>
      </c>
      <c r="L289" s="28">
        <f>'TSAS Demand Revenues (7)'!L287</f>
        <v>37056</v>
      </c>
      <c r="M289" s="28">
        <f>'TSAS Demand Revenues (7)'!M287</f>
        <v>37056</v>
      </c>
      <c r="N289" s="28">
        <f>SUM(B289:M289)</f>
        <v>444672</v>
      </c>
    </row>
    <row r="290" spans="1:14">
      <c r="A290" s="26" t="s">
        <v>20</v>
      </c>
      <c r="B290" s="33">
        <f t="shared" ref="B290:M290" si="102">+$B$29</f>
        <v>1.274E-2</v>
      </c>
      <c r="C290" s="33">
        <f t="shared" si="102"/>
        <v>1.274E-2</v>
      </c>
      <c r="D290" s="33">
        <f t="shared" si="102"/>
        <v>1.274E-2</v>
      </c>
      <c r="E290" s="33">
        <f t="shared" si="102"/>
        <v>1.274E-2</v>
      </c>
      <c r="F290" s="33">
        <f t="shared" si="102"/>
        <v>1.274E-2</v>
      </c>
      <c r="G290" s="33">
        <f t="shared" si="102"/>
        <v>1.274E-2</v>
      </c>
      <c r="H290" s="33">
        <f t="shared" si="102"/>
        <v>1.274E-2</v>
      </c>
      <c r="I290" s="33">
        <f t="shared" si="102"/>
        <v>1.274E-2</v>
      </c>
      <c r="J290" s="33">
        <f t="shared" si="102"/>
        <v>1.274E-2</v>
      </c>
      <c r="K290" s="33">
        <f t="shared" si="102"/>
        <v>1.274E-2</v>
      </c>
      <c r="L290" s="33">
        <f t="shared" si="102"/>
        <v>1.274E-2</v>
      </c>
      <c r="M290" s="33">
        <f t="shared" si="102"/>
        <v>1.274E-2</v>
      </c>
      <c r="N290" s="20"/>
    </row>
    <row r="291" spans="1:14">
      <c r="A291" s="26" t="s">
        <v>17</v>
      </c>
      <c r="B291" s="21">
        <f t="shared" ref="B291:M291" si="103">B289*B290</f>
        <v>472.09343999999999</v>
      </c>
      <c r="C291" s="21">
        <f t="shared" si="103"/>
        <v>472.09343999999999</v>
      </c>
      <c r="D291" s="21">
        <f t="shared" si="103"/>
        <v>472.09343999999999</v>
      </c>
      <c r="E291" s="21">
        <f t="shared" si="103"/>
        <v>472.09343999999999</v>
      </c>
      <c r="F291" s="21">
        <f t="shared" si="103"/>
        <v>472.09343999999999</v>
      </c>
      <c r="G291" s="21">
        <f t="shared" si="103"/>
        <v>472.09343999999999</v>
      </c>
      <c r="H291" s="21">
        <f t="shared" si="103"/>
        <v>472.09343999999999</v>
      </c>
      <c r="I291" s="21">
        <f t="shared" si="103"/>
        <v>472.09343999999999</v>
      </c>
      <c r="J291" s="21">
        <f t="shared" si="103"/>
        <v>472.09343999999999</v>
      </c>
      <c r="K291" s="21">
        <f t="shared" si="103"/>
        <v>472.09343999999999</v>
      </c>
      <c r="L291" s="21">
        <f t="shared" si="103"/>
        <v>472.09343999999999</v>
      </c>
      <c r="M291" s="21">
        <f t="shared" si="103"/>
        <v>472.09343999999999</v>
      </c>
      <c r="N291" s="21">
        <f>SUM(B291:M291)</f>
        <v>5665.1212799999994</v>
      </c>
    </row>
    <row r="292" spans="1:14" ht="4.5" customHeight="1">
      <c r="A292" s="20"/>
      <c r="B292" s="2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>
      <c r="A293" s="402" t="s">
        <v>24</v>
      </c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>
      <c r="A294" s="27" t="s">
        <v>16</v>
      </c>
      <c r="B294" s="28">
        <f>'TSAS Demand Revenues (7)'!B292</f>
        <v>62000</v>
      </c>
      <c r="C294" s="28">
        <f>'TSAS Demand Revenues (7)'!C292</f>
        <v>62000</v>
      </c>
      <c r="D294" s="28">
        <f>'TSAS Demand Revenues (7)'!D292</f>
        <v>62000</v>
      </c>
      <c r="E294" s="28">
        <f>'TSAS Demand Revenues (7)'!E292</f>
        <v>62000</v>
      </c>
      <c r="F294" s="28">
        <f>'TSAS Demand Revenues (7)'!F292</f>
        <v>62000</v>
      </c>
      <c r="G294" s="28">
        <f>'TSAS Demand Revenues (7)'!G292</f>
        <v>62000</v>
      </c>
      <c r="H294" s="28">
        <f>'TSAS Demand Revenues (7)'!H292</f>
        <v>62000</v>
      </c>
      <c r="I294" s="28">
        <f>'TSAS Demand Revenues (7)'!I292</f>
        <v>62000</v>
      </c>
      <c r="J294" s="28">
        <f>'TSAS Demand Revenues (7)'!J292</f>
        <v>62000</v>
      </c>
      <c r="K294" s="28">
        <f>'TSAS Demand Revenues (7)'!K292</f>
        <v>62000</v>
      </c>
      <c r="L294" s="28">
        <f>'TSAS Demand Revenues (7)'!L292</f>
        <v>62000</v>
      </c>
      <c r="M294" s="28">
        <f>'TSAS Demand Revenues (7)'!M292</f>
        <v>62000</v>
      </c>
      <c r="N294" s="28">
        <f>SUM(B294:M294)</f>
        <v>744000</v>
      </c>
    </row>
    <row r="295" spans="1:14">
      <c r="A295" s="26" t="s">
        <v>20</v>
      </c>
      <c r="B295" s="33">
        <f>B290</f>
        <v>1.274E-2</v>
      </c>
      <c r="C295" s="33">
        <f t="shared" ref="C295:M295" si="104">+$B$34</f>
        <v>1.274E-2</v>
      </c>
      <c r="D295" s="33">
        <f t="shared" si="104"/>
        <v>1.274E-2</v>
      </c>
      <c r="E295" s="33">
        <f t="shared" si="104"/>
        <v>1.274E-2</v>
      </c>
      <c r="F295" s="33">
        <f t="shared" si="104"/>
        <v>1.274E-2</v>
      </c>
      <c r="G295" s="33">
        <f t="shared" si="104"/>
        <v>1.274E-2</v>
      </c>
      <c r="H295" s="33">
        <f t="shared" si="104"/>
        <v>1.274E-2</v>
      </c>
      <c r="I295" s="33">
        <f t="shared" si="104"/>
        <v>1.274E-2</v>
      </c>
      <c r="J295" s="33">
        <f t="shared" si="104"/>
        <v>1.274E-2</v>
      </c>
      <c r="K295" s="33">
        <f t="shared" si="104"/>
        <v>1.274E-2</v>
      </c>
      <c r="L295" s="33">
        <f t="shared" si="104"/>
        <v>1.274E-2</v>
      </c>
      <c r="M295" s="33">
        <f t="shared" si="104"/>
        <v>1.274E-2</v>
      </c>
      <c r="N295" s="20"/>
    </row>
    <row r="296" spans="1:14">
      <c r="A296" s="26" t="s">
        <v>17</v>
      </c>
      <c r="B296" s="21">
        <f t="shared" ref="B296:M296" si="105">B294*B295</f>
        <v>789.88</v>
      </c>
      <c r="C296" s="21">
        <f t="shared" si="105"/>
        <v>789.88</v>
      </c>
      <c r="D296" s="21">
        <f t="shared" si="105"/>
        <v>789.88</v>
      </c>
      <c r="E296" s="21">
        <f t="shared" si="105"/>
        <v>789.88</v>
      </c>
      <c r="F296" s="21">
        <f t="shared" si="105"/>
        <v>789.88</v>
      </c>
      <c r="G296" s="21">
        <f t="shared" si="105"/>
        <v>789.88</v>
      </c>
      <c r="H296" s="21">
        <f t="shared" si="105"/>
        <v>789.88</v>
      </c>
      <c r="I296" s="21">
        <f t="shared" si="105"/>
        <v>789.88</v>
      </c>
      <c r="J296" s="21">
        <f t="shared" si="105"/>
        <v>789.88</v>
      </c>
      <c r="K296" s="21">
        <f t="shared" si="105"/>
        <v>789.88</v>
      </c>
      <c r="L296" s="21">
        <f t="shared" si="105"/>
        <v>789.88</v>
      </c>
      <c r="M296" s="21">
        <f t="shared" si="105"/>
        <v>789.88</v>
      </c>
      <c r="N296" s="21">
        <f>SUM(B296:M296)</f>
        <v>9478.56</v>
      </c>
    </row>
    <row r="297" spans="1:14" ht="5.25" customHeight="1">
      <c r="A297" s="26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</row>
    <row r="298" spans="1:14">
      <c r="A298" s="402" t="s">
        <v>116</v>
      </c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>
      <c r="A299" s="27" t="s">
        <v>16</v>
      </c>
      <c r="B299" s="28">
        <f>'TSAS Demand Revenues (7)'!B297</f>
        <v>40000</v>
      </c>
      <c r="C299" s="28">
        <f>'TSAS Demand Revenues (7)'!C297</f>
        <v>40000</v>
      </c>
      <c r="D299" s="28">
        <f>'TSAS Demand Revenues (7)'!D297</f>
        <v>40000</v>
      </c>
      <c r="E299" s="28">
        <f>'TSAS Demand Revenues (7)'!E297</f>
        <v>40000</v>
      </c>
      <c r="F299" s="28">
        <f>'TSAS Demand Revenues (7)'!F297</f>
        <v>40000</v>
      </c>
      <c r="G299" s="28">
        <f>'TSAS Demand Revenues (7)'!G297</f>
        <v>40000</v>
      </c>
      <c r="H299" s="28">
        <f>'TSAS Demand Revenues (7)'!H297</f>
        <v>40000</v>
      </c>
      <c r="I299" s="28">
        <f>'TSAS Demand Revenues (7)'!I297</f>
        <v>40000</v>
      </c>
      <c r="J299" s="28">
        <f>'TSAS Demand Revenues (7)'!J297</f>
        <v>40000</v>
      </c>
      <c r="K299" s="28">
        <f>'TSAS Demand Revenues (7)'!K297</f>
        <v>40000</v>
      </c>
      <c r="L299" s="28">
        <f>'TSAS Demand Revenues (7)'!L297</f>
        <v>40000</v>
      </c>
      <c r="M299" s="28">
        <f>'TSAS Demand Revenues (7)'!M297</f>
        <v>40000</v>
      </c>
      <c r="N299" s="28">
        <f>SUM(B299:M299)</f>
        <v>480000</v>
      </c>
    </row>
    <row r="300" spans="1:14">
      <c r="A300" s="26" t="s">
        <v>20</v>
      </c>
      <c r="B300" s="33">
        <f>B295</f>
        <v>1.274E-2</v>
      </c>
      <c r="C300" s="33">
        <f t="shared" ref="C300:M300" si="106">B300</f>
        <v>1.274E-2</v>
      </c>
      <c r="D300" s="33">
        <f t="shared" si="106"/>
        <v>1.274E-2</v>
      </c>
      <c r="E300" s="33">
        <f t="shared" si="106"/>
        <v>1.274E-2</v>
      </c>
      <c r="F300" s="33">
        <f t="shared" si="106"/>
        <v>1.274E-2</v>
      </c>
      <c r="G300" s="33">
        <f t="shared" si="106"/>
        <v>1.274E-2</v>
      </c>
      <c r="H300" s="33">
        <f t="shared" si="106"/>
        <v>1.274E-2</v>
      </c>
      <c r="I300" s="33">
        <f t="shared" si="106"/>
        <v>1.274E-2</v>
      </c>
      <c r="J300" s="33">
        <f t="shared" si="106"/>
        <v>1.274E-2</v>
      </c>
      <c r="K300" s="33">
        <f t="shared" si="106"/>
        <v>1.274E-2</v>
      </c>
      <c r="L300" s="33">
        <f t="shared" si="106"/>
        <v>1.274E-2</v>
      </c>
      <c r="M300" s="33">
        <f t="shared" si="106"/>
        <v>1.274E-2</v>
      </c>
      <c r="N300" s="20"/>
    </row>
    <row r="301" spans="1:14">
      <c r="A301" s="26" t="s">
        <v>17</v>
      </c>
      <c r="B301" s="21">
        <f t="shared" ref="B301:M301" si="107">B299*B300</f>
        <v>509.59999999999997</v>
      </c>
      <c r="C301" s="21">
        <f t="shared" si="107"/>
        <v>509.59999999999997</v>
      </c>
      <c r="D301" s="21">
        <f t="shared" si="107"/>
        <v>509.59999999999997</v>
      </c>
      <c r="E301" s="21">
        <f t="shared" si="107"/>
        <v>509.59999999999997</v>
      </c>
      <c r="F301" s="21">
        <f t="shared" si="107"/>
        <v>509.59999999999997</v>
      </c>
      <c r="G301" s="21">
        <f t="shared" si="107"/>
        <v>509.59999999999997</v>
      </c>
      <c r="H301" s="21">
        <f t="shared" si="107"/>
        <v>509.59999999999997</v>
      </c>
      <c r="I301" s="21">
        <f t="shared" si="107"/>
        <v>509.59999999999997</v>
      </c>
      <c r="J301" s="21">
        <f t="shared" si="107"/>
        <v>509.59999999999997</v>
      </c>
      <c r="K301" s="21">
        <f t="shared" si="107"/>
        <v>509.59999999999997</v>
      </c>
      <c r="L301" s="21">
        <f t="shared" si="107"/>
        <v>509.59999999999997</v>
      </c>
      <c r="M301" s="21">
        <f t="shared" si="107"/>
        <v>509.59999999999997</v>
      </c>
      <c r="N301" s="21">
        <f>SUM(B301:M301)</f>
        <v>6115.2000000000007</v>
      </c>
    </row>
    <row r="302" spans="1:14" ht="13.5" customHeight="1">
      <c r="A302" s="26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s="20" customFormat="1" ht="15" customHeight="1">
      <c r="A303" s="402" t="s">
        <v>237</v>
      </c>
    </row>
    <row r="304" spans="1:14" s="20" customFormat="1" ht="10.199999999999999">
      <c r="A304" s="27" t="s">
        <v>16</v>
      </c>
      <c r="B304" s="28">
        <f>'TSAS Demand Revenues (7)'!B302</f>
        <v>3000</v>
      </c>
      <c r="C304" s="28">
        <f>'TSAS Demand Revenues (7)'!C302</f>
        <v>3000</v>
      </c>
      <c r="D304" s="28">
        <f>'TSAS Demand Revenues (7)'!D302</f>
        <v>3000</v>
      </c>
      <c r="E304" s="28">
        <f>'TSAS Demand Revenues (7)'!E302</f>
        <v>3000</v>
      </c>
      <c r="F304" s="28">
        <f>'TSAS Demand Revenues (7)'!F302</f>
        <v>3000</v>
      </c>
      <c r="G304" s="28">
        <f>'TSAS Demand Revenues (7)'!G302</f>
        <v>3000</v>
      </c>
      <c r="H304" s="28">
        <f>'TSAS Demand Revenues (7)'!H302</f>
        <v>3000</v>
      </c>
      <c r="I304" s="28">
        <f>'TSAS Demand Revenues (7)'!I302</f>
        <v>3000</v>
      </c>
      <c r="J304" s="28">
        <f>'TSAS Demand Revenues (7)'!J302</f>
        <v>3000</v>
      </c>
      <c r="K304" s="28">
        <f>'TSAS Demand Revenues (7)'!K302</f>
        <v>3000</v>
      </c>
      <c r="L304" s="28">
        <f>'TSAS Demand Revenues (7)'!L302</f>
        <v>3000</v>
      </c>
      <c r="M304" s="28">
        <f>'TSAS Demand Revenues (7)'!M302</f>
        <v>3000</v>
      </c>
      <c r="N304" s="28">
        <f>SUM(B304:M304)</f>
        <v>36000</v>
      </c>
    </row>
    <row r="305" spans="1:14">
      <c r="A305" s="26" t="s">
        <v>20</v>
      </c>
      <c r="B305" s="33">
        <f>B300</f>
        <v>1.274E-2</v>
      </c>
      <c r="C305" s="33">
        <f t="shared" ref="C305:M305" si="108">B305</f>
        <v>1.274E-2</v>
      </c>
      <c r="D305" s="33">
        <f t="shared" si="108"/>
        <v>1.274E-2</v>
      </c>
      <c r="E305" s="33">
        <f t="shared" si="108"/>
        <v>1.274E-2</v>
      </c>
      <c r="F305" s="33">
        <f t="shared" si="108"/>
        <v>1.274E-2</v>
      </c>
      <c r="G305" s="33">
        <f t="shared" si="108"/>
        <v>1.274E-2</v>
      </c>
      <c r="H305" s="33">
        <f t="shared" si="108"/>
        <v>1.274E-2</v>
      </c>
      <c r="I305" s="33">
        <f t="shared" si="108"/>
        <v>1.274E-2</v>
      </c>
      <c r="J305" s="33">
        <f t="shared" si="108"/>
        <v>1.274E-2</v>
      </c>
      <c r="K305" s="33">
        <f t="shared" si="108"/>
        <v>1.274E-2</v>
      </c>
      <c r="L305" s="33">
        <f t="shared" si="108"/>
        <v>1.274E-2</v>
      </c>
      <c r="M305" s="33">
        <f t="shared" si="108"/>
        <v>1.274E-2</v>
      </c>
      <c r="N305" s="20"/>
    </row>
    <row r="306" spans="1:14">
      <c r="A306" s="26" t="s">
        <v>17</v>
      </c>
      <c r="B306" s="21">
        <f t="shared" ref="B306:M306" si="109">B304*B305</f>
        <v>38.22</v>
      </c>
      <c r="C306" s="21">
        <f t="shared" si="109"/>
        <v>38.22</v>
      </c>
      <c r="D306" s="21">
        <f t="shared" si="109"/>
        <v>38.22</v>
      </c>
      <c r="E306" s="21">
        <f t="shared" si="109"/>
        <v>38.22</v>
      </c>
      <c r="F306" s="21">
        <f t="shared" si="109"/>
        <v>38.22</v>
      </c>
      <c r="G306" s="21">
        <f t="shared" si="109"/>
        <v>38.22</v>
      </c>
      <c r="H306" s="21">
        <f t="shared" si="109"/>
        <v>38.22</v>
      </c>
      <c r="I306" s="21">
        <f t="shared" si="109"/>
        <v>38.22</v>
      </c>
      <c r="J306" s="21">
        <f t="shared" si="109"/>
        <v>38.22</v>
      </c>
      <c r="K306" s="21">
        <f t="shared" si="109"/>
        <v>38.22</v>
      </c>
      <c r="L306" s="21">
        <f t="shared" si="109"/>
        <v>38.22</v>
      </c>
      <c r="M306" s="21">
        <f t="shared" si="109"/>
        <v>38.22</v>
      </c>
      <c r="N306" s="21">
        <f>SUM(B306:M306)</f>
        <v>458.6400000000001</v>
      </c>
    </row>
    <row r="307" spans="1:14" ht="6" customHeight="1">
      <c r="A307" s="26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</row>
    <row r="308" spans="1:14">
      <c r="A308" s="402" t="s">
        <v>179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>
      <c r="A309" s="27" t="s">
        <v>16</v>
      </c>
      <c r="B309" s="28">
        <f>'TSAS Demand Revenues (7)'!B307</f>
        <v>0</v>
      </c>
      <c r="C309" s="28">
        <f>'TSAS Demand Revenues (7)'!C307</f>
        <v>0</v>
      </c>
      <c r="D309" s="28">
        <f>'TSAS Demand Revenues (7)'!D307</f>
        <v>0</v>
      </c>
      <c r="E309" s="28">
        <f>'TSAS Demand Revenues (7)'!E307</f>
        <v>0</v>
      </c>
      <c r="F309" s="28">
        <f>'TSAS Demand Revenues (7)'!F307</f>
        <v>0</v>
      </c>
      <c r="G309" s="28">
        <f>'TSAS Demand Revenues (7)'!G307</f>
        <v>0</v>
      </c>
      <c r="H309" s="28">
        <f>'TSAS Demand Revenues (7)'!H307</f>
        <v>0</v>
      </c>
      <c r="I309" s="28">
        <f>'TSAS Demand Revenues (7)'!I307</f>
        <v>0</v>
      </c>
      <c r="J309" s="28">
        <f>'TSAS Demand Revenues (7)'!J307</f>
        <v>0</v>
      </c>
      <c r="K309" s="28">
        <f>'TSAS Demand Revenues (7)'!K307</f>
        <v>0</v>
      </c>
      <c r="L309" s="28">
        <f>'TSAS Demand Revenues (7)'!L307</f>
        <v>0</v>
      </c>
      <c r="M309" s="28">
        <f>'TSAS Demand Revenues (7)'!M307</f>
        <v>0</v>
      </c>
      <c r="N309" s="28">
        <f>SUM(B309:M309)</f>
        <v>0</v>
      </c>
    </row>
    <row r="310" spans="1:14">
      <c r="A310" s="26" t="s">
        <v>20</v>
      </c>
      <c r="B310" s="33">
        <f>B300</f>
        <v>1.274E-2</v>
      </c>
      <c r="C310" s="33">
        <f t="shared" ref="C310:M310" si="110">C300</f>
        <v>1.274E-2</v>
      </c>
      <c r="D310" s="33">
        <f t="shared" si="110"/>
        <v>1.274E-2</v>
      </c>
      <c r="E310" s="33">
        <f t="shared" si="110"/>
        <v>1.274E-2</v>
      </c>
      <c r="F310" s="33">
        <f t="shared" si="110"/>
        <v>1.274E-2</v>
      </c>
      <c r="G310" s="33">
        <f t="shared" si="110"/>
        <v>1.274E-2</v>
      </c>
      <c r="H310" s="33">
        <f t="shared" si="110"/>
        <v>1.274E-2</v>
      </c>
      <c r="I310" s="33">
        <f t="shared" si="110"/>
        <v>1.274E-2</v>
      </c>
      <c r="J310" s="33">
        <f t="shared" si="110"/>
        <v>1.274E-2</v>
      </c>
      <c r="K310" s="33">
        <f t="shared" si="110"/>
        <v>1.274E-2</v>
      </c>
      <c r="L310" s="33">
        <f t="shared" si="110"/>
        <v>1.274E-2</v>
      </c>
      <c r="M310" s="33">
        <f t="shared" si="110"/>
        <v>1.274E-2</v>
      </c>
      <c r="N310" s="20"/>
    </row>
    <row r="311" spans="1:14">
      <c r="A311" s="26" t="s">
        <v>17</v>
      </c>
      <c r="B311" s="21">
        <f t="shared" ref="B311:M311" si="111">B309*B310</f>
        <v>0</v>
      </c>
      <c r="C311" s="21">
        <f t="shared" si="111"/>
        <v>0</v>
      </c>
      <c r="D311" s="21">
        <f t="shared" si="111"/>
        <v>0</v>
      </c>
      <c r="E311" s="21">
        <f t="shared" si="111"/>
        <v>0</v>
      </c>
      <c r="F311" s="21">
        <f t="shared" si="111"/>
        <v>0</v>
      </c>
      <c r="G311" s="21">
        <f t="shared" si="111"/>
        <v>0</v>
      </c>
      <c r="H311" s="21">
        <f t="shared" si="111"/>
        <v>0</v>
      </c>
      <c r="I311" s="21">
        <f t="shared" si="111"/>
        <v>0</v>
      </c>
      <c r="J311" s="21">
        <f t="shared" si="111"/>
        <v>0</v>
      </c>
      <c r="K311" s="21">
        <f t="shared" si="111"/>
        <v>0</v>
      </c>
      <c r="L311" s="21">
        <f t="shared" si="111"/>
        <v>0</v>
      </c>
      <c r="M311" s="21">
        <f t="shared" si="111"/>
        <v>0</v>
      </c>
      <c r="N311" s="21">
        <f>SUM(B311:M311)</f>
        <v>0</v>
      </c>
    </row>
    <row r="312" spans="1:14">
      <c r="A312" s="26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</row>
    <row r="313" spans="1:14">
      <c r="A313" s="402" t="s">
        <v>44</v>
      </c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>
      <c r="A314" s="27" t="s">
        <v>16</v>
      </c>
      <c r="B314" s="28">
        <f>'TSAS Demand Revenues (7)'!B312</f>
        <v>0</v>
      </c>
      <c r="C314" s="28">
        <f>'TSAS Demand Revenues (7)'!C312</f>
        <v>0</v>
      </c>
      <c r="D314" s="28">
        <f>'TSAS Demand Revenues (7)'!D312</f>
        <v>0</v>
      </c>
      <c r="E314" s="28">
        <f>'TSAS Demand Revenues (7)'!E312</f>
        <v>0</v>
      </c>
      <c r="F314" s="28">
        <f>'TSAS Demand Revenues (7)'!F312</f>
        <v>0</v>
      </c>
      <c r="G314" s="28">
        <f>'TSAS Demand Revenues (7)'!G312</f>
        <v>0</v>
      </c>
      <c r="H314" s="28">
        <f>'TSAS Demand Revenues (7)'!H312</f>
        <v>0</v>
      </c>
      <c r="I314" s="28">
        <f>'TSAS Demand Revenues (7)'!I312</f>
        <v>0</v>
      </c>
      <c r="J314" s="28">
        <f>'TSAS Demand Revenues (7)'!J312</f>
        <v>0</v>
      </c>
      <c r="K314" s="28">
        <f>'TSAS Demand Revenues (7)'!K312</f>
        <v>0</v>
      </c>
      <c r="L314" s="28">
        <f>'TSAS Demand Revenues (7)'!L312</f>
        <v>0</v>
      </c>
      <c r="M314" s="28">
        <f>'TSAS Demand Revenues (7)'!M312</f>
        <v>0</v>
      </c>
      <c r="N314" s="28">
        <f>SUM(B314:M314)</f>
        <v>0</v>
      </c>
    </row>
    <row r="315" spans="1:14">
      <c r="A315" s="26" t="s">
        <v>20</v>
      </c>
      <c r="B315" s="33">
        <f>B305</f>
        <v>1.274E-2</v>
      </c>
      <c r="C315" s="33">
        <f t="shared" ref="C315:M315" si="112">+$B$34</f>
        <v>1.274E-2</v>
      </c>
      <c r="D315" s="33">
        <f t="shared" si="112"/>
        <v>1.274E-2</v>
      </c>
      <c r="E315" s="33">
        <f t="shared" si="112"/>
        <v>1.274E-2</v>
      </c>
      <c r="F315" s="33">
        <f t="shared" si="112"/>
        <v>1.274E-2</v>
      </c>
      <c r="G315" s="33">
        <f t="shared" si="112"/>
        <v>1.274E-2</v>
      </c>
      <c r="H315" s="33">
        <f t="shared" si="112"/>
        <v>1.274E-2</v>
      </c>
      <c r="I315" s="33">
        <f t="shared" si="112"/>
        <v>1.274E-2</v>
      </c>
      <c r="J315" s="33">
        <f t="shared" si="112"/>
        <v>1.274E-2</v>
      </c>
      <c r="K315" s="33">
        <f t="shared" si="112"/>
        <v>1.274E-2</v>
      </c>
      <c r="L315" s="33">
        <f t="shared" si="112"/>
        <v>1.274E-2</v>
      </c>
      <c r="M315" s="33">
        <f t="shared" si="112"/>
        <v>1.274E-2</v>
      </c>
      <c r="N315" s="20"/>
    </row>
    <row r="316" spans="1:14">
      <c r="A316" s="26" t="s">
        <v>17</v>
      </c>
      <c r="B316" s="21">
        <f t="shared" ref="B316:M316" si="113">B314*B315</f>
        <v>0</v>
      </c>
      <c r="C316" s="21">
        <f t="shared" si="113"/>
        <v>0</v>
      </c>
      <c r="D316" s="21">
        <f t="shared" si="113"/>
        <v>0</v>
      </c>
      <c r="E316" s="21">
        <f t="shared" si="113"/>
        <v>0</v>
      </c>
      <c r="F316" s="21">
        <f t="shared" si="113"/>
        <v>0</v>
      </c>
      <c r="G316" s="21">
        <f t="shared" si="113"/>
        <v>0</v>
      </c>
      <c r="H316" s="21">
        <f t="shared" si="113"/>
        <v>0</v>
      </c>
      <c r="I316" s="21">
        <f t="shared" si="113"/>
        <v>0</v>
      </c>
      <c r="J316" s="21">
        <f t="shared" si="113"/>
        <v>0</v>
      </c>
      <c r="K316" s="21">
        <f t="shared" si="113"/>
        <v>0</v>
      </c>
      <c r="L316" s="21">
        <f t="shared" si="113"/>
        <v>0</v>
      </c>
      <c r="M316" s="21">
        <f t="shared" si="113"/>
        <v>0</v>
      </c>
      <c r="N316" s="21">
        <f>SUM(B316:M316)</f>
        <v>0</v>
      </c>
    </row>
    <row r="317" spans="1:14" ht="6" customHeight="1">
      <c r="A317" s="26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</row>
    <row r="318" spans="1:14">
      <c r="A318" s="402" t="s">
        <v>117</v>
      </c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>
      <c r="A319" s="27" t="s">
        <v>16</v>
      </c>
      <c r="B319" s="28">
        <f>'TSAS Demand Revenues (7)'!B317</f>
        <v>150000</v>
      </c>
      <c r="C319" s="28">
        <f>'TSAS Demand Revenues (7)'!C317</f>
        <v>100000</v>
      </c>
      <c r="D319" s="28">
        <f>'TSAS Demand Revenues (7)'!D317</f>
        <v>100000</v>
      </c>
      <c r="E319" s="28">
        <f>'TSAS Demand Revenues (7)'!E317</f>
        <v>100000</v>
      </c>
      <c r="F319" s="28">
        <f>'TSAS Demand Revenues (7)'!F317</f>
        <v>100000</v>
      </c>
      <c r="G319" s="28">
        <f>'TSAS Demand Revenues (7)'!G317</f>
        <v>100000</v>
      </c>
      <c r="H319" s="28">
        <f>'TSAS Demand Revenues (7)'!H317</f>
        <v>100000</v>
      </c>
      <c r="I319" s="28">
        <f>'TSAS Demand Revenues (7)'!I317</f>
        <v>100000</v>
      </c>
      <c r="J319" s="28">
        <f>'TSAS Demand Revenues (7)'!J317</f>
        <v>100000</v>
      </c>
      <c r="K319" s="28">
        <f>'TSAS Demand Revenues (7)'!K317</f>
        <v>100000</v>
      </c>
      <c r="L319" s="28">
        <f>'TSAS Demand Revenues (7)'!L317</f>
        <v>100000</v>
      </c>
      <c r="M319" s="28">
        <f>'TSAS Demand Revenues (7)'!M317</f>
        <v>100000</v>
      </c>
      <c r="N319" s="28">
        <f>SUM(B319:M319)</f>
        <v>1250000</v>
      </c>
    </row>
    <row r="320" spans="1:14">
      <c r="A320" s="26" t="s">
        <v>20</v>
      </c>
      <c r="B320" s="33">
        <f>B315</f>
        <v>1.274E-2</v>
      </c>
      <c r="C320" s="33">
        <f t="shared" ref="C320:M320" si="114">+$B$34</f>
        <v>1.274E-2</v>
      </c>
      <c r="D320" s="33">
        <f t="shared" si="114"/>
        <v>1.274E-2</v>
      </c>
      <c r="E320" s="33">
        <f t="shared" si="114"/>
        <v>1.274E-2</v>
      </c>
      <c r="F320" s="33">
        <f t="shared" si="114"/>
        <v>1.274E-2</v>
      </c>
      <c r="G320" s="33">
        <f t="shared" si="114"/>
        <v>1.274E-2</v>
      </c>
      <c r="H320" s="33">
        <f t="shared" si="114"/>
        <v>1.274E-2</v>
      </c>
      <c r="I320" s="33">
        <f t="shared" si="114"/>
        <v>1.274E-2</v>
      </c>
      <c r="J320" s="33">
        <f t="shared" si="114"/>
        <v>1.274E-2</v>
      </c>
      <c r="K320" s="33">
        <f t="shared" si="114"/>
        <v>1.274E-2</v>
      </c>
      <c r="L320" s="33">
        <f t="shared" si="114"/>
        <v>1.274E-2</v>
      </c>
      <c r="M320" s="33">
        <f t="shared" si="114"/>
        <v>1.274E-2</v>
      </c>
      <c r="N320" s="20"/>
    </row>
    <row r="321" spans="1:14">
      <c r="A321" s="26" t="s">
        <v>17</v>
      </c>
      <c r="B321" s="21">
        <f t="shared" ref="B321:M321" si="115">B319*B320</f>
        <v>1911</v>
      </c>
      <c r="C321" s="21">
        <f t="shared" si="115"/>
        <v>1274</v>
      </c>
      <c r="D321" s="21">
        <f t="shared" si="115"/>
        <v>1274</v>
      </c>
      <c r="E321" s="21">
        <f t="shared" si="115"/>
        <v>1274</v>
      </c>
      <c r="F321" s="21">
        <f t="shared" si="115"/>
        <v>1274</v>
      </c>
      <c r="G321" s="21">
        <f t="shared" si="115"/>
        <v>1274</v>
      </c>
      <c r="H321" s="21">
        <f t="shared" si="115"/>
        <v>1274</v>
      </c>
      <c r="I321" s="21">
        <f t="shared" si="115"/>
        <v>1274</v>
      </c>
      <c r="J321" s="21">
        <f t="shared" si="115"/>
        <v>1274</v>
      </c>
      <c r="K321" s="21">
        <f t="shared" si="115"/>
        <v>1274</v>
      </c>
      <c r="L321" s="21">
        <f t="shared" si="115"/>
        <v>1274</v>
      </c>
      <c r="M321" s="21">
        <f t="shared" si="115"/>
        <v>1274</v>
      </c>
      <c r="N321" s="21">
        <f>SUM(B321:M321)</f>
        <v>15925</v>
      </c>
    </row>
    <row r="322" spans="1:14">
      <c r="A322" s="26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</row>
    <row r="323" spans="1:14">
      <c r="A323" s="26" t="s">
        <v>171</v>
      </c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8"/>
    </row>
    <row r="324" spans="1:14">
      <c r="A324" s="27" t="s">
        <v>16</v>
      </c>
      <c r="B324" s="21">
        <v>0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8">
        <f>SUM(B324:M324)</f>
        <v>0</v>
      </c>
    </row>
    <row r="325" spans="1:14">
      <c r="A325" s="26" t="s">
        <v>20</v>
      </c>
      <c r="B325" s="33">
        <f>B320</f>
        <v>1.274E-2</v>
      </c>
      <c r="C325" s="33">
        <f t="shared" ref="C325:M325" si="116">C320</f>
        <v>1.274E-2</v>
      </c>
      <c r="D325" s="33">
        <f t="shared" si="116"/>
        <v>1.274E-2</v>
      </c>
      <c r="E325" s="33">
        <f t="shared" si="116"/>
        <v>1.274E-2</v>
      </c>
      <c r="F325" s="33">
        <f t="shared" si="116"/>
        <v>1.274E-2</v>
      </c>
      <c r="G325" s="33">
        <f t="shared" si="116"/>
        <v>1.274E-2</v>
      </c>
      <c r="H325" s="33">
        <f t="shared" si="116"/>
        <v>1.274E-2</v>
      </c>
      <c r="I325" s="33">
        <f t="shared" si="116"/>
        <v>1.274E-2</v>
      </c>
      <c r="J325" s="33">
        <f t="shared" si="116"/>
        <v>1.274E-2</v>
      </c>
      <c r="K325" s="33">
        <f t="shared" si="116"/>
        <v>1.274E-2</v>
      </c>
      <c r="L325" s="33">
        <f t="shared" si="116"/>
        <v>1.274E-2</v>
      </c>
      <c r="M325" s="33">
        <f t="shared" si="116"/>
        <v>1.274E-2</v>
      </c>
      <c r="N325" s="20"/>
    </row>
    <row r="326" spans="1:14">
      <c r="A326" s="26" t="s">
        <v>17</v>
      </c>
      <c r="B326" s="21">
        <f t="shared" ref="B326:M326" si="117">B324*B325</f>
        <v>0</v>
      </c>
      <c r="C326" s="21">
        <f t="shared" si="117"/>
        <v>0</v>
      </c>
      <c r="D326" s="21">
        <f t="shared" si="117"/>
        <v>0</v>
      </c>
      <c r="E326" s="21">
        <f t="shared" si="117"/>
        <v>0</v>
      </c>
      <c r="F326" s="21">
        <f t="shared" si="117"/>
        <v>0</v>
      </c>
      <c r="G326" s="21">
        <f t="shared" si="117"/>
        <v>0</v>
      </c>
      <c r="H326" s="21">
        <f t="shared" si="117"/>
        <v>0</v>
      </c>
      <c r="I326" s="21">
        <f t="shared" si="117"/>
        <v>0</v>
      </c>
      <c r="J326" s="21">
        <f t="shared" si="117"/>
        <v>0</v>
      </c>
      <c r="K326" s="21">
        <f t="shared" si="117"/>
        <v>0</v>
      </c>
      <c r="L326" s="21">
        <f t="shared" si="117"/>
        <v>0</v>
      </c>
      <c r="M326" s="21">
        <f t="shared" si="117"/>
        <v>0</v>
      </c>
      <c r="N326" s="21">
        <f>SUM(B326:M326)</f>
        <v>0</v>
      </c>
    </row>
    <row r="327" spans="1:14">
      <c r="A327" s="26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</row>
    <row r="328" spans="1:14">
      <c r="A328" s="145" t="s">
        <v>25</v>
      </c>
      <c r="B328" s="144">
        <f t="shared" ref="B328:M328" si="118">B276+B281+B286+B291+B296+B301+B316+B306+B321+B326+B311</f>
        <v>3784.4934400000002</v>
      </c>
      <c r="C328" s="144">
        <f t="shared" si="118"/>
        <v>3147.4934400000002</v>
      </c>
      <c r="D328" s="144">
        <f t="shared" si="118"/>
        <v>3147.4934400000002</v>
      </c>
      <c r="E328" s="144">
        <f t="shared" si="118"/>
        <v>3147.4934400000002</v>
      </c>
      <c r="F328" s="144">
        <f t="shared" si="118"/>
        <v>3147.4934400000002</v>
      </c>
      <c r="G328" s="144">
        <f t="shared" si="118"/>
        <v>3147.4934400000002</v>
      </c>
      <c r="H328" s="144">
        <f t="shared" si="118"/>
        <v>3147.4934400000002</v>
      </c>
      <c r="I328" s="144">
        <f t="shared" si="118"/>
        <v>3147.4934400000002</v>
      </c>
      <c r="J328" s="144">
        <f t="shared" si="118"/>
        <v>3147.4934400000002</v>
      </c>
      <c r="K328" s="144">
        <f t="shared" si="118"/>
        <v>3147.4934400000002</v>
      </c>
      <c r="L328" s="144">
        <f t="shared" si="118"/>
        <v>3147.4934400000002</v>
      </c>
      <c r="M328" s="144">
        <f t="shared" si="118"/>
        <v>3147.4934400000002</v>
      </c>
      <c r="N328" s="144">
        <f>SUM(B328:M328)</f>
        <v>38406.921279999995</v>
      </c>
    </row>
    <row r="329" spans="1:14">
      <c r="A329" s="145" t="s">
        <v>60</v>
      </c>
      <c r="B329" s="146">
        <f t="shared" ref="B329:M329" si="119">B274+B279+B284+B289+B294+B299+B304+B314+B319+B324+B309</f>
        <v>297056</v>
      </c>
      <c r="C329" s="146">
        <f t="shared" si="119"/>
        <v>247056</v>
      </c>
      <c r="D329" s="146">
        <f t="shared" si="119"/>
        <v>247056</v>
      </c>
      <c r="E329" s="146">
        <f t="shared" si="119"/>
        <v>247056</v>
      </c>
      <c r="F329" s="146">
        <f t="shared" si="119"/>
        <v>247056</v>
      </c>
      <c r="G329" s="146">
        <f t="shared" si="119"/>
        <v>247056</v>
      </c>
      <c r="H329" s="146">
        <f t="shared" si="119"/>
        <v>247056</v>
      </c>
      <c r="I329" s="146">
        <f t="shared" si="119"/>
        <v>247056</v>
      </c>
      <c r="J329" s="146">
        <f t="shared" si="119"/>
        <v>247056</v>
      </c>
      <c r="K329" s="146">
        <f t="shared" si="119"/>
        <v>247056</v>
      </c>
      <c r="L329" s="146">
        <f t="shared" si="119"/>
        <v>247056</v>
      </c>
      <c r="M329" s="146">
        <f t="shared" si="119"/>
        <v>247056</v>
      </c>
      <c r="N329" s="144">
        <f>SUM(B329:M329)</f>
        <v>3014672</v>
      </c>
    </row>
    <row r="330" spans="1:14">
      <c r="A330" s="25">
        <f>+A270+1</f>
        <v>2019</v>
      </c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</row>
    <row r="331" spans="1:14" ht="13.2">
      <c r="A331" s="23" t="s">
        <v>19</v>
      </c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</row>
    <row r="332" spans="1:14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</row>
    <row r="333" spans="1:14">
      <c r="A333" s="402" t="s">
        <v>359</v>
      </c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>
      <c r="A334" s="27" t="s">
        <v>16</v>
      </c>
      <c r="B334" s="28">
        <f>'TSAS Demand Revenues (7)'!B327</f>
        <v>5000</v>
      </c>
      <c r="C334" s="28">
        <f>'TSAS Demand Revenues (7)'!C327</f>
        <v>5000</v>
      </c>
      <c r="D334" s="28">
        <f>'TSAS Demand Revenues (7)'!D327</f>
        <v>5000</v>
      </c>
      <c r="E334" s="28">
        <f>'TSAS Demand Revenues (7)'!E327</f>
        <v>5000</v>
      </c>
      <c r="F334" s="28">
        <f>'TSAS Demand Revenues (7)'!F327</f>
        <v>5000</v>
      </c>
      <c r="G334" s="28">
        <f>'TSAS Demand Revenues (7)'!G327</f>
        <v>5000</v>
      </c>
      <c r="H334" s="28">
        <f>'TSAS Demand Revenues (7)'!H327</f>
        <v>5000</v>
      </c>
      <c r="I334" s="28">
        <f>'TSAS Demand Revenues (7)'!I327</f>
        <v>5000</v>
      </c>
      <c r="J334" s="28">
        <f>'TSAS Demand Revenues (7)'!J327</f>
        <v>5000</v>
      </c>
      <c r="K334" s="28">
        <f>'TSAS Demand Revenues (7)'!K327</f>
        <v>5000</v>
      </c>
      <c r="L334" s="28">
        <f>'TSAS Demand Revenues (7)'!L327</f>
        <v>5000</v>
      </c>
      <c r="M334" s="28">
        <f>'TSAS Demand Revenues (7)'!M327</f>
        <v>5000</v>
      </c>
      <c r="N334" s="28">
        <f>SUM(B334:M334)</f>
        <v>60000</v>
      </c>
    </row>
    <row r="335" spans="1:14">
      <c r="A335" s="26" t="s">
        <v>20</v>
      </c>
      <c r="B335" s="32">
        <f>B320</f>
        <v>1.274E-2</v>
      </c>
      <c r="C335" s="32">
        <f t="shared" ref="C335:M335" si="120">+$B$14</f>
        <v>1.274E-2</v>
      </c>
      <c r="D335" s="32">
        <f t="shared" si="120"/>
        <v>1.274E-2</v>
      </c>
      <c r="E335" s="32">
        <f t="shared" si="120"/>
        <v>1.274E-2</v>
      </c>
      <c r="F335" s="32">
        <f t="shared" si="120"/>
        <v>1.274E-2</v>
      </c>
      <c r="G335" s="32">
        <f t="shared" si="120"/>
        <v>1.274E-2</v>
      </c>
      <c r="H335" s="32">
        <f t="shared" si="120"/>
        <v>1.274E-2</v>
      </c>
      <c r="I335" s="32">
        <f t="shared" si="120"/>
        <v>1.274E-2</v>
      </c>
      <c r="J335" s="32">
        <f t="shared" si="120"/>
        <v>1.274E-2</v>
      </c>
      <c r="K335" s="32">
        <f t="shared" si="120"/>
        <v>1.274E-2</v>
      </c>
      <c r="L335" s="32">
        <f t="shared" si="120"/>
        <v>1.274E-2</v>
      </c>
      <c r="M335" s="32">
        <f t="shared" si="120"/>
        <v>1.274E-2</v>
      </c>
      <c r="N335" s="20"/>
    </row>
    <row r="336" spans="1:14">
      <c r="A336" s="26" t="s">
        <v>17</v>
      </c>
      <c r="B336" s="21">
        <f t="shared" ref="B336:M336" si="121">B334*B335</f>
        <v>63.699999999999996</v>
      </c>
      <c r="C336" s="21">
        <f t="shared" si="121"/>
        <v>63.699999999999996</v>
      </c>
      <c r="D336" s="21">
        <f t="shared" si="121"/>
        <v>63.699999999999996</v>
      </c>
      <c r="E336" s="21">
        <f t="shared" si="121"/>
        <v>63.699999999999996</v>
      </c>
      <c r="F336" s="21">
        <f t="shared" si="121"/>
        <v>63.699999999999996</v>
      </c>
      <c r="G336" s="21">
        <f t="shared" si="121"/>
        <v>63.699999999999996</v>
      </c>
      <c r="H336" s="21">
        <f t="shared" si="121"/>
        <v>63.699999999999996</v>
      </c>
      <c r="I336" s="21">
        <f t="shared" si="121"/>
        <v>63.699999999999996</v>
      </c>
      <c r="J336" s="21">
        <f t="shared" si="121"/>
        <v>63.699999999999996</v>
      </c>
      <c r="K336" s="21">
        <f t="shared" si="121"/>
        <v>63.699999999999996</v>
      </c>
      <c r="L336" s="21">
        <f t="shared" si="121"/>
        <v>63.699999999999996</v>
      </c>
      <c r="M336" s="21">
        <f t="shared" si="121"/>
        <v>63.699999999999996</v>
      </c>
      <c r="N336" s="21">
        <f>SUM(B336:M336)</f>
        <v>764.40000000000009</v>
      </c>
    </row>
    <row r="337" spans="1:14" ht="6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>
      <c r="A338" s="26" t="s">
        <v>21</v>
      </c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>
      <c r="A339" s="27" t="s">
        <v>16</v>
      </c>
      <c r="B339" s="28">
        <f>'TSAS Demand Revenues (7)'!B332</f>
        <v>0</v>
      </c>
      <c r="C339" s="28">
        <f>'TSAS Demand Revenues (7)'!C332</f>
        <v>0</v>
      </c>
      <c r="D339" s="28">
        <f>'TSAS Demand Revenues (7)'!D332</f>
        <v>0</v>
      </c>
      <c r="E339" s="28">
        <f>'TSAS Demand Revenues (7)'!E332</f>
        <v>0</v>
      </c>
      <c r="F339" s="28">
        <f>'TSAS Demand Revenues (7)'!F332</f>
        <v>0</v>
      </c>
      <c r="G339" s="28">
        <f>'TSAS Demand Revenues (7)'!G332</f>
        <v>0</v>
      </c>
      <c r="H339" s="28">
        <f>'TSAS Demand Revenues (7)'!H332</f>
        <v>0</v>
      </c>
      <c r="I339" s="28">
        <f>'TSAS Demand Revenues (7)'!I332</f>
        <v>0</v>
      </c>
      <c r="J339" s="28">
        <f>'TSAS Demand Revenues (7)'!J332</f>
        <v>0</v>
      </c>
      <c r="K339" s="28">
        <f>'TSAS Demand Revenues (7)'!K332</f>
        <v>0</v>
      </c>
      <c r="L339" s="28">
        <f>'TSAS Demand Revenues (7)'!L332</f>
        <v>0</v>
      </c>
      <c r="M339" s="28">
        <f>'TSAS Demand Revenues (7)'!M332</f>
        <v>0</v>
      </c>
      <c r="N339" s="28">
        <f>SUM(B339:M339)</f>
        <v>0</v>
      </c>
    </row>
    <row r="340" spans="1:14">
      <c r="A340" s="26" t="s">
        <v>20</v>
      </c>
      <c r="B340" s="32">
        <f>B335</f>
        <v>1.274E-2</v>
      </c>
      <c r="C340" s="32">
        <f t="shared" ref="C340:M340" si="122">+$B$19</f>
        <v>1.274E-2</v>
      </c>
      <c r="D340" s="32">
        <f t="shared" si="122"/>
        <v>1.274E-2</v>
      </c>
      <c r="E340" s="32">
        <f t="shared" si="122"/>
        <v>1.274E-2</v>
      </c>
      <c r="F340" s="32">
        <f t="shared" si="122"/>
        <v>1.274E-2</v>
      </c>
      <c r="G340" s="32">
        <f t="shared" si="122"/>
        <v>1.274E-2</v>
      </c>
      <c r="H340" s="32">
        <f t="shared" si="122"/>
        <v>1.274E-2</v>
      </c>
      <c r="I340" s="32">
        <f t="shared" si="122"/>
        <v>1.274E-2</v>
      </c>
      <c r="J340" s="32">
        <f t="shared" si="122"/>
        <v>1.274E-2</v>
      </c>
      <c r="K340" s="32">
        <f t="shared" si="122"/>
        <v>1.274E-2</v>
      </c>
      <c r="L340" s="32">
        <f t="shared" si="122"/>
        <v>1.274E-2</v>
      </c>
      <c r="M340" s="32">
        <f t="shared" si="122"/>
        <v>1.274E-2</v>
      </c>
      <c r="N340" s="20"/>
    </row>
    <row r="341" spans="1:14">
      <c r="A341" s="26" t="s">
        <v>17</v>
      </c>
      <c r="B341" s="21">
        <f t="shared" ref="B341:M341" si="123">B339*B340</f>
        <v>0</v>
      </c>
      <c r="C341" s="21">
        <f t="shared" si="123"/>
        <v>0</v>
      </c>
      <c r="D341" s="21">
        <f t="shared" si="123"/>
        <v>0</v>
      </c>
      <c r="E341" s="21">
        <f t="shared" si="123"/>
        <v>0</v>
      </c>
      <c r="F341" s="21">
        <f t="shared" si="123"/>
        <v>0</v>
      </c>
      <c r="G341" s="21">
        <f t="shared" si="123"/>
        <v>0</v>
      </c>
      <c r="H341" s="21">
        <f t="shared" si="123"/>
        <v>0</v>
      </c>
      <c r="I341" s="21">
        <f t="shared" si="123"/>
        <v>0</v>
      </c>
      <c r="J341" s="21">
        <f t="shared" si="123"/>
        <v>0</v>
      </c>
      <c r="K341" s="21">
        <f t="shared" si="123"/>
        <v>0</v>
      </c>
      <c r="L341" s="21">
        <f t="shared" si="123"/>
        <v>0</v>
      </c>
      <c r="M341" s="21">
        <f t="shared" si="123"/>
        <v>0</v>
      </c>
      <c r="N341" s="21">
        <f>SUM(B341:M341)</f>
        <v>0</v>
      </c>
    </row>
    <row r="342" spans="1:14" ht="4.5" customHeight="1">
      <c r="A342" s="20"/>
      <c r="B342" s="21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>
      <c r="A343" s="26" t="s">
        <v>22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>
      <c r="A344" s="27" t="s">
        <v>16</v>
      </c>
      <c r="B344" s="28">
        <f>'TSAS Demand Revenues (7)'!B337</f>
        <v>0</v>
      </c>
      <c r="C344" s="28">
        <f>'TSAS Demand Revenues (7)'!C337</f>
        <v>0</v>
      </c>
      <c r="D344" s="28">
        <f>'TSAS Demand Revenues (7)'!D337</f>
        <v>0</v>
      </c>
      <c r="E344" s="28">
        <f>'TSAS Demand Revenues (7)'!E337</f>
        <v>0</v>
      </c>
      <c r="F344" s="28">
        <f>'TSAS Demand Revenues (7)'!F337</f>
        <v>0</v>
      </c>
      <c r="G344" s="28">
        <f>'TSAS Demand Revenues (7)'!G337</f>
        <v>0</v>
      </c>
      <c r="H344" s="28">
        <f>'TSAS Demand Revenues (7)'!H337</f>
        <v>0</v>
      </c>
      <c r="I344" s="28">
        <f>'TSAS Demand Revenues (7)'!I337</f>
        <v>0</v>
      </c>
      <c r="J344" s="28">
        <f>'TSAS Demand Revenues (7)'!J337</f>
        <v>0</v>
      </c>
      <c r="K344" s="28">
        <f>'TSAS Demand Revenues (7)'!K337</f>
        <v>0</v>
      </c>
      <c r="L344" s="28">
        <f>'TSAS Demand Revenues (7)'!L337</f>
        <v>0</v>
      </c>
      <c r="M344" s="28">
        <f>'TSAS Demand Revenues (7)'!M337</f>
        <v>0</v>
      </c>
      <c r="N344" s="28">
        <f>SUM(B344:M344)</f>
        <v>0</v>
      </c>
    </row>
    <row r="345" spans="1:14">
      <c r="A345" s="26" t="s">
        <v>20</v>
      </c>
      <c r="B345" s="33">
        <f>B340</f>
        <v>1.274E-2</v>
      </c>
      <c r="C345" s="33">
        <f t="shared" ref="C345:M345" si="124">+$B$24</f>
        <v>1.274E-2</v>
      </c>
      <c r="D345" s="33">
        <f t="shared" si="124"/>
        <v>1.274E-2</v>
      </c>
      <c r="E345" s="33">
        <f t="shared" si="124"/>
        <v>1.274E-2</v>
      </c>
      <c r="F345" s="33">
        <f t="shared" si="124"/>
        <v>1.274E-2</v>
      </c>
      <c r="G345" s="33">
        <f t="shared" si="124"/>
        <v>1.274E-2</v>
      </c>
      <c r="H345" s="33">
        <f t="shared" si="124"/>
        <v>1.274E-2</v>
      </c>
      <c r="I345" s="33">
        <f t="shared" si="124"/>
        <v>1.274E-2</v>
      </c>
      <c r="J345" s="33">
        <f t="shared" si="124"/>
        <v>1.274E-2</v>
      </c>
      <c r="K345" s="33">
        <f t="shared" si="124"/>
        <v>1.274E-2</v>
      </c>
      <c r="L345" s="33">
        <f t="shared" si="124"/>
        <v>1.274E-2</v>
      </c>
      <c r="M345" s="33">
        <f t="shared" si="124"/>
        <v>1.274E-2</v>
      </c>
      <c r="N345" s="20"/>
    </row>
    <row r="346" spans="1:14">
      <c r="A346" s="26" t="s">
        <v>17</v>
      </c>
      <c r="B346" s="21">
        <f t="shared" ref="B346:M346" si="125">B344*B345</f>
        <v>0</v>
      </c>
      <c r="C346" s="21">
        <f t="shared" si="125"/>
        <v>0</v>
      </c>
      <c r="D346" s="21">
        <f t="shared" si="125"/>
        <v>0</v>
      </c>
      <c r="E346" s="21">
        <f t="shared" si="125"/>
        <v>0</v>
      </c>
      <c r="F346" s="21">
        <f t="shared" si="125"/>
        <v>0</v>
      </c>
      <c r="G346" s="21">
        <f t="shared" si="125"/>
        <v>0</v>
      </c>
      <c r="H346" s="21">
        <f t="shared" si="125"/>
        <v>0</v>
      </c>
      <c r="I346" s="21">
        <f t="shared" si="125"/>
        <v>0</v>
      </c>
      <c r="J346" s="21">
        <f t="shared" si="125"/>
        <v>0</v>
      </c>
      <c r="K346" s="21">
        <f t="shared" si="125"/>
        <v>0</v>
      </c>
      <c r="L346" s="21">
        <f t="shared" si="125"/>
        <v>0</v>
      </c>
      <c r="M346" s="21">
        <f t="shared" si="125"/>
        <v>0</v>
      </c>
      <c r="N346" s="21">
        <f>SUM(B346:M346)</f>
        <v>0</v>
      </c>
    </row>
    <row r="347" spans="1:14" ht="6" customHeight="1">
      <c r="A347" s="20"/>
      <c r="B347" s="21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 ht="21" customHeight="1">
      <c r="A348" s="402" t="s">
        <v>23</v>
      </c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>
      <c r="A349" s="27" t="s">
        <v>16</v>
      </c>
      <c r="B349" s="28">
        <f>'TSAS Demand Revenues (7)'!B342</f>
        <v>37056</v>
      </c>
      <c r="C349" s="28">
        <f>'TSAS Demand Revenues (7)'!C342</f>
        <v>37056</v>
      </c>
      <c r="D349" s="28">
        <f>'TSAS Demand Revenues (7)'!D342</f>
        <v>37056</v>
      </c>
      <c r="E349" s="28">
        <f>'TSAS Demand Revenues (7)'!E342</f>
        <v>37056</v>
      </c>
      <c r="F349" s="28">
        <f>'TSAS Demand Revenues (7)'!F342</f>
        <v>37056</v>
      </c>
      <c r="G349" s="28">
        <f>'TSAS Demand Revenues (7)'!G342</f>
        <v>37056</v>
      </c>
      <c r="H349" s="28">
        <f>'TSAS Demand Revenues (7)'!H342</f>
        <v>37056</v>
      </c>
      <c r="I349" s="28">
        <f>'TSAS Demand Revenues (7)'!I342</f>
        <v>37056</v>
      </c>
      <c r="J349" s="28">
        <f>'TSAS Demand Revenues (7)'!J342</f>
        <v>37056</v>
      </c>
      <c r="K349" s="28">
        <f>'TSAS Demand Revenues (7)'!K342</f>
        <v>37056</v>
      </c>
      <c r="L349" s="28">
        <f>'TSAS Demand Revenues (7)'!L342</f>
        <v>37056</v>
      </c>
      <c r="M349" s="28">
        <f>'TSAS Demand Revenues (7)'!M342</f>
        <v>37056</v>
      </c>
      <c r="N349" s="28">
        <f>SUM(B349:M349)</f>
        <v>444672</v>
      </c>
    </row>
    <row r="350" spans="1:14">
      <c r="A350" s="26" t="s">
        <v>20</v>
      </c>
      <c r="B350" s="33">
        <f t="shared" ref="B350:M350" si="126">+$B$29</f>
        <v>1.274E-2</v>
      </c>
      <c r="C350" s="33">
        <f t="shared" si="126"/>
        <v>1.274E-2</v>
      </c>
      <c r="D350" s="33">
        <f t="shared" si="126"/>
        <v>1.274E-2</v>
      </c>
      <c r="E350" s="33">
        <f t="shared" si="126"/>
        <v>1.274E-2</v>
      </c>
      <c r="F350" s="33">
        <f t="shared" si="126"/>
        <v>1.274E-2</v>
      </c>
      <c r="G350" s="33">
        <f t="shared" si="126"/>
        <v>1.274E-2</v>
      </c>
      <c r="H350" s="33">
        <f t="shared" si="126"/>
        <v>1.274E-2</v>
      </c>
      <c r="I350" s="33">
        <f t="shared" si="126"/>
        <v>1.274E-2</v>
      </c>
      <c r="J350" s="33">
        <f t="shared" si="126"/>
        <v>1.274E-2</v>
      </c>
      <c r="K350" s="33">
        <f t="shared" si="126"/>
        <v>1.274E-2</v>
      </c>
      <c r="L350" s="33">
        <f t="shared" si="126"/>
        <v>1.274E-2</v>
      </c>
      <c r="M350" s="33">
        <f t="shared" si="126"/>
        <v>1.274E-2</v>
      </c>
      <c r="N350" s="20"/>
    </row>
    <row r="351" spans="1:14">
      <c r="A351" s="26" t="s">
        <v>17</v>
      </c>
      <c r="B351" s="21">
        <f t="shared" ref="B351:M351" si="127">B349*B350</f>
        <v>472.09343999999999</v>
      </c>
      <c r="C351" s="21">
        <f t="shared" si="127"/>
        <v>472.09343999999999</v>
      </c>
      <c r="D351" s="21">
        <f t="shared" si="127"/>
        <v>472.09343999999999</v>
      </c>
      <c r="E351" s="21">
        <f t="shared" si="127"/>
        <v>472.09343999999999</v>
      </c>
      <c r="F351" s="21">
        <f t="shared" si="127"/>
        <v>472.09343999999999</v>
      </c>
      <c r="G351" s="21">
        <f t="shared" si="127"/>
        <v>472.09343999999999</v>
      </c>
      <c r="H351" s="21">
        <f t="shared" si="127"/>
        <v>472.09343999999999</v>
      </c>
      <c r="I351" s="21">
        <f t="shared" si="127"/>
        <v>472.09343999999999</v>
      </c>
      <c r="J351" s="21">
        <f t="shared" si="127"/>
        <v>472.09343999999999</v>
      </c>
      <c r="K351" s="21">
        <f t="shared" si="127"/>
        <v>472.09343999999999</v>
      </c>
      <c r="L351" s="21">
        <f t="shared" si="127"/>
        <v>472.09343999999999</v>
      </c>
      <c r="M351" s="21">
        <f t="shared" si="127"/>
        <v>472.09343999999999</v>
      </c>
      <c r="N351" s="21">
        <f>SUM(B351:M351)</f>
        <v>5665.1212799999994</v>
      </c>
    </row>
    <row r="352" spans="1:14" ht="4.5" customHeight="1">
      <c r="A352" s="20"/>
      <c r="B352" s="21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>
      <c r="A353" s="402" t="s">
        <v>24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>
      <c r="A354" s="27" t="s">
        <v>16</v>
      </c>
      <c r="B354" s="28">
        <f>'TSAS Demand Revenues (7)'!B347</f>
        <v>62000</v>
      </c>
      <c r="C354" s="28">
        <f>'TSAS Demand Revenues (7)'!C347</f>
        <v>62000</v>
      </c>
      <c r="D354" s="28">
        <f>'TSAS Demand Revenues (7)'!D347</f>
        <v>62000</v>
      </c>
      <c r="E354" s="28">
        <f>'TSAS Demand Revenues (7)'!E347</f>
        <v>62000</v>
      </c>
      <c r="F354" s="28">
        <f>'TSAS Demand Revenues (7)'!F347</f>
        <v>62000</v>
      </c>
      <c r="G354" s="28">
        <f>'TSAS Demand Revenues (7)'!G347</f>
        <v>62000</v>
      </c>
      <c r="H354" s="28">
        <f>'TSAS Demand Revenues (7)'!H347</f>
        <v>62000</v>
      </c>
      <c r="I354" s="28">
        <f>'TSAS Demand Revenues (7)'!I347</f>
        <v>62000</v>
      </c>
      <c r="J354" s="28">
        <f>'TSAS Demand Revenues (7)'!J347</f>
        <v>62000</v>
      </c>
      <c r="K354" s="28">
        <f>'TSAS Demand Revenues (7)'!K347</f>
        <v>62000</v>
      </c>
      <c r="L354" s="28">
        <f>'TSAS Demand Revenues (7)'!L347</f>
        <v>62000</v>
      </c>
      <c r="M354" s="28">
        <f>'TSAS Demand Revenues (7)'!M347</f>
        <v>62000</v>
      </c>
      <c r="N354" s="28">
        <f>SUM(B354:M354)</f>
        <v>744000</v>
      </c>
    </row>
    <row r="355" spans="1:14">
      <c r="A355" s="26" t="s">
        <v>20</v>
      </c>
      <c r="B355" s="33">
        <f>B350</f>
        <v>1.274E-2</v>
      </c>
      <c r="C355" s="33">
        <f t="shared" ref="C355:M355" si="128">+$B$34</f>
        <v>1.274E-2</v>
      </c>
      <c r="D355" s="33">
        <f t="shared" si="128"/>
        <v>1.274E-2</v>
      </c>
      <c r="E355" s="33">
        <f t="shared" si="128"/>
        <v>1.274E-2</v>
      </c>
      <c r="F355" s="33">
        <f t="shared" si="128"/>
        <v>1.274E-2</v>
      </c>
      <c r="G355" s="33">
        <f t="shared" si="128"/>
        <v>1.274E-2</v>
      </c>
      <c r="H355" s="33">
        <f t="shared" si="128"/>
        <v>1.274E-2</v>
      </c>
      <c r="I355" s="33">
        <f t="shared" si="128"/>
        <v>1.274E-2</v>
      </c>
      <c r="J355" s="33">
        <f t="shared" si="128"/>
        <v>1.274E-2</v>
      </c>
      <c r="K355" s="33">
        <f t="shared" si="128"/>
        <v>1.274E-2</v>
      </c>
      <c r="L355" s="33">
        <f t="shared" si="128"/>
        <v>1.274E-2</v>
      </c>
      <c r="M355" s="33">
        <f t="shared" si="128"/>
        <v>1.274E-2</v>
      </c>
      <c r="N355" s="20"/>
    </row>
    <row r="356" spans="1:14">
      <c r="A356" s="26" t="s">
        <v>17</v>
      </c>
      <c r="B356" s="21">
        <f t="shared" ref="B356:M356" si="129">B354*B355</f>
        <v>789.88</v>
      </c>
      <c r="C356" s="21">
        <f t="shared" si="129"/>
        <v>789.88</v>
      </c>
      <c r="D356" s="21">
        <f t="shared" si="129"/>
        <v>789.88</v>
      </c>
      <c r="E356" s="21">
        <f t="shared" si="129"/>
        <v>789.88</v>
      </c>
      <c r="F356" s="21">
        <f t="shared" si="129"/>
        <v>789.88</v>
      </c>
      <c r="G356" s="21">
        <f t="shared" si="129"/>
        <v>789.88</v>
      </c>
      <c r="H356" s="21">
        <f t="shared" si="129"/>
        <v>789.88</v>
      </c>
      <c r="I356" s="21">
        <f t="shared" si="129"/>
        <v>789.88</v>
      </c>
      <c r="J356" s="21">
        <f t="shared" si="129"/>
        <v>789.88</v>
      </c>
      <c r="K356" s="21">
        <f t="shared" si="129"/>
        <v>789.88</v>
      </c>
      <c r="L356" s="21">
        <f t="shared" si="129"/>
        <v>789.88</v>
      </c>
      <c r="M356" s="21">
        <f t="shared" si="129"/>
        <v>789.88</v>
      </c>
      <c r="N356" s="21">
        <f>SUM(B356:M356)</f>
        <v>9478.56</v>
      </c>
    </row>
    <row r="357" spans="1:14" ht="5.25" customHeight="1">
      <c r="A357" s="26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</row>
    <row r="358" spans="1:14">
      <c r="A358" s="402" t="s">
        <v>116</v>
      </c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>
      <c r="A359" s="27" t="s">
        <v>16</v>
      </c>
      <c r="B359" s="28">
        <f>'TSAS Demand Revenues (7)'!B352</f>
        <v>40000</v>
      </c>
      <c r="C359" s="28">
        <f>'TSAS Demand Revenues (7)'!C352</f>
        <v>40000</v>
      </c>
      <c r="D359" s="28">
        <f>'TSAS Demand Revenues (7)'!D352</f>
        <v>40000</v>
      </c>
      <c r="E359" s="28">
        <f>'TSAS Demand Revenues (7)'!E352</f>
        <v>40000</v>
      </c>
      <c r="F359" s="28">
        <f>'TSAS Demand Revenues (7)'!F352</f>
        <v>40000</v>
      </c>
      <c r="G359" s="28">
        <f>'TSAS Demand Revenues (7)'!G352</f>
        <v>40000</v>
      </c>
      <c r="H359" s="28">
        <f>'TSAS Demand Revenues (7)'!H352</f>
        <v>40000</v>
      </c>
      <c r="I359" s="28">
        <f>'TSAS Demand Revenues (7)'!I352</f>
        <v>40000</v>
      </c>
      <c r="J359" s="28">
        <f>'TSAS Demand Revenues (7)'!J352</f>
        <v>40000</v>
      </c>
      <c r="K359" s="28">
        <f>'TSAS Demand Revenues (7)'!K352</f>
        <v>40000</v>
      </c>
      <c r="L359" s="28">
        <f>'TSAS Demand Revenues (7)'!L352</f>
        <v>40000</v>
      </c>
      <c r="M359" s="28">
        <f>'TSAS Demand Revenues (7)'!M352</f>
        <v>40000</v>
      </c>
      <c r="N359" s="28">
        <f>SUM(B359:M359)</f>
        <v>480000</v>
      </c>
    </row>
    <row r="360" spans="1:14">
      <c r="A360" s="26" t="s">
        <v>20</v>
      </c>
      <c r="B360" s="33">
        <f>B355</f>
        <v>1.274E-2</v>
      </c>
      <c r="C360" s="33">
        <f t="shared" ref="C360" si="130">B360</f>
        <v>1.274E-2</v>
      </c>
      <c r="D360" s="33">
        <f t="shared" ref="D360" si="131">C360</f>
        <v>1.274E-2</v>
      </c>
      <c r="E360" s="33">
        <f t="shared" ref="E360" si="132">D360</f>
        <v>1.274E-2</v>
      </c>
      <c r="F360" s="33">
        <f t="shared" ref="F360" si="133">E360</f>
        <v>1.274E-2</v>
      </c>
      <c r="G360" s="33">
        <f t="shared" ref="G360" si="134">F360</f>
        <v>1.274E-2</v>
      </c>
      <c r="H360" s="33">
        <f t="shared" ref="H360" si="135">G360</f>
        <v>1.274E-2</v>
      </c>
      <c r="I360" s="33">
        <f t="shared" ref="I360" si="136">H360</f>
        <v>1.274E-2</v>
      </c>
      <c r="J360" s="33">
        <f t="shared" ref="J360" si="137">I360</f>
        <v>1.274E-2</v>
      </c>
      <c r="K360" s="33">
        <f t="shared" ref="K360" si="138">J360</f>
        <v>1.274E-2</v>
      </c>
      <c r="L360" s="33">
        <f t="shared" ref="L360" si="139">K360</f>
        <v>1.274E-2</v>
      </c>
      <c r="M360" s="33">
        <f t="shared" ref="M360" si="140">L360</f>
        <v>1.274E-2</v>
      </c>
      <c r="N360" s="20"/>
    </row>
    <row r="361" spans="1:14">
      <c r="A361" s="26" t="s">
        <v>17</v>
      </c>
      <c r="B361" s="21">
        <f t="shared" ref="B361:M361" si="141">B359*B360</f>
        <v>509.59999999999997</v>
      </c>
      <c r="C361" s="21">
        <f t="shared" si="141"/>
        <v>509.59999999999997</v>
      </c>
      <c r="D361" s="21">
        <f t="shared" si="141"/>
        <v>509.59999999999997</v>
      </c>
      <c r="E361" s="21">
        <f t="shared" si="141"/>
        <v>509.59999999999997</v>
      </c>
      <c r="F361" s="21">
        <f t="shared" si="141"/>
        <v>509.59999999999997</v>
      </c>
      <c r="G361" s="21">
        <f t="shared" si="141"/>
        <v>509.59999999999997</v>
      </c>
      <c r="H361" s="21">
        <f t="shared" si="141"/>
        <v>509.59999999999997</v>
      </c>
      <c r="I361" s="21">
        <f t="shared" si="141"/>
        <v>509.59999999999997</v>
      </c>
      <c r="J361" s="21">
        <f t="shared" si="141"/>
        <v>509.59999999999997</v>
      </c>
      <c r="K361" s="21">
        <f t="shared" si="141"/>
        <v>509.59999999999997</v>
      </c>
      <c r="L361" s="21">
        <f t="shared" si="141"/>
        <v>509.59999999999997</v>
      </c>
      <c r="M361" s="21">
        <f t="shared" si="141"/>
        <v>509.59999999999997</v>
      </c>
      <c r="N361" s="21">
        <f>SUM(B361:M361)</f>
        <v>6115.2000000000007</v>
      </c>
    </row>
    <row r="362" spans="1:14" ht="13.5" customHeight="1">
      <c r="A362" s="26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</row>
    <row r="363" spans="1:14" s="20" customFormat="1" ht="15" customHeight="1">
      <c r="A363" s="402" t="s">
        <v>237</v>
      </c>
    </row>
    <row r="364" spans="1:14" s="20" customFormat="1" ht="10.199999999999999">
      <c r="A364" s="27" t="s">
        <v>16</v>
      </c>
      <c r="B364" s="28">
        <f>'TSAS Demand Revenues (7)'!B357</f>
        <v>3000</v>
      </c>
      <c r="C364" s="28">
        <f>'TSAS Demand Revenues (7)'!C357</f>
        <v>3000</v>
      </c>
      <c r="D364" s="28">
        <f>'TSAS Demand Revenues (7)'!D357</f>
        <v>3000</v>
      </c>
      <c r="E364" s="28">
        <f>'TSAS Demand Revenues (7)'!E357</f>
        <v>3000</v>
      </c>
      <c r="F364" s="28">
        <f>'TSAS Demand Revenues (7)'!F357</f>
        <v>3000</v>
      </c>
      <c r="G364" s="28">
        <f>'TSAS Demand Revenues (7)'!G357</f>
        <v>3000</v>
      </c>
      <c r="H364" s="28">
        <f>'TSAS Demand Revenues (7)'!H357</f>
        <v>3000</v>
      </c>
      <c r="I364" s="28">
        <f>'TSAS Demand Revenues (7)'!I357</f>
        <v>3000</v>
      </c>
      <c r="J364" s="28">
        <f>'TSAS Demand Revenues (7)'!J357</f>
        <v>3000</v>
      </c>
      <c r="K364" s="28">
        <f>'TSAS Demand Revenues (7)'!K357</f>
        <v>3000</v>
      </c>
      <c r="L364" s="28">
        <f>'TSAS Demand Revenues (7)'!L357</f>
        <v>3000</v>
      </c>
      <c r="M364" s="28">
        <f>'TSAS Demand Revenues (7)'!M357</f>
        <v>3000</v>
      </c>
      <c r="N364" s="28">
        <f>SUM(B364:M364)</f>
        <v>36000</v>
      </c>
    </row>
    <row r="365" spans="1:14">
      <c r="A365" s="26" t="s">
        <v>20</v>
      </c>
      <c r="B365" s="33">
        <f>B360</f>
        <v>1.274E-2</v>
      </c>
      <c r="C365" s="33">
        <f t="shared" ref="C365" si="142">B365</f>
        <v>1.274E-2</v>
      </c>
      <c r="D365" s="33">
        <f t="shared" ref="D365" si="143">C365</f>
        <v>1.274E-2</v>
      </c>
      <c r="E365" s="33">
        <f t="shared" ref="E365" si="144">D365</f>
        <v>1.274E-2</v>
      </c>
      <c r="F365" s="33">
        <f t="shared" ref="F365" si="145">E365</f>
        <v>1.274E-2</v>
      </c>
      <c r="G365" s="33">
        <f t="shared" ref="G365" si="146">F365</f>
        <v>1.274E-2</v>
      </c>
      <c r="H365" s="33">
        <f t="shared" ref="H365" si="147">G365</f>
        <v>1.274E-2</v>
      </c>
      <c r="I365" s="33">
        <f t="shared" ref="I365" si="148">H365</f>
        <v>1.274E-2</v>
      </c>
      <c r="J365" s="33">
        <f t="shared" ref="J365" si="149">I365</f>
        <v>1.274E-2</v>
      </c>
      <c r="K365" s="33">
        <f t="shared" ref="K365" si="150">J365</f>
        <v>1.274E-2</v>
      </c>
      <c r="L365" s="33">
        <f t="shared" ref="L365" si="151">K365</f>
        <v>1.274E-2</v>
      </c>
      <c r="M365" s="33">
        <f t="shared" ref="M365" si="152">L365</f>
        <v>1.274E-2</v>
      </c>
      <c r="N365" s="20"/>
    </row>
    <row r="366" spans="1:14">
      <c r="A366" s="26" t="s">
        <v>17</v>
      </c>
      <c r="B366" s="21">
        <f t="shared" ref="B366:M366" si="153">B364*B365</f>
        <v>38.22</v>
      </c>
      <c r="C366" s="21">
        <f t="shared" si="153"/>
        <v>38.22</v>
      </c>
      <c r="D366" s="21">
        <f t="shared" si="153"/>
        <v>38.22</v>
      </c>
      <c r="E366" s="21">
        <f t="shared" si="153"/>
        <v>38.22</v>
      </c>
      <c r="F366" s="21">
        <f t="shared" si="153"/>
        <v>38.22</v>
      </c>
      <c r="G366" s="21">
        <f t="shared" si="153"/>
        <v>38.22</v>
      </c>
      <c r="H366" s="21">
        <f t="shared" si="153"/>
        <v>38.22</v>
      </c>
      <c r="I366" s="21">
        <f t="shared" si="153"/>
        <v>38.22</v>
      </c>
      <c r="J366" s="21">
        <f t="shared" si="153"/>
        <v>38.22</v>
      </c>
      <c r="K366" s="21">
        <f t="shared" si="153"/>
        <v>38.22</v>
      </c>
      <c r="L366" s="21">
        <f t="shared" si="153"/>
        <v>38.22</v>
      </c>
      <c r="M366" s="21">
        <f t="shared" si="153"/>
        <v>38.22</v>
      </c>
      <c r="N366" s="21">
        <f>SUM(B366:M366)</f>
        <v>458.6400000000001</v>
      </c>
    </row>
    <row r="367" spans="1:14" ht="6" customHeight="1">
      <c r="A367" s="26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</row>
    <row r="368" spans="1:14">
      <c r="A368" s="402" t="s">
        <v>179</v>
      </c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>
      <c r="A369" s="27" t="s">
        <v>16</v>
      </c>
      <c r="B369" s="28">
        <f>'TSAS Demand Revenues (7)'!B362</f>
        <v>0</v>
      </c>
      <c r="C369" s="28">
        <f>'TSAS Demand Revenues (7)'!C362</f>
        <v>0</v>
      </c>
      <c r="D369" s="28">
        <f>'TSAS Demand Revenues (7)'!D362</f>
        <v>0</v>
      </c>
      <c r="E369" s="28">
        <f>'TSAS Demand Revenues (7)'!E362</f>
        <v>0</v>
      </c>
      <c r="F369" s="28">
        <f>'TSAS Demand Revenues (7)'!F362</f>
        <v>0</v>
      </c>
      <c r="G369" s="28">
        <f>'TSAS Demand Revenues (7)'!G362</f>
        <v>0</v>
      </c>
      <c r="H369" s="28">
        <f>'TSAS Demand Revenues (7)'!H362</f>
        <v>0</v>
      </c>
      <c r="I369" s="28">
        <f>'TSAS Demand Revenues (7)'!I362</f>
        <v>0</v>
      </c>
      <c r="J369" s="28">
        <f>'TSAS Demand Revenues (7)'!J362</f>
        <v>0</v>
      </c>
      <c r="K369" s="28">
        <f>'TSAS Demand Revenues (7)'!K362</f>
        <v>0</v>
      </c>
      <c r="L369" s="28">
        <f>'TSAS Demand Revenues (7)'!L362</f>
        <v>0</v>
      </c>
      <c r="M369" s="28">
        <f>'TSAS Demand Revenues (7)'!M362</f>
        <v>0</v>
      </c>
      <c r="N369" s="28">
        <f>SUM(B369:M369)</f>
        <v>0</v>
      </c>
    </row>
    <row r="370" spans="1:14">
      <c r="A370" s="26" t="s">
        <v>20</v>
      </c>
      <c r="B370" s="33">
        <f>B360</f>
        <v>1.274E-2</v>
      </c>
      <c r="C370" s="33">
        <f t="shared" ref="C370:M370" si="154">C360</f>
        <v>1.274E-2</v>
      </c>
      <c r="D370" s="33">
        <f t="shared" si="154"/>
        <v>1.274E-2</v>
      </c>
      <c r="E370" s="33">
        <f t="shared" si="154"/>
        <v>1.274E-2</v>
      </c>
      <c r="F370" s="33">
        <f t="shared" si="154"/>
        <v>1.274E-2</v>
      </c>
      <c r="G370" s="33">
        <f t="shared" si="154"/>
        <v>1.274E-2</v>
      </c>
      <c r="H370" s="33">
        <f t="shared" si="154"/>
        <v>1.274E-2</v>
      </c>
      <c r="I370" s="33">
        <f t="shared" si="154"/>
        <v>1.274E-2</v>
      </c>
      <c r="J370" s="33">
        <f t="shared" si="154"/>
        <v>1.274E-2</v>
      </c>
      <c r="K370" s="33">
        <f t="shared" si="154"/>
        <v>1.274E-2</v>
      </c>
      <c r="L370" s="33">
        <f t="shared" si="154"/>
        <v>1.274E-2</v>
      </c>
      <c r="M370" s="33">
        <f t="shared" si="154"/>
        <v>1.274E-2</v>
      </c>
      <c r="N370" s="20"/>
    </row>
    <row r="371" spans="1:14">
      <c r="A371" s="26" t="s">
        <v>17</v>
      </c>
      <c r="B371" s="21">
        <f t="shared" ref="B371:M371" si="155">B369*B370</f>
        <v>0</v>
      </c>
      <c r="C371" s="21">
        <f t="shared" si="155"/>
        <v>0</v>
      </c>
      <c r="D371" s="21">
        <f t="shared" si="155"/>
        <v>0</v>
      </c>
      <c r="E371" s="21">
        <f t="shared" si="155"/>
        <v>0</v>
      </c>
      <c r="F371" s="21">
        <f t="shared" si="155"/>
        <v>0</v>
      </c>
      <c r="G371" s="21">
        <f t="shared" si="155"/>
        <v>0</v>
      </c>
      <c r="H371" s="21">
        <f t="shared" si="155"/>
        <v>0</v>
      </c>
      <c r="I371" s="21">
        <f t="shared" si="155"/>
        <v>0</v>
      </c>
      <c r="J371" s="21">
        <f t="shared" si="155"/>
        <v>0</v>
      </c>
      <c r="K371" s="21">
        <f t="shared" si="155"/>
        <v>0</v>
      </c>
      <c r="L371" s="21">
        <f t="shared" si="155"/>
        <v>0</v>
      </c>
      <c r="M371" s="21">
        <f t="shared" si="155"/>
        <v>0</v>
      </c>
      <c r="N371" s="21">
        <f>SUM(B371:M371)</f>
        <v>0</v>
      </c>
    </row>
    <row r="372" spans="1:14">
      <c r="A372" s="26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</row>
    <row r="373" spans="1:14">
      <c r="A373" s="402" t="s">
        <v>44</v>
      </c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>
      <c r="A374" s="27" t="s">
        <v>16</v>
      </c>
      <c r="B374" s="28">
        <f>'TSAS Demand Revenues (7)'!B367</f>
        <v>0</v>
      </c>
      <c r="C374" s="28">
        <f>'TSAS Demand Revenues (7)'!C367</f>
        <v>0</v>
      </c>
      <c r="D374" s="28">
        <f>'TSAS Demand Revenues (7)'!D367</f>
        <v>0</v>
      </c>
      <c r="E374" s="28">
        <f>'TSAS Demand Revenues (7)'!E367</f>
        <v>0</v>
      </c>
      <c r="F374" s="28">
        <f>'TSAS Demand Revenues (7)'!F367</f>
        <v>0</v>
      </c>
      <c r="G374" s="28">
        <f>'TSAS Demand Revenues (7)'!G367</f>
        <v>0</v>
      </c>
      <c r="H374" s="28">
        <f>'TSAS Demand Revenues (7)'!H367</f>
        <v>0</v>
      </c>
      <c r="I374" s="28">
        <f>'TSAS Demand Revenues (7)'!I367</f>
        <v>0</v>
      </c>
      <c r="J374" s="28">
        <f>'TSAS Demand Revenues (7)'!J367</f>
        <v>0</v>
      </c>
      <c r="K374" s="28">
        <f>'TSAS Demand Revenues (7)'!K367</f>
        <v>0</v>
      </c>
      <c r="L374" s="28">
        <f>'TSAS Demand Revenues (7)'!L367</f>
        <v>0</v>
      </c>
      <c r="M374" s="28">
        <f>'TSAS Demand Revenues (7)'!M367</f>
        <v>0</v>
      </c>
      <c r="N374" s="28">
        <f>SUM(B374:M374)</f>
        <v>0</v>
      </c>
    </row>
    <row r="375" spans="1:14">
      <c r="A375" s="26" t="s">
        <v>20</v>
      </c>
      <c r="B375" s="33">
        <f>B365</f>
        <v>1.274E-2</v>
      </c>
      <c r="C375" s="33">
        <f t="shared" ref="C375:M375" si="156">+$B$34</f>
        <v>1.274E-2</v>
      </c>
      <c r="D375" s="33">
        <f t="shared" si="156"/>
        <v>1.274E-2</v>
      </c>
      <c r="E375" s="33">
        <f t="shared" si="156"/>
        <v>1.274E-2</v>
      </c>
      <c r="F375" s="33">
        <f t="shared" si="156"/>
        <v>1.274E-2</v>
      </c>
      <c r="G375" s="33">
        <f t="shared" si="156"/>
        <v>1.274E-2</v>
      </c>
      <c r="H375" s="33">
        <f t="shared" si="156"/>
        <v>1.274E-2</v>
      </c>
      <c r="I375" s="33">
        <f t="shared" si="156"/>
        <v>1.274E-2</v>
      </c>
      <c r="J375" s="33">
        <f t="shared" si="156"/>
        <v>1.274E-2</v>
      </c>
      <c r="K375" s="33">
        <f t="shared" si="156"/>
        <v>1.274E-2</v>
      </c>
      <c r="L375" s="33">
        <f t="shared" si="156"/>
        <v>1.274E-2</v>
      </c>
      <c r="M375" s="33">
        <f t="shared" si="156"/>
        <v>1.274E-2</v>
      </c>
      <c r="N375" s="20"/>
    </row>
    <row r="376" spans="1:14">
      <c r="A376" s="26" t="s">
        <v>17</v>
      </c>
      <c r="B376" s="21">
        <f t="shared" ref="B376:M376" si="157">B374*B375</f>
        <v>0</v>
      </c>
      <c r="C376" s="21">
        <f t="shared" si="157"/>
        <v>0</v>
      </c>
      <c r="D376" s="21">
        <f t="shared" si="157"/>
        <v>0</v>
      </c>
      <c r="E376" s="21">
        <f t="shared" si="157"/>
        <v>0</v>
      </c>
      <c r="F376" s="21">
        <f t="shared" si="157"/>
        <v>0</v>
      </c>
      <c r="G376" s="21">
        <f t="shared" si="157"/>
        <v>0</v>
      </c>
      <c r="H376" s="21">
        <f t="shared" si="157"/>
        <v>0</v>
      </c>
      <c r="I376" s="21">
        <f t="shared" si="157"/>
        <v>0</v>
      </c>
      <c r="J376" s="21">
        <f t="shared" si="157"/>
        <v>0</v>
      </c>
      <c r="K376" s="21">
        <f t="shared" si="157"/>
        <v>0</v>
      </c>
      <c r="L376" s="21">
        <f t="shared" si="157"/>
        <v>0</v>
      </c>
      <c r="M376" s="21">
        <f t="shared" si="157"/>
        <v>0</v>
      </c>
      <c r="N376" s="21">
        <f>SUM(B376:M376)</f>
        <v>0</v>
      </c>
    </row>
    <row r="377" spans="1:14" ht="6" customHeight="1">
      <c r="A377" s="26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</row>
    <row r="378" spans="1:14">
      <c r="A378" s="402" t="s">
        <v>117</v>
      </c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1:14">
      <c r="A379" s="27" t="s">
        <v>16</v>
      </c>
      <c r="B379" s="28">
        <f>'TSAS Demand Revenues (7)'!B372</f>
        <v>100000</v>
      </c>
      <c r="C379" s="28">
        <f>'TSAS Demand Revenues (7)'!C372</f>
        <v>100000</v>
      </c>
      <c r="D379" s="28">
        <f>'TSAS Demand Revenues (7)'!D372</f>
        <v>100000</v>
      </c>
      <c r="E379" s="28">
        <f>'TSAS Demand Revenues (7)'!E372</f>
        <v>100000</v>
      </c>
      <c r="F379" s="28">
        <f>'TSAS Demand Revenues (7)'!F372</f>
        <v>100000</v>
      </c>
      <c r="G379" s="28">
        <f>'TSAS Demand Revenues (7)'!G372</f>
        <v>100000</v>
      </c>
      <c r="H379" s="28">
        <f>'TSAS Demand Revenues (7)'!H372</f>
        <v>100000</v>
      </c>
      <c r="I379" s="28">
        <f>'TSAS Demand Revenues (7)'!I372</f>
        <v>100000</v>
      </c>
      <c r="J379" s="28">
        <f>'TSAS Demand Revenues (7)'!J372</f>
        <v>100000</v>
      </c>
      <c r="K379" s="28">
        <f>'TSAS Demand Revenues (7)'!K372</f>
        <v>100000</v>
      </c>
      <c r="L379" s="28">
        <f>'TSAS Demand Revenues (7)'!L372</f>
        <v>100000</v>
      </c>
      <c r="M379" s="28">
        <f>'TSAS Demand Revenues (7)'!M372</f>
        <v>100000</v>
      </c>
      <c r="N379" s="28">
        <f>SUM(B379:M379)</f>
        <v>1200000</v>
      </c>
    </row>
    <row r="380" spans="1:14">
      <c r="A380" s="26" t="s">
        <v>20</v>
      </c>
      <c r="B380" s="33">
        <f>B375</f>
        <v>1.274E-2</v>
      </c>
      <c r="C380" s="33">
        <f t="shared" ref="C380:M380" si="158">+$B$34</f>
        <v>1.274E-2</v>
      </c>
      <c r="D380" s="33">
        <f t="shared" si="158"/>
        <v>1.274E-2</v>
      </c>
      <c r="E380" s="33">
        <f t="shared" si="158"/>
        <v>1.274E-2</v>
      </c>
      <c r="F380" s="33">
        <f t="shared" si="158"/>
        <v>1.274E-2</v>
      </c>
      <c r="G380" s="33">
        <f t="shared" si="158"/>
        <v>1.274E-2</v>
      </c>
      <c r="H380" s="33">
        <f t="shared" si="158"/>
        <v>1.274E-2</v>
      </c>
      <c r="I380" s="33">
        <f t="shared" si="158"/>
        <v>1.274E-2</v>
      </c>
      <c r="J380" s="33">
        <f t="shared" si="158"/>
        <v>1.274E-2</v>
      </c>
      <c r="K380" s="33">
        <f t="shared" si="158"/>
        <v>1.274E-2</v>
      </c>
      <c r="L380" s="33">
        <f t="shared" si="158"/>
        <v>1.274E-2</v>
      </c>
      <c r="M380" s="33">
        <f t="shared" si="158"/>
        <v>1.274E-2</v>
      </c>
      <c r="N380" s="20"/>
    </row>
    <row r="381" spans="1:14">
      <c r="A381" s="26" t="s">
        <v>17</v>
      </c>
      <c r="B381" s="21">
        <f t="shared" ref="B381:M381" si="159">B379*B380</f>
        <v>1274</v>
      </c>
      <c r="C381" s="21">
        <f t="shared" si="159"/>
        <v>1274</v>
      </c>
      <c r="D381" s="21">
        <f t="shared" si="159"/>
        <v>1274</v>
      </c>
      <c r="E381" s="21">
        <f t="shared" si="159"/>
        <v>1274</v>
      </c>
      <c r="F381" s="21">
        <f t="shared" si="159"/>
        <v>1274</v>
      </c>
      <c r="G381" s="21">
        <f t="shared" si="159"/>
        <v>1274</v>
      </c>
      <c r="H381" s="21">
        <f t="shared" si="159"/>
        <v>1274</v>
      </c>
      <c r="I381" s="21">
        <f t="shared" si="159"/>
        <v>1274</v>
      </c>
      <c r="J381" s="21">
        <f t="shared" si="159"/>
        <v>1274</v>
      </c>
      <c r="K381" s="21">
        <f t="shared" si="159"/>
        <v>1274</v>
      </c>
      <c r="L381" s="21">
        <f t="shared" si="159"/>
        <v>1274</v>
      </c>
      <c r="M381" s="21">
        <f t="shared" si="159"/>
        <v>1274</v>
      </c>
      <c r="N381" s="21">
        <f>SUM(B381:M381)</f>
        <v>15288</v>
      </c>
    </row>
    <row r="382" spans="1:14">
      <c r="A382" s="26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</row>
    <row r="383" spans="1:14">
      <c r="A383" s="26" t="s">
        <v>171</v>
      </c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8"/>
    </row>
    <row r="384" spans="1:14">
      <c r="A384" s="27" t="s">
        <v>16</v>
      </c>
      <c r="B384" s="21">
        <v>0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0</v>
      </c>
      <c r="M384" s="21">
        <v>0</v>
      </c>
      <c r="N384" s="28">
        <f>SUM(B384:M384)</f>
        <v>0</v>
      </c>
    </row>
    <row r="385" spans="1:14">
      <c r="A385" s="26" t="s">
        <v>20</v>
      </c>
      <c r="B385" s="33">
        <f>B380</f>
        <v>1.274E-2</v>
      </c>
      <c r="C385" s="33">
        <f t="shared" ref="C385:M385" si="160">C380</f>
        <v>1.274E-2</v>
      </c>
      <c r="D385" s="33">
        <f t="shared" si="160"/>
        <v>1.274E-2</v>
      </c>
      <c r="E385" s="33">
        <f t="shared" si="160"/>
        <v>1.274E-2</v>
      </c>
      <c r="F385" s="33">
        <f t="shared" si="160"/>
        <v>1.274E-2</v>
      </c>
      <c r="G385" s="33">
        <f t="shared" si="160"/>
        <v>1.274E-2</v>
      </c>
      <c r="H385" s="33">
        <f t="shared" si="160"/>
        <v>1.274E-2</v>
      </c>
      <c r="I385" s="33">
        <f t="shared" si="160"/>
        <v>1.274E-2</v>
      </c>
      <c r="J385" s="33">
        <f t="shared" si="160"/>
        <v>1.274E-2</v>
      </c>
      <c r="K385" s="33">
        <f t="shared" si="160"/>
        <v>1.274E-2</v>
      </c>
      <c r="L385" s="33">
        <f t="shared" si="160"/>
        <v>1.274E-2</v>
      </c>
      <c r="M385" s="33">
        <f t="shared" si="160"/>
        <v>1.274E-2</v>
      </c>
      <c r="N385" s="20"/>
    </row>
    <row r="386" spans="1:14">
      <c r="A386" s="26" t="s">
        <v>17</v>
      </c>
      <c r="B386" s="21">
        <f t="shared" ref="B386:M386" si="161">B384*B385</f>
        <v>0</v>
      </c>
      <c r="C386" s="21">
        <f t="shared" si="161"/>
        <v>0</v>
      </c>
      <c r="D386" s="21">
        <f t="shared" si="161"/>
        <v>0</v>
      </c>
      <c r="E386" s="21">
        <f t="shared" si="161"/>
        <v>0</v>
      </c>
      <c r="F386" s="21">
        <f t="shared" si="161"/>
        <v>0</v>
      </c>
      <c r="G386" s="21">
        <f t="shared" si="161"/>
        <v>0</v>
      </c>
      <c r="H386" s="21">
        <f t="shared" si="161"/>
        <v>0</v>
      </c>
      <c r="I386" s="21">
        <f t="shared" si="161"/>
        <v>0</v>
      </c>
      <c r="J386" s="21">
        <f t="shared" si="161"/>
        <v>0</v>
      </c>
      <c r="K386" s="21">
        <f t="shared" si="161"/>
        <v>0</v>
      </c>
      <c r="L386" s="21">
        <f t="shared" si="161"/>
        <v>0</v>
      </c>
      <c r="M386" s="21">
        <f t="shared" si="161"/>
        <v>0</v>
      </c>
      <c r="N386" s="21">
        <f>SUM(B386:M386)</f>
        <v>0</v>
      </c>
    </row>
    <row r="387" spans="1:14">
      <c r="A387" s="26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</row>
    <row r="388" spans="1:14">
      <c r="A388" s="145" t="s">
        <v>25</v>
      </c>
      <c r="B388" s="144">
        <f t="shared" ref="B388:M388" si="162">B336+B341+B346+B351+B356+B361+B376+B366+B381+B386+B371</f>
        <v>3147.4934400000002</v>
      </c>
      <c r="C388" s="144">
        <f t="shared" si="162"/>
        <v>3147.4934400000002</v>
      </c>
      <c r="D388" s="144">
        <f t="shared" si="162"/>
        <v>3147.4934400000002</v>
      </c>
      <c r="E388" s="144">
        <f t="shared" si="162"/>
        <v>3147.4934400000002</v>
      </c>
      <c r="F388" s="144">
        <f t="shared" si="162"/>
        <v>3147.4934400000002</v>
      </c>
      <c r="G388" s="144">
        <f t="shared" si="162"/>
        <v>3147.4934400000002</v>
      </c>
      <c r="H388" s="144">
        <f t="shared" si="162"/>
        <v>3147.4934400000002</v>
      </c>
      <c r="I388" s="144">
        <f t="shared" si="162"/>
        <v>3147.4934400000002</v>
      </c>
      <c r="J388" s="144">
        <f t="shared" si="162"/>
        <v>3147.4934400000002</v>
      </c>
      <c r="K388" s="144">
        <f t="shared" si="162"/>
        <v>3147.4934400000002</v>
      </c>
      <c r="L388" s="144">
        <f t="shared" si="162"/>
        <v>3147.4934400000002</v>
      </c>
      <c r="M388" s="144">
        <f t="shared" si="162"/>
        <v>3147.4934400000002</v>
      </c>
      <c r="N388" s="144">
        <f>SUM(B388:M388)</f>
        <v>37769.921279999995</v>
      </c>
    </row>
    <row r="389" spans="1:14">
      <c r="A389" s="145" t="s">
        <v>60</v>
      </c>
      <c r="B389" s="146">
        <f t="shared" ref="B389:M389" si="163">B334+B339+B344+B349+B354+B359+B364+B374+B379+B384+B369</f>
        <v>247056</v>
      </c>
      <c r="C389" s="146">
        <f t="shared" si="163"/>
        <v>247056</v>
      </c>
      <c r="D389" s="146">
        <f t="shared" si="163"/>
        <v>247056</v>
      </c>
      <c r="E389" s="146">
        <f t="shared" si="163"/>
        <v>247056</v>
      </c>
      <c r="F389" s="146">
        <f t="shared" si="163"/>
        <v>247056</v>
      </c>
      <c r="G389" s="146">
        <f t="shared" si="163"/>
        <v>247056</v>
      </c>
      <c r="H389" s="146">
        <f t="shared" si="163"/>
        <v>247056</v>
      </c>
      <c r="I389" s="146">
        <f t="shared" si="163"/>
        <v>247056</v>
      </c>
      <c r="J389" s="146">
        <f t="shared" si="163"/>
        <v>247056</v>
      </c>
      <c r="K389" s="146">
        <f t="shared" si="163"/>
        <v>247056</v>
      </c>
      <c r="L389" s="146">
        <f t="shared" si="163"/>
        <v>247056</v>
      </c>
      <c r="M389" s="146">
        <f t="shared" si="163"/>
        <v>247056</v>
      </c>
      <c r="N389" s="144">
        <f>SUM(B389:M389)</f>
        <v>2964672</v>
      </c>
    </row>
    <row r="390" spans="1:14">
      <c r="A390" s="25">
        <f>+A330+1</f>
        <v>2020</v>
      </c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</row>
    <row r="391" spans="1:14" ht="13.2">
      <c r="A391" s="23" t="s">
        <v>19</v>
      </c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</row>
    <row r="392" spans="1:14">
      <c r="A392" s="23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</row>
    <row r="393" spans="1:14">
      <c r="A393" s="402" t="s">
        <v>359</v>
      </c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>
      <c r="A394" s="27" t="s">
        <v>16</v>
      </c>
      <c r="B394" s="28">
        <f>'TSAS Demand Revenues (7)'!B382</f>
        <v>5000</v>
      </c>
      <c r="C394" s="28">
        <f>'TSAS Demand Revenues (7)'!C382</f>
        <v>5000</v>
      </c>
      <c r="D394" s="28">
        <f>'TSAS Demand Revenues (7)'!D382</f>
        <v>5000</v>
      </c>
      <c r="E394" s="28">
        <f>'TSAS Demand Revenues (7)'!E382</f>
        <v>5000</v>
      </c>
      <c r="F394" s="28">
        <f>'TSAS Demand Revenues (7)'!F382</f>
        <v>5000</v>
      </c>
      <c r="G394" s="28">
        <f>'TSAS Demand Revenues (7)'!G382</f>
        <v>5000</v>
      </c>
      <c r="H394" s="28">
        <f>'TSAS Demand Revenues (7)'!H382</f>
        <v>5000</v>
      </c>
      <c r="I394" s="28">
        <f>'TSAS Demand Revenues (7)'!I382</f>
        <v>5000</v>
      </c>
      <c r="J394" s="28">
        <f>'TSAS Demand Revenues (7)'!J382</f>
        <v>5000</v>
      </c>
      <c r="K394" s="28">
        <f>'TSAS Demand Revenues (7)'!K382</f>
        <v>5000</v>
      </c>
      <c r="L394" s="28">
        <f>'TSAS Demand Revenues (7)'!L382</f>
        <v>5000</v>
      </c>
      <c r="M394" s="28">
        <f>'TSAS Demand Revenues (7)'!M382</f>
        <v>5000</v>
      </c>
      <c r="N394" s="28">
        <f>SUM(B394:M394)</f>
        <v>60000</v>
      </c>
    </row>
    <row r="395" spans="1:14">
      <c r="A395" s="26" t="s">
        <v>20</v>
      </c>
      <c r="B395" s="32">
        <f>B380</f>
        <v>1.274E-2</v>
      </c>
      <c r="C395" s="32">
        <f t="shared" ref="C395:M395" si="164">+$B$14</f>
        <v>1.274E-2</v>
      </c>
      <c r="D395" s="32">
        <f t="shared" si="164"/>
        <v>1.274E-2</v>
      </c>
      <c r="E395" s="32">
        <f t="shared" si="164"/>
        <v>1.274E-2</v>
      </c>
      <c r="F395" s="32">
        <f t="shared" si="164"/>
        <v>1.274E-2</v>
      </c>
      <c r="G395" s="32">
        <f t="shared" si="164"/>
        <v>1.274E-2</v>
      </c>
      <c r="H395" s="32">
        <f t="shared" si="164"/>
        <v>1.274E-2</v>
      </c>
      <c r="I395" s="32">
        <f t="shared" si="164"/>
        <v>1.274E-2</v>
      </c>
      <c r="J395" s="32">
        <f t="shared" si="164"/>
        <v>1.274E-2</v>
      </c>
      <c r="K395" s="32">
        <f t="shared" si="164"/>
        <v>1.274E-2</v>
      </c>
      <c r="L395" s="32">
        <f t="shared" si="164"/>
        <v>1.274E-2</v>
      </c>
      <c r="M395" s="32">
        <f t="shared" si="164"/>
        <v>1.274E-2</v>
      </c>
      <c r="N395" s="20"/>
    </row>
    <row r="396" spans="1:14">
      <c r="A396" s="26" t="s">
        <v>17</v>
      </c>
      <c r="B396" s="21">
        <f t="shared" ref="B396:M396" si="165">B394*B395</f>
        <v>63.699999999999996</v>
      </c>
      <c r="C396" s="21">
        <f t="shared" si="165"/>
        <v>63.699999999999996</v>
      </c>
      <c r="D396" s="21">
        <f t="shared" si="165"/>
        <v>63.699999999999996</v>
      </c>
      <c r="E396" s="21">
        <f t="shared" si="165"/>
        <v>63.699999999999996</v>
      </c>
      <c r="F396" s="21">
        <f t="shared" si="165"/>
        <v>63.699999999999996</v>
      </c>
      <c r="G396" s="21">
        <f t="shared" si="165"/>
        <v>63.699999999999996</v>
      </c>
      <c r="H396" s="21">
        <f t="shared" si="165"/>
        <v>63.699999999999996</v>
      </c>
      <c r="I396" s="21">
        <f t="shared" si="165"/>
        <v>63.699999999999996</v>
      </c>
      <c r="J396" s="21">
        <f t="shared" si="165"/>
        <v>63.699999999999996</v>
      </c>
      <c r="K396" s="21">
        <f t="shared" si="165"/>
        <v>63.699999999999996</v>
      </c>
      <c r="L396" s="21">
        <f t="shared" si="165"/>
        <v>63.699999999999996</v>
      </c>
      <c r="M396" s="21">
        <f t="shared" si="165"/>
        <v>63.699999999999996</v>
      </c>
      <c r="N396" s="21">
        <f>SUM(B396:M396)</f>
        <v>764.40000000000009</v>
      </c>
    </row>
    <row r="397" spans="1:1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>
      <c r="A398" s="26" t="s">
        <v>21</v>
      </c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>
      <c r="A399" s="27" t="s">
        <v>16</v>
      </c>
      <c r="B399" s="28">
        <f>'TSAS Demand Revenues (7)'!B392</f>
        <v>0</v>
      </c>
      <c r="C399" s="28">
        <f>'TSAS Demand Revenues (7)'!C392</f>
        <v>0</v>
      </c>
      <c r="D399" s="28">
        <f>'TSAS Demand Revenues (7)'!D392</f>
        <v>0</v>
      </c>
      <c r="E399" s="28">
        <f>'TSAS Demand Revenues (7)'!E392</f>
        <v>0</v>
      </c>
      <c r="F399" s="28">
        <f>'TSAS Demand Revenues (7)'!F392</f>
        <v>0</v>
      </c>
      <c r="G399" s="28">
        <f>'TSAS Demand Revenues (7)'!G392</f>
        <v>0</v>
      </c>
      <c r="H399" s="28">
        <f>'TSAS Demand Revenues (7)'!H392</f>
        <v>0</v>
      </c>
      <c r="I399" s="28">
        <f>'TSAS Demand Revenues (7)'!I392</f>
        <v>0</v>
      </c>
      <c r="J399" s="28">
        <f>'TSAS Demand Revenues (7)'!J392</f>
        <v>0</v>
      </c>
      <c r="K399" s="28">
        <f>'TSAS Demand Revenues (7)'!K392</f>
        <v>0</v>
      </c>
      <c r="L399" s="28">
        <f>'TSAS Demand Revenues (7)'!L392</f>
        <v>0</v>
      </c>
      <c r="M399" s="28">
        <f>'TSAS Demand Revenues (7)'!M392</f>
        <v>0</v>
      </c>
      <c r="N399" s="28">
        <f>SUM(B399:M399)</f>
        <v>0</v>
      </c>
    </row>
    <row r="400" spans="1:14">
      <c r="A400" s="26" t="s">
        <v>20</v>
      </c>
      <c r="B400" s="32">
        <f>B395</f>
        <v>1.274E-2</v>
      </c>
      <c r="C400" s="32">
        <f t="shared" ref="C400:M400" si="166">+$B$19</f>
        <v>1.274E-2</v>
      </c>
      <c r="D400" s="32">
        <f t="shared" si="166"/>
        <v>1.274E-2</v>
      </c>
      <c r="E400" s="32">
        <f t="shared" si="166"/>
        <v>1.274E-2</v>
      </c>
      <c r="F400" s="32">
        <f t="shared" si="166"/>
        <v>1.274E-2</v>
      </c>
      <c r="G400" s="32">
        <f t="shared" si="166"/>
        <v>1.274E-2</v>
      </c>
      <c r="H400" s="32">
        <f t="shared" si="166"/>
        <v>1.274E-2</v>
      </c>
      <c r="I400" s="32">
        <f t="shared" si="166"/>
        <v>1.274E-2</v>
      </c>
      <c r="J400" s="32">
        <f t="shared" si="166"/>
        <v>1.274E-2</v>
      </c>
      <c r="K400" s="32">
        <f t="shared" si="166"/>
        <v>1.274E-2</v>
      </c>
      <c r="L400" s="32">
        <f t="shared" si="166"/>
        <v>1.274E-2</v>
      </c>
      <c r="M400" s="32">
        <f t="shared" si="166"/>
        <v>1.274E-2</v>
      </c>
      <c r="N400" s="20"/>
    </row>
    <row r="401" spans="1:14">
      <c r="A401" s="26" t="s">
        <v>17</v>
      </c>
      <c r="B401" s="21">
        <f t="shared" ref="B401:M401" si="167">B399*B400</f>
        <v>0</v>
      </c>
      <c r="C401" s="21">
        <f t="shared" si="167"/>
        <v>0</v>
      </c>
      <c r="D401" s="21">
        <f t="shared" si="167"/>
        <v>0</v>
      </c>
      <c r="E401" s="21">
        <f t="shared" si="167"/>
        <v>0</v>
      </c>
      <c r="F401" s="21">
        <f t="shared" si="167"/>
        <v>0</v>
      </c>
      <c r="G401" s="21">
        <f t="shared" si="167"/>
        <v>0</v>
      </c>
      <c r="H401" s="21">
        <f t="shared" si="167"/>
        <v>0</v>
      </c>
      <c r="I401" s="21">
        <f t="shared" si="167"/>
        <v>0</v>
      </c>
      <c r="J401" s="21">
        <f t="shared" si="167"/>
        <v>0</v>
      </c>
      <c r="K401" s="21">
        <f t="shared" si="167"/>
        <v>0</v>
      </c>
      <c r="L401" s="21">
        <f t="shared" si="167"/>
        <v>0</v>
      </c>
      <c r="M401" s="21">
        <f t="shared" si="167"/>
        <v>0</v>
      </c>
      <c r="N401" s="21">
        <f>SUM(B401:M401)</f>
        <v>0</v>
      </c>
    </row>
    <row r="402" spans="1:14">
      <c r="A402" s="20"/>
      <c r="B402" s="2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>
      <c r="A403" s="26" t="s">
        <v>22</v>
      </c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>
      <c r="A404" s="27" t="s">
        <v>16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>
        <f>SUM(B404:M404)</f>
        <v>0</v>
      </c>
    </row>
    <row r="405" spans="1:14">
      <c r="A405" s="26" t="s">
        <v>20</v>
      </c>
      <c r="B405" s="33">
        <f>B400</f>
        <v>1.274E-2</v>
      </c>
      <c r="C405" s="33">
        <f t="shared" ref="C405:M405" si="168">+$B$24</f>
        <v>1.274E-2</v>
      </c>
      <c r="D405" s="33">
        <f t="shared" si="168"/>
        <v>1.274E-2</v>
      </c>
      <c r="E405" s="33">
        <f t="shared" si="168"/>
        <v>1.274E-2</v>
      </c>
      <c r="F405" s="33">
        <f t="shared" si="168"/>
        <v>1.274E-2</v>
      </c>
      <c r="G405" s="33">
        <f t="shared" si="168"/>
        <v>1.274E-2</v>
      </c>
      <c r="H405" s="33">
        <f t="shared" si="168"/>
        <v>1.274E-2</v>
      </c>
      <c r="I405" s="33">
        <f t="shared" si="168"/>
        <v>1.274E-2</v>
      </c>
      <c r="J405" s="33">
        <f t="shared" si="168"/>
        <v>1.274E-2</v>
      </c>
      <c r="K405" s="33">
        <f t="shared" si="168"/>
        <v>1.274E-2</v>
      </c>
      <c r="L405" s="33">
        <f t="shared" si="168"/>
        <v>1.274E-2</v>
      </c>
      <c r="M405" s="33">
        <f t="shared" si="168"/>
        <v>1.274E-2</v>
      </c>
      <c r="N405" s="20"/>
    </row>
    <row r="406" spans="1:14">
      <c r="A406" s="26" t="s">
        <v>17</v>
      </c>
      <c r="B406" s="21">
        <f t="shared" ref="B406:M406" si="169">B404*B405</f>
        <v>0</v>
      </c>
      <c r="C406" s="21">
        <f t="shared" si="169"/>
        <v>0</v>
      </c>
      <c r="D406" s="21">
        <f t="shared" si="169"/>
        <v>0</v>
      </c>
      <c r="E406" s="21">
        <f t="shared" si="169"/>
        <v>0</v>
      </c>
      <c r="F406" s="21">
        <f t="shared" si="169"/>
        <v>0</v>
      </c>
      <c r="G406" s="21">
        <f t="shared" si="169"/>
        <v>0</v>
      </c>
      <c r="H406" s="21">
        <f t="shared" si="169"/>
        <v>0</v>
      </c>
      <c r="I406" s="21">
        <f t="shared" si="169"/>
        <v>0</v>
      </c>
      <c r="J406" s="21">
        <f t="shared" si="169"/>
        <v>0</v>
      </c>
      <c r="K406" s="21">
        <f t="shared" si="169"/>
        <v>0</v>
      </c>
      <c r="L406" s="21">
        <f t="shared" si="169"/>
        <v>0</v>
      </c>
      <c r="M406" s="21">
        <f t="shared" si="169"/>
        <v>0</v>
      </c>
      <c r="N406" s="21">
        <f>SUM(B406:M406)</f>
        <v>0</v>
      </c>
    </row>
    <row r="407" spans="1:14">
      <c r="A407" s="20"/>
      <c r="B407" s="21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>
      <c r="A408" s="402" t="s">
        <v>23</v>
      </c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>
      <c r="A409" s="27" t="s">
        <v>16</v>
      </c>
      <c r="B409" s="28">
        <f>'TSAS Demand Revenues (7)'!B397</f>
        <v>37056</v>
      </c>
      <c r="C409" s="28">
        <f>'TSAS Demand Revenues (7)'!C397</f>
        <v>37056</v>
      </c>
      <c r="D409" s="28">
        <f>'TSAS Demand Revenues (7)'!D397</f>
        <v>37056</v>
      </c>
      <c r="E409" s="28">
        <f>'TSAS Demand Revenues (7)'!E397</f>
        <v>37056</v>
      </c>
      <c r="F409" s="28">
        <f>'TSAS Demand Revenues (7)'!F397</f>
        <v>37056</v>
      </c>
      <c r="G409" s="28">
        <f>'TSAS Demand Revenues (7)'!G397</f>
        <v>37056</v>
      </c>
      <c r="H409" s="28">
        <f>'TSAS Demand Revenues (7)'!H397</f>
        <v>37056</v>
      </c>
      <c r="I409" s="28">
        <f>'TSAS Demand Revenues (7)'!I397</f>
        <v>37056</v>
      </c>
      <c r="J409" s="28">
        <f>'TSAS Demand Revenues (7)'!J397</f>
        <v>37056</v>
      </c>
      <c r="K409" s="28">
        <f>'TSAS Demand Revenues (7)'!K397</f>
        <v>37056</v>
      </c>
      <c r="L409" s="28">
        <f>'TSAS Demand Revenues (7)'!L397</f>
        <v>37056</v>
      </c>
      <c r="M409" s="28">
        <f>'TSAS Demand Revenues (7)'!M397</f>
        <v>37056</v>
      </c>
      <c r="N409" s="28">
        <f>SUM(B409:M409)</f>
        <v>444672</v>
      </c>
    </row>
    <row r="410" spans="1:14">
      <c r="A410" s="26" t="s">
        <v>20</v>
      </c>
      <c r="B410" s="33">
        <f t="shared" ref="B410:M410" si="170">+$B$29</f>
        <v>1.274E-2</v>
      </c>
      <c r="C410" s="33">
        <f t="shared" si="170"/>
        <v>1.274E-2</v>
      </c>
      <c r="D410" s="33">
        <f t="shared" si="170"/>
        <v>1.274E-2</v>
      </c>
      <c r="E410" s="33">
        <f t="shared" si="170"/>
        <v>1.274E-2</v>
      </c>
      <c r="F410" s="33">
        <f t="shared" si="170"/>
        <v>1.274E-2</v>
      </c>
      <c r="G410" s="33">
        <f t="shared" si="170"/>
        <v>1.274E-2</v>
      </c>
      <c r="H410" s="33">
        <f t="shared" si="170"/>
        <v>1.274E-2</v>
      </c>
      <c r="I410" s="33">
        <f t="shared" si="170"/>
        <v>1.274E-2</v>
      </c>
      <c r="J410" s="33">
        <f t="shared" si="170"/>
        <v>1.274E-2</v>
      </c>
      <c r="K410" s="33">
        <f t="shared" si="170"/>
        <v>1.274E-2</v>
      </c>
      <c r="L410" s="33">
        <f t="shared" si="170"/>
        <v>1.274E-2</v>
      </c>
      <c r="M410" s="33">
        <f t="shared" si="170"/>
        <v>1.274E-2</v>
      </c>
      <c r="N410" s="20"/>
    </row>
    <row r="411" spans="1:14">
      <c r="A411" s="26" t="s">
        <v>17</v>
      </c>
      <c r="B411" s="21">
        <f t="shared" ref="B411:M411" si="171">B409*B410</f>
        <v>472.09343999999999</v>
      </c>
      <c r="C411" s="21">
        <f t="shared" si="171"/>
        <v>472.09343999999999</v>
      </c>
      <c r="D411" s="21">
        <f t="shared" si="171"/>
        <v>472.09343999999999</v>
      </c>
      <c r="E411" s="21">
        <f t="shared" si="171"/>
        <v>472.09343999999999</v>
      </c>
      <c r="F411" s="21">
        <f t="shared" si="171"/>
        <v>472.09343999999999</v>
      </c>
      <c r="G411" s="21">
        <f t="shared" si="171"/>
        <v>472.09343999999999</v>
      </c>
      <c r="H411" s="21">
        <f t="shared" si="171"/>
        <v>472.09343999999999</v>
      </c>
      <c r="I411" s="21">
        <f t="shared" si="171"/>
        <v>472.09343999999999</v>
      </c>
      <c r="J411" s="21">
        <f t="shared" si="171"/>
        <v>472.09343999999999</v>
      </c>
      <c r="K411" s="21">
        <f t="shared" si="171"/>
        <v>472.09343999999999</v>
      </c>
      <c r="L411" s="21">
        <f t="shared" si="171"/>
        <v>472.09343999999999</v>
      </c>
      <c r="M411" s="21">
        <f t="shared" si="171"/>
        <v>472.09343999999999</v>
      </c>
      <c r="N411" s="21">
        <f>SUM(B411:M411)</f>
        <v>5665.1212799999994</v>
      </c>
    </row>
    <row r="412" spans="1:14">
      <c r="A412" s="20"/>
      <c r="B412" s="21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>
      <c r="A413" s="402" t="s">
        <v>24</v>
      </c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>
      <c r="A414" s="27" t="s">
        <v>16</v>
      </c>
      <c r="B414" s="28">
        <f>'TSAS Demand Revenues (7)'!B402</f>
        <v>62000</v>
      </c>
      <c r="C414" s="28">
        <f>'TSAS Demand Revenues (7)'!C402</f>
        <v>62000</v>
      </c>
      <c r="D414" s="28">
        <f>'TSAS Demand Revenues (7)'!D402</f>
        <v>62000</v>
      </c>
      <c r="E414" s="28">
        <f>'TSAS Demand Revenues (7)'!E402</f>
        <v>62000</v>
      </c>
      <c r="F414" s="28">
        <f>'TSAS Demand Revenues (7)'!F402</f>
        <v>62000</v>
      </c>
      <c r="G414" s="28">
        <f>'TSAS Demand Revenues (7)'!G402</f>
        <v>62000</v>
      </c>
      <c r="H414" s="28">
        <f>'TSAS Demand Revenues (7)'!H402</f>
        <v>62000</v>
      </c>
      <c r="I414" s="28">
        <f>'TSAS Demand Revenues (7)'!I402</f>
        <v>62000</v>
      </c>
      <c r="J414" s="28">
        <f>'TSAS Demand Revenues (7)'!J402</f>
        <v>62000</v>
      </c>
      <c r="K414" s="28">
        <f>'TSAS Demand Revenues (7)'!K402</f>
        <v>62000</v>
      </c>
      <c r="L414" s="28">
        <f>'TSAS Demand Revenues (7)'!L402</f>
        <v>62000</v>
      </c>
      <c r="M414" s="28">
        <f>'TSAS Demand Revenues (7)'!M402</f>
        <v>62000</v>
      </c>
      <c r="N414" s="28">
        <f>SUM(B414:M414)</f>
        <v>744000</v>
      </c>
    </row>
    <row r="415" spans="1:14">
      <c r="A415" s="26" t="s">
        <v>20</v>
      </c>
      <c r="B415" s="33">
        <f>B410</f>
        <v>1.274E-2</v>
      </c>
      <c r="C415" s="33">
        <f t="shared" ref="C415:M415" si="172">+$B$34</f>
        <v>1.274E-2</v>
      </c>
      <c r="D415" s="33">
        <f t="shared" si="172"/>
        <v>1.274E-2</v>
      </c>
      <c r="E415" s="33">
        <f t="shared" si="172"/>
        <v>1.274E-2</v>
      </c>
      <c r="F415" s="33">
        <f t="shared" si="172"/>
        <v>1.274E-2</v>
      </c>
      <c r="G415" s="33">
        <f t="shared" si="172"/>
        <v>1.274E-2</v>
      </c>
      <c r="H415" s="33">
        <f t="shared" si="172"/>
        <v>1.274E-2</v>
      </c>
      <c r="I415" s="33">
        <f t="shared" si="172"/>
        <v>1.274E-2</v>
      </c>
      <c r="J415" s="33">
        <f t="shared" si="172"/>
        <v>1.274E-2</v>
      </c>
      <c r="K415" s="33">
        <f t="shared" si="172"/>
        <v>1.274E-2</v>
      </c>
      <c r="L415" s="33">
        <f t="shared" si="172"/>
        <v>1.274E-2</v>
      </c>
      <c r="M415" s="33">
        <f t="shared" si="172"/>
        <v>1.274E-2</v>
      </c>
      <c r="N415" s="20"/>
    </row>
    <row r="416" spans="1:14">
      <c r="A416" s="26" t="s">
        <v>17</v>
      </c>
      <c r="B416" s="21">
        <f t="shared" ref="B416:M416" si="173">B414*B415</f>
        <v>789.88</v>
      </c>
      <c r="C416" s="21">
        <f t="shared" si="173"/>
        <v>789.88</v>
      </c>
      <c r="D416" s="21">
        <f t="shared" si="173"/>
        <v>789.88</v>
      </c>
      <c r="E416" s="21">
        <f t="shared" si="173"/>
        <v>789.88</v>
      </c>
      <c r="F416" s="21">
        <f t="shared" si="173"/>
        <v>789.88</v>
      </c>
      <c r="G416" s="21">
        <f t="shared" si="173"/>
        <v>789.88</v>
      </c>
      <c r="H416" s="21">
        <f t="shared" si="173"/>
        <v>789.88</v>
      </c>
      <c r="I416" s="21">
        <f t="shared" si="173"/>
        <v>789.88</v>
      </c>
      <c r="J416" s="21">
        <f t="shared" si="173"/>
        <v>789.88</v>
      </c>
      <c r="K416" s="21">
        <f t="shared" si="173"/>
        <v>789.88</v>
      </c>
      <c r="L416" s="21">
        <f t="shared" si="173"/>
        <v>789.88</v>
      </c>
      <c r="M416" s="21">
        <f t="shared" si="173"/>
        <v>789.88</v>
      </c>
      <c r="N416" s="21">
        <f>SUM(B416:M416)</f>
        <v>9478.56</v>
      </c>
    </row>
    <row r="417" spans="1:14">
      <c r="A417" s="26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</row>
    <row r="418" spans="1:14">
      <c r="A418" s="402" t="s">
        <v>116</v>
      </c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>
      <c r="A419" s="27" t="s">
        <v>16</v>
      </c>
      <c r="B419" s="28">
        <f>'TSAS Demand Revenues (7)'!B407</f>
        <v>40000</v>
      </c>
      <c r="C419" s="28">
        <f>'TSAS Demand Revenues (7)'!C407</f>
        <v>0</v>
      </c>
      <c r="D419" s="28">
        <f>'TSAS Demand Revenues (7)'!D407</f>
        <v>0</v>
      </c>
      <c r="E419" s="28">
        <f>'TSAS Demand Revenues (7)'!E407</f>
        <v>0</v>
      </c>
      <c r="F419" s="28">
        <f>'TSAS Demand Revenues (7)'!F407</f>
        <v>0</v>
      </c>
      <c r="G419" s="28">
        <f>'TSAS Demand Revenues (7)'!G407</f>
        <v>0</v>
      </c>
      <c r="H419" s="28">
        <f>'TSAS Demand Revenues (7)'!H407</f>
        <v>0</v>
      </c>
      <c r="I419" s="28">
        <f>'TSAS Demand Revenues (7)'!I407</f>
        <v>0</v>
      </c>
      <c r="J419" s="28">
        <f>'TSAS Demand Revenues (7)'!J407</f>
        <v>0</v>
      </c>
      <c r="K419" s="28">
        <f>'TSAS Demand Revenues (7)'!K407</f>
        <v>0</v>
      </c>
      <c r="L419" s="28">
        <f>'TSAS Demand Revenues (7)'!L407</f>
        <v>0</v>
      </c>
      <c r="M419" s="28">
        <f>'TSAS Demand Revenues (7)'!M407</f>
        <v>0</v>
      </c>
      <c r="N419" s="28">
        <f>SUM(B419:M419)</f>
        <v>40000</v>
      </c>
    </row>
    <row r="420" spans="1:14">
      <c r="A420" s="26" t="s">
        <v>20</v>
      </c>
      <c r="B420" s="33">
        <f>B415</f>
        <v>1.274E-2</v>
      </c>
      <c r="C420" s="33">
        <f t="shared" ref="C420" si="174">B420</f>
        <v>1.274E-2</v>
      </c>
      <c r="D420" s="33">
        <f t="shared" ref="D420" si="175">C420</f>
        <v>1.274E-2</v>
      </c>
      <c r="E420" s="33">
        <f t="shared" ref="E420" si="176">D420</f>
        <v>1.274E-2</v>
      </c>
      <c r="F420" s="33">
        <f t="shared" ref="F420" si="177">E420</f>
        <v>1.274E-2</v>
      </c>
      <c r="G420" s="33">
        <f t="shared" ref="G420" si="178">F420</f>
        <v>1.274E-2</v>
      </c>
      <c r="H420" s="33">
        <f t="shared" ref="H420" si="179">G420</f>
        <v>1.274E-2</v>
      </c>
      <c r="I420" s="33">
        <f t="shared" ref="I420" si="180">H420</f>
        <v>1.274E-2</v>
      </c>
      <c r="J420" s="33">
        <f t="shared" ref="J420" si="181">I420</f>
        <v>1.274E-2</v>
      </c>
      <c r="K420" s="33">
        <f t="shared" ref="K420" si="182">J420</f>
        <v>1.274E-2</v>
      </c>
      <c r="L420" s="33">
        <f t="shared" ref="L420" si="183">K420</f>
        <v>1.274E-2</v>
      </c>
      <c r="M420" s="33">
        <f t="shared" ref="M420" si="184">L420</f>
        <v>1.274E-2</v>
      </c>
      <c r="N420" s="20"/>
    </row>
    <row r="421" spans="1:14">
      <c r="A421" s="26" t="s">
        <v>17</v>
      </c>
      <c r="B421" s="21">
        <f t="shared" ref="B421:M421" si="185">B419*B420</f>
        <v>509.59999999999997</v>
      </c>
      <c r="C421" s="21">
        <f t="shared" si="185"/>
        <v>0</v>
      </c>
      <c r="D421" s="21">
        <f t="shared" si="185"/>
        <v>0</v>
      </c>
      <c r="E421" s="21">
        <f t="shared" si="185"/>
        <v>0</v>
      </c>
      <c r="F421" s="21">
        <f t="shared" si="185"/>
        <v>0</v>
      </c>
      <c r="G421" s="21">
        <f t="shared" si="185"/>
        <v>0</v>
      </c>
      <c r="H421" s="21">
        <f t="shared" si="185"/>
        <v>0</v>
      </c>
      <c r="I421" s="21">
        <f t="shared" si="185"/>
        <v>0</v>
      </c>
      <c r="J421" s="21">
        <f t="shared" si="185"/>
        <v>0</v>
      </c>
      <c r="K421" s="21">
        <f t="shared" si="185"/>
        <v>0</v>
      </c>
      <c r="L421" s="21">
        <f t="shared" si="185"/>
        <v>0</v>
      </c>
      <c r="M421" s="21">
        <f t="shared" si="185"/>
        <v>0</v>
      </c>
      <c r="N421" s="21">
        <f>SUM(B421:M421)</f>
        <v>509.59999999999997</v>
      </c>
    </row>
    <row r="422" spans="1:14">
      <c r="A422" s="26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</row>
    <row r="423" spans="1:14">
      <c r="A423" s="402" t="s">
        <v>237</v>
      </c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>
      <c r="A424" s="27" t="s">
        <v>16</v>
      </c>
      <c r="B424" s="28">
        <f>'TSAS Demand Revenues (7)'!B412</f>
        <v>3000</v>
      </c>
      <c r="C424" s="28">
        <f>'TSAS Demand Revenues (7)'!C412</f>
        <v>3000</v>
      </c>
      <c r="D424" s="28">
        <f>'TSAS Demand Revenues (7)'!D412</f>
        <v>3000</v>
      </c>
      <c r="E424" s="28">
        <f>'TSAS Demand Revenues (7)'!E412</f>
        <v>3000</v>
      </c>
      <c r="F424" s="28">
        <f>'TSAS Demand Revenues (7)'!F412</f>
        <v>3000</v>
      </c>
      <c r="G424" s="28">
        <f>'TSAS Demand Revenues (7)'!G412</f>
        <v>3000</v>
      </c>
      <c r="H424" s="28">
        <f>'TSAS Demand Revenues (7)'!H412</f>
        <v>3000</v>
      </c>
      <c r="I424" s="28">
        <f>'TSAS Demand Revenues (7)'!I412</f>
        <v>3000</v>
      </c>
      <c r="J424" s="28">
        <f>'TSAS Demand Revenues (7)'!J412</f>
        <v>3000</v>
      </c>
      <c r="K424" s="28">
        <f>'TSAS Demand Revenues (7)'!K412</f>
        <v>3000</v>
      </c>
      <c r="L424" s="28">
        <f>'TSAS Demand Revenues (7)'!L412</f>
        <v>3000</v>
      </c>
      <c r="M424" s="28">
        <f>'TSAS Demand Revenues (7)'!M412</f>
        <v>3000</v>
      </c>
      <c r="N424" s="28">
        <f>SUM(B424:M424)</f>
        <v>36000</v>
      </c>
    </row>
    <row r="425" spans="1:14">
      <c r="A425" s="26" t="s">
        <v>20</v>
      </c>
      <c r="B425" s="33">
        <f>B420</f>
        <v>1.274E-2</v>
      </c>
      <c r="C425" s="33">
        <f t="shared" ref="C425" si="186">B425</f>
        <v>1.274E-2</v>
      </c>
      <c r="D425" s="33">
        <f t="shared" ref="D425" si="187">C425</f>
        <v>1.274E-2</v>
      </c>
      <c r="E425" s="33">
        <f t="shared" ref="E425" si="188">D425</f>
        <v>1.274E-2</v>
      </c>
      <c r="F425" s="33">
        <f t="shared" ref="F425" si="189">E425</f>
        <v>1.274E-2</v>
      </c>
      <c r="G425" s="33">
        <f t="shared" ref="G425" si="190">F425</f>
        <v>1.274E-2</v>
      </c>
      <c r="H425" s="33">
        <f t="shared" ref="H425" si="191">G425</f>
        <v>1.274E-2</v>
      </c>
      <c r="I425" s="33">
        <f t="shared" ref="I425" si="192">H425</f>
        <v>1.274E-2</v>
      </c>
      <c r="J425" s="33">
        <f t="shared" ref="J425" si="193">I425</f>
        <v>1.274E-2</v>
      </c>
      <c r="K425" s="33">
        <f t="shared" ref="K425" si="194">J425</f>
        <v>1.274E-2</v>
      </c>
      <c r="L425" s="33">
        <f t="shared" ref="L425" si="195">K425</f>
        <v>1.274E-2</v>
      </c>
      <c r="M425" s="33">
        <f t="shared" ref="M425" si="196">L425</f>
        <v>1.274E-2</v>
      </c>
      <c r="N425" s="20"/>
    </row>
    <row r="426" spans="1:14">
      <c r="A426" s="26" t="s">
        <v>17</v>
      </c>
      <c r="B426" s="21">
        <f t="shared" ref="B426:M426" si="197">B424*B425</f>
        <v>38.22</v>
      </c>
      <c r="C426" s="21">
        <f t="shared" si="197"/>
        <v>38.22</v>
      </c>
      <c r="D426" s="21">
        <f t="shared" si="197"/>
        <v>38.22</v>
      </c>
      <c r="E426" s="21">
        <f t="shared" si="197"/>
        <v>38.22</v>
      </c>
      <c r="F426" s="21">
        <f t="shared" si="197"/>
        <v>38.22</v>
      </c>
      <c r="G426" s="21">
        <f t="shared" si="197"/>
        <v>38.22</v>
      </c>
      <c r="H426" s="21">
        <f t="shared" si="197"/>
        <v>38.22</v>
      </c>
      <c r="I426" s="21">
        <f t="shared" si="197"/>
        <v>38.22</v>
      </c>
      <c r="J426" s="21">
        <f t="shared" si="197"/>
        <v>38.22</v>
      </c>
      <c r="K426" s="21">
        <f t="shared" si="197"/>
        <v>38.22</v>
      </c>
      <c r="L426" s="21">
        <f t="shared" si="197"/>
        <v>38.22</v>
      </c>
      <c r="M426" s="21">
        <f t="shared" si="197"/>
        <v>38.22</v>
      </c>
      <c r="N426" s="21">
        <f>SUM(B426:M426)</f>
        <v>458.6400000000001</v>
      </c>
    </row>
    <row r="427" spans="1:14">
      <c r="A427" s="26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</row>
    <row r="428" spans="1:14">
      <c r="A428" s="402" t="s">
        <v>179</v>
      </c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>
      <c r="A429" s="27" t="s">
        <v>16</v>
      </c>
      <c r="B429" s="28">
        <f>'TSAS Demand Revenues (7)'!B422</f>
        <v>0</v>
      </c>
      <c r="C429" s="28">
        <f>'TSAS Demand Revenues (7)'!C422</f>
        <v>0</v>
      </c>
      <c r="D429" s="28">
        <f>'TSAS Demand Revenues (7)'!D422</f>
        <v>0</v>
      </c>
      <c r="E429" s="28">
        <f>'TSAS Demand Revenues (7)'!E422</f>
        <v>0</v>
      </c>
      <c r="F429" s="28">
        <f>'TSAS Demand Revenues (7)'!F422</f>
        <v>0</v>
      </c>
      <c r="G429" s="28">
        <f>'TSAS Demand Revenues (7)'!G422</f>
        <v>0</v>
      </c>
      <c r="H429" s="28">
        <f>'TSAS Demand Revenues (7)'!H422</f>
        <v>0</v>
      </c>
      <c r="I429" s="28">
        <f>'TSAS Demand Revenues (7)'!I422</f>
        <v>0</v>
      </c>
      <c r="J429" s="28">
        <f>'TSAS Demand Revenues (7)'!J422</f>
        <v>0</v>
      </c>
      <c r="K429" s="28">
        <f>'TSAS Demand Revenues (7)'!K422</f>
        <v>0</v>
      </c>
      <c r="L429" s="28">
        <f>'TSAS Demand Revenues (7)'!L422</f>
        <v>0</v>
      </c>
      <c r="M429" s="28">
        <f>'TSAS Demand Revenues (7)'!M422</f>
        <v>0</v>
      </c>
      <c r="N429" s="28">
        <f>SUM(B429:M429)</f>
        <v>0</v>
      </c>
    </row>
    <row r="430" spans="1:14">
      <c r="A430" s="26" t="s">
        <v>20</v>
      </c>
      <c r="B430" s="33">
        <f>B420</f>
        <v>1.274E-2</v>
      </c>
      <c r="C430" s="33">
        <f t="shared" ref="C430:M430" si="198">C420</f>
        <v>1.274E-2</v>
      </c>
      <c r="D430" s="33">
        <f t="shared" si="198"/>
        <v>1.274E-2</v>
      </c>
      <c r="E430" s="33">
        <f t="shared" si="198"/>
        <v>1.274E-2</v>
      </c>
      <c r="F430" s="33">
        <f t="shared" si="198"/>
        <v>1.274E-2</v>
      </c>
      <c r="G430" s="33">
        <f t="shared" si="198"/>
        <v>1.274E-2</v>
      </c>
      <c r="H430" s="33">
        <f t="shared" si="198"/>
        <v>1.274E-2</v>
      </c>
      <c r="I430" s="33">
        <f t="shared" si="198"/>
        <v>1.274E-2</v>
      </c>
      <c r="J430" s="33">
        <f t="shared" si="198"/>
        <v>1.274E-2</v>
      </c>
      <c r="K430" s="33">
        <f t="shared" si="198"/>
        <v>1.274E-2</v>
      </c>
      <c r="L430" s="33">
        <f t="shared" si="198"/>
        <v>1.274E-2</v>
      </c>
      <c r="M430" s="33">
        <f t="shared" si="198"/>
        <v>1.274E-2</v>
      </c>
      <c r="N430" s="20"/>
    </row>
    <row r="431" spans="1:14">
      <c r="A431" s="26" t="s">
        <v>17</v>
      </c>
      <c r="B431" s="21">
        <f t="shared" ref="B431:M431" si="199">B429*B430</f>
        <v>0</v>
      </c>
      <c r="C431" s="21">
        <f t="shared" si="199"/>
        <v>0</v>
      </c>
      <c r="D431" s="21">
        <f t="shared" si="199"/>
        <v>0</v>
      </c>
      <c r="E431" s="21">
        <f t="shared" si="199"/>
        <v>0</v>
      </c>
      <c r="F431" s="21">
        <f t="shared" si="199"/>
        <v>0</v>
      </c>
      <c r="G431" s="21">
        <f t="shared" si="199"/>
        <v>0</v>
      </c>
      <c r="H431" s="21">
        <f t="shared" si="199"/>
        <v>0</v>
      </c>
      <c r="I431" s="21">
        <f t="shared" si="199"/>
        <v>0</v>
      </c>
      <c r="J431" s="21">
        <f t="shared" si="199"/>
        <v>0</v>
      </c>
      <c r="K431" s="21">
        <f t="shared" si="199"/>
        <v>0</v>
      </c>
      <c r="L431" s="21">
        <f t="shared" si="199"/>
        <v>0</v>
      </c>
      <c r="M431" s="21">
        <f t="shared" si="199"/>
        <v>0</v>
      </c>
      <c r="N431" s="21">
        <f>SUM(B431:M431)</f>
        <v>0</v>
      </c>
    </row>
    <row r="432" spans="1:14">
      <c r="A432" s="26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</row>
    <row r="433" spans="1:14">
      <c r="A433" s="402" t="s">
        <v>44</v>
      </c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1:14">
      <c r="A434" s="27" t="s">
        <v>16</v>
      </c>
      <c r="B434" s="28">
        <f>'TSAS Demand Revenues (7)'!B422</f>
        <v>0</v>
      </c>
      <c r="C434" s="28">
        <f>'TSAS Demand Revenues (7)'!C422</f>
        <v>0</v>
      </c>
      <c r="D434" s="28">
        <f>'TSAS Demand Revenues (7)'!D422</f>
        <v>0</v>
      </c>
      <c r="E434" s="28">
        <f>'TSAS Demand Revenues (7)'!E422</f>
        <v>0</v>
      </c>
      <c r="F434" s="28">
        <f>'TSAS Demand Revenues (7)'!F422</f>
        <v>0</v>
      </c>
      <c r="G434" s="28">
        <f>'TSAS Demand Revenues (7)'!G422</f>
        <v>0</v>
      </c>
      <c r="H434" s="28">
        <f>'TSAS Demand Revenues (7)'!H422</f>
        <v>0</v>
      </c>
      <c r="I434" s="28">
        <f>'TSAS Demand Revenues (7)'!I422</f>
        <v>0</v>
      </c>
      <c r="J434" s="28">
        <f>'TSAS Demand Revenues (7)'!J422</f>
        <v>0</v>
      </c>
      <c r="K434" s="28">
        <f>'TSAS Demand Revenues (7)'!K422</f>
        <v>0</v>
      </c>
      <c r="L434" s="28">
        <f>'TSAS Demand Revenues (7)'!L422</f>
        <v>0</v>
      </c>
      <c r="M434" s="28">
        <f>'TSAS Demand Revenues (7)'!M422</f>
        <v>0</v>
      </c>
      <c r="N434" s="28">
        <f>SUM(B434:M434)</f>
        <v>0</v>
      </c>
    </row>
    <row r="435" spans="1:14">
      <c r="A435" s="26" t="s">
        <v>20</v>
      </c>
      <c r="B435" s="33">
        <f>B425</f>
        <v>1.274E-2</v>
      </c>
      <c r="C435" s="33">
        <f t="shared" ref="C435:M435" si="200">+$B$34</f>
        <v>1.274E-2</v>
      </c>
      <c r="D435" s="33">
        <f t="shared" si="200"/>
        <v>1.274E-2</v>
      </c>
      <c r="E435" s="33">
        <f t="shared" si="200"/>
        <v>1.274E-2</v>
      </c>
      <c r="F435" s="33">
        <f t="shared" si="200"/>
        <v>1.274E-2</v>
      </c>
      <c r="G435" s="33">
        <f t="shared" si="200"/>
        <v>1.274E-2</v>
      </c>
      <c r="H435" s="33">
        <f t="shared" si="200"/>
        <v>1.274E-2</v>
      </c>
      <c r="I435" s="33">
        <f t="shared" si="200"/>
        <v>1.274E-2</v>
      </c>
      <c r="J435" s="33">
        <f t="shared" si="200"/>
        <v>1.274E-2</v>
      </c>
      <c r="K435" s="33">
        <f t="shared" si="200"/>
        <v>1.274E-2</v>
      </c>
      <c r="L435" s="33">
        <f t="shared" si="200"/>
        <v>1.274E-2</v>
      </c>
      <c r="M435" s="33">
        <f t="shared" si="200"/>
        <v>1.274E-2</v>
      </c>
      <c r="N435" s="20"/>
    </row>
    <row r="436" spans="1:14">
      <c r="A436" s="26" t="s">
        <v>17</v>
      </c>
      <c r="B436" s="21">
        <f t="shared" ref="B436:M436" si="201">B434*B435</f>
        <v>0</v>
      </c>
      <c r="C436" s="21">
        <f t="shared" si="201"/>
        <v>0</v>
      </c>
      <c r="D436" s="21">
        <f t="shared" si="201"/>
        <v>0</v>
      </c>
      <c r="E436" s="21">
        <f t="shared" si="201"/>
        <v>0</v>
      </c>
      <c r="F436" s="21">
        <f t="shared" si="201"/>
        <v>0</v>
      </c>
      <c r="G436" s="21">
        <f t="shared" si="201"/>
        <v>0</v>
      </c>
      <c r="H436" s="21">
        <f t="shared" si="201"/>
        <v>0</v>
      </c>
      <c r="I436" s="21">
        <f t="shared" si="201"/>
        <v>0</v>
      </c>
      <c r="J436" s="21">
        <f t="shared" si="201"/>
        <v>0</v>
      </c>
      <c r="K436" s="21">
        <f t="shared" si="201"/>
        <v>0</v>
      </c>
      <c r="L436" s="21">
        <f t="shared" si="201"/>
        <v>0</v>
      </c>
      <c r="M436" s="21">
        <f t="shared" si="201"/>
        <v>0</v>
      </c>
      <c r="N436" s="21">
        <f>SUM(B436:M436)</f>
        <v>0</v>
      </c>
    </row>
    <row r="437" spans="1:14">
      <c r="A437" s="26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</row>
    <row r="438" spans="1:14">
      <c r="A438" s="402" t="s">
        <v>117</v>
      </c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1:14">
      <c r="A439" s="27" t="s">
        <v>16</v>
      </c>
      <c r="B439" s="28">
        <f>'TSAS Demand Revenues (7)'!B427</f>
        <v>100000</v>
      </c>
      <c r="C439" s="28">
        <f>'TSAS Demand Revenues (7)'!C427</f>
        <v>100000</v>
      </c>
      <c r="D439" s="28">
        <f>'TSAS Demand Revenues (7)'!D427</f>
        <v>100000</v>
      </c>
      <c r="E439" s="28">
        <f>'TSAS Demand Revenues (7)'!E427</f>
        <v>100000</v>
      </c>
      <c r="F439" s="28">
        <f>'TSAS Demand Revenues (7)'!F427</f>
        <v>100000</v>
      </c>
      <c r="G439" s="28">
        <f>'TSAS Demand Revenues (7)'!G427</f>
        <v>100000</v>
      </c>
      <c r="H439" s="28">
        <f>'TSAS Demand Revenues (7)'!H427</f>
        <v>100000</v>
      </c>
      <c r="I439" s="28">
        <f>'TSAS Demand Revenues (7)'!I427</f>
        <v>100000</v>
      </c>
      <c r="J439" s="28">
        <f>'TSAS Demand Revenues (7)'!J427</f>
        <v>100000</v>
      </c>
      <c r="K439" s="28">
        <f>'TSAS Demand Revenues (7)'!K427</f>
        <v>100000</v>
      </c>
      <c r="L439" s="28">
        <f>'TSAS Demand Revenues (7)'!L427</f>
        <v>100000</v>
      </c>
      <c r="M439" s="28">
        <f>'TSAS Demand Revenues (7)'!M427</f>
        <v>100000</v>
      </c>
      <c r="N439" s="28">
        <f>SUM(B439:M439)</f>
        <v>1200000</v>
      </c>
    </row>
    <row r="440" spans="1:14">
      <c r="A440" s="26" t="s">
        <v>20</v>
      </c>
      <c r="B440" s="33">
        <f>B435</f>
        <v>1.274E-2</v>
      </c>
      <c r="C440" s="33">
        <f t="shared" ref="C440:M440" si="202">+$B$34</f>
        <v>1.274E-2</v>
      </c>
      <c r="D440" s="33">
        <f t="shared" si="202"/>
        <v>1.274E-2</v>
      </c>
      <c r="E440" s="33">
        <f t="shared" si="202"/>
        <v>1.274E-2</v>
      </c>
      <c r="F440" s="33">
        <f t="shared" si="202"/>
        <v>1.274E-2</v>
      </c>
      <c r="G440" s="33">
        <f t="shared" si="202"/>
        <v>1.274E-2</v>
      </c>
      <c r="H440" s="33">
        <f t="shared" si="202"/>
        <v>1.274E-2</v>
      </c>
      <c r="I440" s="33">
        <f t="shared" si="202"/>
        <v>1.274E-2</v>
      </c>
      <c r="J440" s="33">
        <f t="shared" si="202"/>
        <v>1.274E-2</v>
      </c>
      <c r="K440" s="33">
        <f t="shared" si="202"/>
        <v>1.274E-2</v>
      </c>
      <c r="L440" s="33">
        <f t="shared" si="202"/>
        <v>1.274E-2</v>
      </c>
      <c r="M440" s="33">
        <f t="shared" si="202"/>
        <v>1.274E-2</v>
      </c>
      <c r="N440" s="20"/>
    </row>
    <row r="441" spans="1:14">
      <c r="A441" s="26" t="s">
        <v>17</v>
      </c>
      <c r="B441" s="21">
        <f t="shared" ref="B441:M441" si="203">B439*B440</f>
        <v>1274</v>
      </c>
      <c r="C441" s="21">
        <f t="shared" si="203"/>
        <v>1274</v>
      </c>
      <c r="D441" s="21">
        <f t="shared" si="203"/>
        <v>1274</v>
      </c>
      <c r="E441" s="21">
        <f t="shared" si="203"/>
        <v>1274</v>
      </c>
      <c r="F441" s="21">
        <f t="shared" si="203"/>
        <v>1274</v>
      </c>
      <c r="G441" s="21">
        <f t="shared" si="203"/>
        <v>1274</v>
      </c>
      <c r="H441" s="21">
        <f t="shared" si="203"/>
        <v>1274</v>
      </c>
      <c r="I441" s="21">
        <f t="shared" si="203"/>
        <v>1274</v>
      </c>
      <c r="J441" s="21">
        <f t="shared" si="203"/>
        <v>1274</v>
      </c>
      <c r="K441" s="21">
        <f t="shared" si="203"/>
        <v>1274</v>
      </c>
      <c r="L441" s="21">
        <f t="shared" si="203"/>
        <v>1274</v>
      </c>
      <c r="M441" s="21">
        <f t="shared" si="203"/>
        <v>1274</v>
      </c>
      <c r="N441" s="21">
        <f>SUM(B441:M441)</f>
        <v>15288</v>
      </c>
    </row>
    <row r="442" spans="1:14">
      <c r="A442" s="26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</row>
    <row r="443" spans="1:14">
      <c r="A443" s="26" t="s">
        <v>171</v>
      </c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8"/>
    </row>
    <row r="444" spans="1:14">
      <c r="A444" s="27" t="s">
        <v>16</v>
      </c>
      <c r="B444" s="21">
        <v>0</v>
      </c>
      <c r="C444" s="21">
        <v>0</v>
      </c>
      <c r="D444" s="21">
        <v>0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8">
        <f>SUM(B444:M444)</f>
        <v>0</v>
      </c>
    </row>
    <row r="445" spans="1:14">
      <c r="A445" s="26" t="s">
        <v>20</v>
      </c>
      <c r="B445" s="33">
        <f>B440</f>
        <v>1.274E-2</v>
      </c>
      <c r="C445" s="33">
        <f t="shared" ref="C445:M445" si="204">C440</f>
        <v>1.274E-2</v>
      </c>
      <c r="D445" s="33">
        <f t="shared" si="204"/>
        <v>1.274E-2</v>
      </c>
      <c r="E445" s="33">
        <f t="shared" si="204"/>
        <v>1.274E-2</v>
      </c>
      <c r="F445" s="33">
        <f t="shared" si="204"/>
        <v>1.274E-2</v>
      </c>
      <c r="G445" s="33">
        <f t="shared" si="204"/>
        <v>1.274E-2</v>
      </c>
      <c r="H445" s="33">
        <f t="shared" si="204"/>
        <v>1.274E-2</v>
      </c>
      <c r="I445" s="33">
        <f t="shared" si="204"/>
        <v>1.274E-2</v>
      </c>
      <c r="J445" s="33">
        <f t="shared" si="204"/>
        <v>1.274E-2</v>
      </c>
      <c r="K445" s="33">
        <f t="shared" si="204"/>
        <v>1.274E-2</v>
      </c>
      <c r="L445" s="33">
        <f t="shared" si="204"/>
        <v>1.274E-2</v>
      </c>
      <c r="M445" s="33">
        <f t="shared" si="204"/>
        <v>1.274E-2</v>
      </c>
      <c r="N445" s="20"/>
    </row>
    <row r="446" spans="1:14">
      <c r="A446" s="26" t="s">
        <v>17</v>
      </c>
      <c r="B446" s="21">
        <f t="shared" ref="B446:M446" si="205">B444*B445</f>
        <v>0</v>
      </c>
      <c r="C446" s="21">
        <f t="shared" si="205"/>
        <v>0</v>
      </c>
      <c r="D446" s="21">
        <f t="shared" si="205"/>
        <v>0</v>
      </c>
      <c r="E446" s="21">
        <f t="shared" si="205"/>
        <v>0</v>
      </c>
      <c r="F446" s="21">
        <f t="shared" si="205"/>
        <v>0</v>
      </c>
      <c r="G446" s="21">
        <f t="shared" si="205"/>
        <v>0</v>
      </c>
      <c r="H446" s="21">
        <f t="shared" si="205"/>
        <v>0</v>
      </c>
      <c r="I446" s="21">
        <f t="shared" si="205"/>
        <v>0</v>
      </c>
      <c r="J446" s="21">
        <f t="shared" si="205"/>
        <v>0</v>
      </c>
      <c r="K446" s="21">
        <f t="shared" si="205"/>
        <v>0</v>
      </c>
      <c r="L446" s="21">
        <f t="shared" si="205"/>
        <v>0</v>
      </c>
      <c r="M446" s="21">
        <f t="shared" si="205"/>
        <v>0</v>
      </c>
      <c r="N446" s="21">
        <f>SUM(B446:M446)</f>
        <v>0</v>
      </c>
    </row>
    <row r="447" spans="1:14">
      <c r="A447" s="26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</row>
    <row r="448" spans="1:14">
      <c r="A448" s="145" t="s">
        <v>25</v>
      </c>
      <c r="B448" s="144">
        <f t="shared" ref="B448:M448" si="206">B396+B401+B406+B411+B416+B421+B436+B426+B441+B446+B431</f>
        <v>3147.4934400000002</v>
      </c>
      <c r="C448" s="144">
        <f t="shared" si="206"/>
        <v>2637.8934399999998</v>
      </c>
      <c r="D448" s="144">
        <f t="shared" si="206"/>
        <v>2637.8934399999998</v>
      </c>
      <c r="E448" s="144">
        <f t="shared" si="206"/>
        <v>2637.8934399999998</v>
      </c>
      <c r="F448" s="144">
        <f t="shared" si="206"/>
        <v>2637.8934399999998</v>
      </c>
      <c r="G448" s="144">
        <f t="shared" si="206"/>
        <v>2637.8934399999998</v>
      </c>
      <c r="H448" s="144">
        <f t="shared" si="206"/>
        <v>2637.8934399999998</v>
      </c>
      <c r="I448" s="144">
        <f t="shared" si="206"/>
        <v>2637.8934399999998</v>
      </c>
      <c r="J448" s="144">
        <f t="shared" si="206"/>
        <v>2637.8934399999998</v>
      </c>
      <c r="K448" s="144">
        <f t="shared" si="206"/>
        <v>2637.8934399999998</v>
      </c>
      <c r="L448" s="144">
        <f t="shared" si="206"/>
        <v>2637.8934399999998</v>
      </c>
      <c r="M448" s="144">
        <f t="shared" si="206"/>
        <v>2637.8934399999998</v>
      </c>
      <c r="N448" s="144">
        <f>SUM(B448:M448)</f>
        <v>32164.321279999996</v>
      </c>
    </row>
    <row r="449" spans="1:14">
      <c r="A449" s="145" t="s">
        <v>60</v>
      </c>
      <c r="B449" s="146">
        <f t="shared" ref="B449:M449" si="207">B394+B399+B404+B409+B414+B419+B424+B434+B439+B444+B429</f>
        <v>247056</v>
      </c>
      <c r="C449" s="146">
        <f t="shared" si="207"/>
        <v>207056</v>
      </c>
      <c r="D449" s="146">
        <f t="shared" si="207"/>
        <v>207056</v>
      </c>
      <c r="E449" s="146">
        <f t="shared" si="207"/>
        <v>207056</v>
      </c>
      <c r="F449" s="146">
        <f t="shared" si="207"/>
        <v>207056</v>
      </c>
      <c r="G449" s="146">
        <f t="shared" si="207"/>
        <v>207056</v>
      </c>
      <c r="H449" s="146">
        <f t="shared" si="207"/>
        <v>207056</v>
      </c>
      <c r="I449" s="146">
        <f t="shared" si="207"/>
        <v>207056</v>
      </c>
      <c r="J449" s="146">
        <f t="shared" si="207"/>
        <v>207056</v>
      </c>
      <c r="K449" s="146">
        <f t="shared" si="207"/>
        <v>207056</v>
      </c>
      <c r="L449" s="146">
        <f t="shared" si="207"/>
        <v>207056</v>
      </c>
      <c r="M449" s="146">
        <f t="shared" si="207"/>
        <v>207056</v>
      </c>
      <c r="N449" s="144">
        <f>SUM(B449:M449)</f>
        <v>2524672</v>
      </c>
    </row>
  </sheetData>
  <phoneticPr fontId="23" type="noConversion"/>
  <pageMargins left="0.59" right="0.2" top="0.55000000000000004" bottom="0.46" header="0.38" footer="0.18"/>
  <pageSetup scale="67" pageOrder="overThenDown" orientation="landscape" horizontalDpi="4294967292" verticalDpi="300" r:id="rId1"/>
  <headerFooter alignWithMargins="0">
    <oddHeader>&amp;A</oddHeader>
    <oddFooter>&amp;Z&amp;F</oddFooter>
  </headerFooter>
  <rowBreaks count="5" manualBreakCount="5">
    <brk id="68" max="16383" man="1"/>
    <brk id="143" max="16383" man="1"/>
    <brk id="209" max="16383" man="1"/>
    <brk id="269" max="16383" man="1"/>
    <brk id="329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00B050"/>
  </sheetPr>
  <dimension ref="A1:R434"/>
  <sheetViews>
    <sheetView zoomScaleNormal="100" workbookViewId="0">
      <pane xSplit="1" ySplit="7" topLeftCell="B8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activeCellId="1" sqref="A1:A2 A1:A2"/>
    </sheetView>
  </sheetViews>
  <sheetFormatPr defaultColWidth="9" defaultRowHeight="12"/>
  <cols>
    <col min="1" max="1" width="19.6640625" style="22" customWidth="1"/>
    <col min="2" max="2" width="7.77734375" style="22" customWidth="1"/>
    <col min="3" max="13" width="7.33203125" style="22" customWidth="1"/>
    <col min="14" max="14" width="9.109375" style="22" customWidth="1"/>
    <col min="15" max="16384" width="9" style="22"/>
  </cols>
  <sheetData>
    <row r="1" spans="1:18" ht="13.2">
      <c r="A1" s="480" t="s">
        <v>516</v>
      </c>
    </row>
    <row r="2" spans="1:18" ht="13.2">
      <c r="A2" s="480" t="s">
        <v>473</v>
      </c>
    </row>
    <row r="4" spans="1:18" s="16" customFormat="1" ht="13.8">
      <c r="A4" s="22"/>
      <c r="B4" s="14">
        <f ca="1">TRUNC(NOW())</f>
        <v>42475</v>
      </c>
      <c r="C4" s="15"/>
      <c r="D4" s="17" t="s">
        <v>15</v>
      </c>
      <c r="E4" s="15"/>
      <c r="F4" s="15"/>
      <c r="G4" s="15"/>
      <c r="H4" s="15"/>
      <c r="I4" s="15"/>
      <c r="J4" s="395" t="s">
        <v>334</v>
      </c>
      <c r="K4" s="395"/>
      <c r="L4" s="15"/>
      <c r="M4" s="15"/>
      <c r="N4" s="15"/>
      <c r="O4" s="15"/>
      <c r="P4" s="15"/>
      <c r="Q4" s="15"/>
      <c r="R4" s="15"/>
    </row>
    <row r="5" spans="1:18" s="16" customFormat="1" ht="13.8">
      <c r="A5" s="17"/>
      <c r="B5" s="18">
        <f ca="1">NOW()</f>
        <v>42475.808831944443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16" customFormat="1" ht="13.8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</row>
    <row r="7" spans="1:18" s="16" customFormat="1" ht="13.8">
      <c r="A7" s="23" t="s">
        <v>35</v>
      </c>
      <c r="B7" s="24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24" t="s">
        <v>12</v>
      </c>
    </row>
    <row r="8" spans="1:18" s="20" customFormat="1" ht="10.199999999999999">
      <c r="A8" s="25">
        <v>2014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8" s="20" customFormat="1" ht="7.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8" s="20" customFormat="1" ht="13.2">
      <c r="A10" s="23" t="s">
        <v>19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8" s="20" customFormat="1" ht="7.5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8" s="20" customFormat="1" ht="10.199999999999999">
      <c r="A12" s="402" t="s">
        <v>359</v>
      </c>
    </row>
    <row r="13" spans="1:18" s="29" customFormat="1">
      <c r="A13" s="27" t="s">
        <v>16</v>
      </c>
      <c r="B13" s="28">
        <f>'TSAS Scheduling Revenue (1)'!B13</f>
        <v>5000</v>
      </c>
      <c r="C13" s="28">
        <f>'TSAS Scheduling Revenue (1)'!C13</f>
        <v>5000</v>
      </c>
      <c r="D13" s="28">
        <f>'TSAS Scheduling Revenue (1)'!D13</f>
        <v>5000</v>
      </c>
      <c r="E13" s="28">
        <f>'TSAS Scheduling Revenue (1)'!E13</f>
        <v>5000</v>
      </c>
      <c r="F13" s="28">
        <f>'TSAS Scheduling Revenue (1)'!F13</f>
        <v>5000</v>
      </c>
      <c r="G13" s="28">
        <f>'TSAS Scheduling Revenue (1)'!G13</f>
        <v>5000</v>
      </c>
      <c r="H13" s="28">
        <f>'TSAS Scheduling Revenue (1)'!H13</f>
        <v>5000</v>
      </c>
      <c r="I13" s="28">
        <f>'TSAS Scheduling Revenue (1)'!I13</f>
        <v>5000</v>
      </c>
      <c r="J13" s="28">
        <f>'TSAS Scheduling Revenue (1)'!J13</f>
        <v>5000</v>
      </c>
      <c r="K13" s="28">
        <f>'TSAS Scheduling Revenue (1)'!K13</f>
        <v>5000</v>
      </c>
      <c r="L13" s="28">
        <f>'TSAS Scheduling Revenue (1)'!L13</f>
        <v>5000</v>
      </c>
      <c r="M13" s="28">
        <f>'TSAS Scheduling Revenue (1)'!M13</f>
        <v>5000</v>
      </c>
      <c r="N13" s="28">
        <f>SUM(B13:M13)</f>
        <v>60000</v>
      </c>
      <c r="O13" s="335"/>
      <c r="P13" s="22"/>
    </row>
    <row r="14" spans="1:18" s="20" customFormat="1">
      <c r="A14" s="26" t="s">
        <v>20</v>
      </c>
      <c r="B14" s="32">
        <f>'charges (1 &amp; 2)'!$C$20</f>
        <v>0.1008</v>
      </c>
      <c r="C14" s="32">
        <f>+$B$14</f>
        <v>0.1008</v>
      </c>
      <c r="D14" s="32">
        <f t="shared" ref="D14:M14" si="0">+$B$14</f>
        <v>0.1008</v>
      </c>
      <c r="E14" s="32">
        <f t="shared" si="0"/>
        <v>0.1008</v>
      </c>
      <c r="F14" s="32">
        <f t="shared" si="0"/>
        <v>0.1008</v>
      </c>
      <c r="G14" s="32">
        <f t="shared" si="0"/>
        <v>0.1008</v>
      </c>
      <c r="H14" s="32">
        <f t="shared" si="0"/>
        <v>0.1008</v>
      </c>
      <c r="I14" s="32">
        <f t="shared" si="0"/>
        <v>0.1008</v>
      </c>
      <c r="J14" s="32">
        <f t="shared" si="0"/>
        <v>0.1008</v>
      </c>
      <c r="K14" s="32">
        <f t="shared" si="0"/>
        <v>0.1008</v>
      </c>
      <c r="L14" s="32">
        <f t="shared" si="0"/>
        <v>0.1008</v>
      </c>
      <c r="M14" s="32">
        <f t="shared" si="0"/>
        <v>0.1008</v>
      </c>
      <c r="P14" s="22"/>
    </row>
    <row r="15" spans="1:18" s="20" customFormat="1">
      <c r="A15" s="26" t="s">
        <v>17</v>
      </c>
      <c r="B15" s="21">
        <f t="shared" ref="B15:M15" si="1">B13*B14</f>
        <v>504</v>
      </c>
      <c r="C15" s="21">
        <f t="shared" si="1"/>
        <v>504</v>
      </c>
      <c r="D15" s="21">
        <f t="shared" si="1"/>
        <v>504</v>
      </c>
      <c r="E15" s="21">
        <f t="shared" si="1"/>
        <v>504</v>
      </c>
      <c r="F15" s="21">
        <f t="shared" si="1"/>
        <v>504</v>
      </c>
      <c r="G15" s="21">
        <f t="shared" si="1"/>
        <v>504</v>
      </c>
      <c r="H15" s="21">
        <f t="shared" si="1"/>
        <v>504</v>
      </c>
      <c r="I15" s="21">
        <f t="shared" si="1"/>
        <v>504</v>
      </c>
      <c r="J15" s="21">
        <f t="shared" si="1"/>
        <v>504</v>
      </c>
      <c r="K15" s="21">
        <f t="shared" si="1"/>
        <v>504</v>
      </c>
      <c r="L15" s="21">
        <f t="shared" si="1"/>
        <v>504</v>
      </c>
      <c r="M15" s="21">
        <f t="shared" si="1"/>
        <v>504</v>
      </c>
      <c r="N15" s="21">
        <f>SUM(B15:M15)</f>
        <v>6048</v>
      </c>
      <c r="P15" s="22"/>
    </row>
    <row r="16" spans="1:18" s="20" customFormat="1">
      <c r="P16" s="22"/>
    </row>
    <row r="17" spans="1:16" s="20" customFormat="1">
      <c r="A17" s="402" t="s">
        <v>302</v>
      </c>
      <c r="P17" s="22"/>
    </row>
    <row r="18" spans="1:16" s="29" customFormat="1">
      <c r="A18" s="27" t="s">
        <v>16</v>
      </c>
      <c r="B18" s="28">
        <f>'TSAS Scheduling Revenue (1)'!B18</f>
        <v>23000</v>
      </c>
      <c r="C18" s="28">
        <f>'TSAS Scheduling Revenue (1)'!C18</f>
        <v>23000</v>
      </c>
      <c r="D18" s="28">
        <f>'TSAS Scheduling Revenue (1)'!D18</f>
        <v>23000</v>
      </c>
      <c r="E18" s="28">
        <f>'TSAS Scheduling Revenue (1)'!E18</f>
        <v>23000</v>
      </c>
      <c r="F18" s="28">
        <f>'TSAS Scheduling Revenue (1)'!F18</f>
        <v>23000</v>
      </c>
      <c r="G18" s="28">
        <f>'TSAS Scheduling Revenue (1)'!G18</f>
        <v>23000</v>
      </c>
      <c r="H18" s="28">
        <f>'TSAS Scheduling Revenue (1)'!H18</f>
        <v>23000</v>
      </c>
      <c r="I18" s="28">
        <f>'TSAS Scheduling Revenue (1)'!I18</f>
        <v>23000</v>
      </c>
      <c r="J18" s="28">
        <f>'TSAS Scheduling Revenue (1)'!J18</f>
        <v>23000</v>
      </c>
      <c r="K18" s="28">
        <f>'TSAS Scheduling Revenue (1)'!K18</f>
        <v>23000</v>
      </c>
      <c r="L18" s="28">
        <f>'TSAS Scheduling Revenue (1)'!L18</f>
        <v>23000</v>
      </c>
      <c r="M18" s="28">
        <f>'TSAS Scheduling Revenue (1)'!M18</f>
        <v>23000</v>
      </c>
      <c r="N18" s="28">
        <f>SUM(B18:M18)</f>
        <v>276000</v>
      </c>
      <c r="P18" s="22"/>
    </row>
    <row r="19" spans="1:16" s="20" customFormat="1">
      <c r="A19" s="26" t="s">
        <v>20</v>
      </c>
      <c r="B19" s="32">
        <f>'charges (1 &amp; 2)'!$C$11</f>
        <v>0.1008</v>
      </c>
      <c r="C19" s="32">
        <f t="shared" ref="C19:M19" si="2">+$B$19</f>
        <v>0.1008</v>
      </c>
      <c r="D19" s="32">
        <f t="shared" si="2"/>
        <v>0.1008</v>
      </c>
      <c r="E19" s="32">
        <f t="shared" si="2"/>
        <v>0.1008</v>
      </c>
      <c r="F19" s="32">
        <f t="shared" si="2"/>
        <v>0.1008</v>
      </c>
      <c r="G19" s="32">
        <f t="shared" si="2"/>
        <v>0.1008</v>
      </c>
      <c r="H19" s="32">
        <f t="shared" si="2"/>
        <v>0.1008</v>
      </c>
      <c r="I19" s="32">
        <f t="shared" si="2"/>
        <v>0.1008</v>
      </c>
      <c r="J19" s="32">
        <f t="shared" si="2"/>
        <v>0.1008</v>
      </c>
      <c r="K19" s="32">
        <f t="shared" si="2"/>
        <v>0.1008</v>
      </c>
      <c r="L19" s="32">
        <f t="shared" si="2"/>
        <v>0.1008</v>
      </c>
      <c r="M19" s="32">
        <f t="shared" si="2"/>
        <v>0.1008</v>
      </c>
      <c r="P19" s="22"/>
    </row>
    <row r="20" spans="1:16" s="20" customFormat="1">
      <c r="A20" s="26" t="s">
        <v>17</v>
      </c>
      <c r="B20" s="21">
        <f t="shared" ref="B20:M20" si="3">B18*B19</f>
        <v>2318.4</v>
      </c>
      <c r="C20" s="21">
        <f t="shared" si="3"/>
        <v>2318.4</v>
      </c>
      <c r="D20" s="21">
        <f t="shared" si="3"/>
        <v>2318.4</v>
      </c>
      <c r="E20" s="21">
        <f t="shared" si="3"/>
        <v>2318.4</v>
      </c>
      <c r="F20" s="21">
        <f t="shared" si="3"/>
        <v>2318.4</v>
      </c>
      <c r="G20" s="21">
        <f t="shared" si="3"/>
        <v>2318.4</v>
      </c>
      <c r="H20" s="21">
        <f t="shared" si="3"/>
        <v>2318.4</v>
      </c>
      <c r="I20" s="21">
        <f t="shared" si="3"/>
        <v>2318.4</v>
      </c>
      <c r="J20" s="21">
        <f t="shared" si="3"/>
        <v>2318.4</v>
      </c>
      <c r="K20" s="21">
        <f t="shared" si="3"/>
        <v>2318.4</v>
      </c>
      <c r="L20" s="21">
        <f t="shared" si="3"/>
        <v>2318.4</v>
      </c>
      <c r="M20" s="21">
        <f t="shared" si="3"/>
        <v>2318.4</v>
      </c>
      <c r="N20" s="21">
        <f>SUM(B20:M20)</f>
        <v>27820.800000000007</v>
      </c>
      <c r="P20" s="22"/>
    </row>
    <row r="21" spans="1:16" s="20" customFormat="1">
      <c r="B21" s="21"/>
      <c r="P21" s="22"/>
    </row>
    <row r="22" spans="1:16" s="20" customFormat="1">
      <c r="A22" s="402" t="s">
        <v>117</v>
      </c>
      <c r="P22" s="22"/>
    </row>
    <row r="23" spans="1:16" s="29" customFormat="1">
      <c r="A23" s="27" t="s">
        <v>16</v>
      </c>
      <c r="B23" s="28">
        <f>'TSAS Scheduling Revenue (1)'!B23</f>
        <v>150000</v>
      </c>
      <c r="C23" s="28">
        <f>'TSAS Scheduling Revenue (1)'!C23</f>
        <v>150000</v>
      </c>
      <c r="D23" s="28">
        <f>'TSAS Scheduling Revenue (1)'!D23</f>
        <v>150000</v>
      </c>
      <c r="E23" s="28">
        <f>'TSAS Scheduling Revenue (1)'!E23</f>
        <v>150000</v>
      </c>
      <c r="F23" s="28">
        <f>'TSAS Scheduling Revenue (1)'!F23</f>
        <v>150000</v>
      </c>
      <c r="G23" s="28">
        <f>'TSAS Scheduling Revenue (1)'!G23</f>
        <v>150000</v>
      </c>
      <c r="H23" s="28">
        <f>'TSAS Scheduling Revenue (1)'!H23</f>
        <v>150000</v>
      </c>
      <c r="I23" s="28">
        <f>'TSAS Scheduling Revenue (1)'!I23</f>
        <v>150000</v>
      </c>
      <c r="J23" s="28">
        <f>'TSAS Scheduling Revenue (1)'!J23</f>
        <v>150000</v>
      </c>
      <c r="K23" s="28">
        <f>'TSAS Scheduling Revenue (1)'!K23</f>
        <v>150000</v>
      </c>
      <c r="L23" s="28">
        <f>'TSAS Scheduling Revenue (1)'!L23</f>
        <v>150000</v>
      </c>
      <c r="M23" s="28">
        <f>'TSAS Scheduling Revenue (1)'!M23</f>
        <v>150000</v>
      </c>
      <c r="N23" s="28">
        <f>SUM(B23:M23)</f>
        <v>1800000</v>
      </c>
      <c r="P23" s="22"/>
    </row>
    <row r="24" spans="1:16" s="20" customFormat="1">
      <c r="A24" s="26" t="s">
        <v>20</v>
      </c>
      <c r="B24" s="33">
        <f>'charges (1 &amp; 2)'!C23</f>
        <v>0.1008</v>
      </c>
      <c r="C24" s="33">
        <f t="shared" ref="C24:M24" si="4">+$B$24</f>
        <v>0.1008</v>
      </c>
      <c r="D24" s="33">
        <f t="shared" si="4"/>
        <v>0.1008</v>
      </c>
      <c r="E24" s="33">
        <f t="shared" si="4"/>
        <v>0.1008</v>
      </c>
      <c r="F24" s="33">
        <f t="shared" si="4"/>
        <v>0.1008</v>
      </c>
      <c r="G24" s="33">
        <f t="shared" si="4"/>
        <v>0.1008</v>
      </c>
      <c r="H24" s="33">
        <f t="shared" si="4"/>
        <v>0.1008</v>
      </c>
      <c r="I24" s="33">
        <f t="shared" si="4"/>
        <v>0.1008</v>
      </c>
      <c r="J24" s="33">
        <f t="shared" si="4"/>
        <v>0.1008</v>
      </c>
      <c r="K24" s="33">
        <f t="shared" si="4"/>
        <v>0.1008</v>
      </c>
      <c r="L24" s="33">
        <f t="shared" si="4"/>
        <v>0.1008</v>
      </c>
      <c r="M24" s="33">
        <f t="shared" si="4"/>
        <v>0.1008</v>
      </c>
      <c r="P24" s="22"/>
    </row>
    <row r="25" spans="1:16" s="20" customFormat="1">
      <c r="A25" s="26" t="s">
        <v>17</v>
      </c>
      <c r="B25" s="21">
        <f t="shared" ref="B25:M25" si="5">B23*B24</f>
        <v>15120</v>
      </c>
      <c r="C25" s="21">
        <f t="shared" si="5"/>
        <v>15120</v>
      </c>
      <c r="D25" s="21">
        <f t="shared" si="5"/>
        <v>15120</v>
      </c>
      <c r="E25" s="21">
        <f t="shared" si="5"/>
        <v>15120</v>
      </c>
      <c r="F25" s="21">
        <f t="shared" si="5"/>
        <v>15120</v>
      </c>
      <c r="G25" s="21">
        <f t="shared" si="5"/>
        <v>15120</v>
      </c>
      <c r="H25" s="21">
        <f t="shared" si="5"/>
        <v>15120</v>
      </c>
      <c r="I25" s="21">
        <f t="shared" si="5"/>
        <v>15120</v>
      </c>
      <c r="J25" s="21">
        <f t="shared" si="5"/>
        <v>15120</v>
      </c>
      <c r="K25" s="21">
        <f t="shared" si="5"/>
        <v>15120</v>
      </c>
      <c r="L25" s="21">
        <f t="shared" si="5"/>
        <v>15120</v>
      </c>
      <c r="M25" s="21">
        <f t="shared" si="5"/>
        <v>15120</v>
      </c>
      <c r="N25" s="21">
        <f>SUM(B25:M25)</f>
        <v>181440</v>
      </c>
      <c r="P25" s="22"/>
    </row>
    <row r="26" spans="1:16" s="20" customFormat="1">
      <c r="B26" s="21"/>
      <c r="P26" s="22"/>
    </row>
    <row r="27" spans="1:16" s="20" customFormat="1" ht="10.199999999999999">
      <c r="A27" s="402" t="s">
        <v>23</v>
      </c>
      <c r="P27" s="29"/>
    </row>
    <row r="28" spans="1:16" s="29" customFormat="1" ht="10.199999999999999">
      <c r="A28" s="27" t="s">
        <v>16</v>
      </c>
      <c r="B28" s="28">
        <f>'TSAS Scheduling Revenue (1)'!B28</f>
        <v>37056</v>
      </c>
      <c r="C28" s="28">
        <f>'TSAS Scheduling Revenue (1)'!C28</f>
        <v>37056</v>
      </c>
      <c r="D28" s="28">
        <f>'TSAS Scheduling Revenue (1)'!D28</f>
        <v>37056</v>
      </c>
      <c r="E28" s="28">
        <f>'TSAS Scheduling Revenue (1)'!E28</f>
        <v>37056</v>
      </c>
      <c r="F28" s="28">
        <f>'TSAS Scheduling Revenue (1)'!F28</f>
        <v>37056</v>
      </c>
      <c r="G28" s="28">
        <f>'TSAS Scheduling Revenue (1)'!G28</f>
        <v>37056</v>
      </c>
      <c r="H28" s="28">
        <f>'TSAS Scheduling Revenue (1)'!H28</f>
        <v>37056</v>
      </c>
      <c r="I28" s="28">
        <f>'TSAS Scheduling Revenue (1)'!I28</f>
        <v>37056</v>
      </c>
      <c r="J28" s="28">
        <f>'TSAS Scheduling Revenue (1)'!J28</f>
        <v>37056</v>
      </c>
      <c r="K28" s="28">
        <f>'TSAS Scheduling Revenue (1)'!K28</f>
        <v>37056</v>
      </c>
      <c r="L28" s="28">
        <f>'TSAS Scheduling Revenue (1)'!L28</f>
        <v>37056</v>
      </c>
      <c r="M28" s="28">
        <f>'TSAS Scheduling Revenue (1)'!M28</f>
        <v>37056</v>
      </c>
      <c r="N28" s="28">
        <f>SUM(B28:M28)</f>
        <v>444672</v>
      </c>
    </row>
    <row r="29" spans="1:16" s="20" customFormat="1" ht="10.199999999999999">
      <c r="A29" s="26" t="s">
        <v>20</v>
      </c>
      <c r="B29" s="33">
        <f>'charges (1 &amp; 2)'!C14</f>
        <v>7.0000000000000007E-2</v>
      </c>
      <c r="C29" s="33">
        <f t="shared" ref="C29:M29" si="6">+$B$29</f>
        <v>7.0000000000000007E-2</v>
      </c>
      <c r="D29" s="33">
        <f t="shared" si="6"/>
        <v>7.0000000000000007E-2</v>
      </c>
      <c r="E29" s="33">
        <f t="shared" si="6"/>
        <v>7.0000000000000007E-2</v>
      </c>
      <c r="F29" s="33">
        <f t="shared" si="6"/>
        <v>7.0000000000000007E-2</v>
      </c>
      <c r="G29" s="33">
        <f t="shared" si="6"/>
        <v>7.0000000000000007E-2</v>
      </c>
      <c r="H29" s="33">
        <f t="shared" si="6"/>
        <v>7.0000000000000007E-2</v>
      </c>
      <c r="I29" s="33">
        <f t="shared" si="6"/>
        <v>7.0000000000000007E-2</v>
      </c>
      <c r="J29" s="33">
        <f t="shared" si="6"/>
        <v>7.0000000000000007E-2</v>
      </c>
      <c r="K29" s="33">
        <f t="shared" si="6"/>
        <v>7.0000000000000007E-2</v>
      </c>
      <c r="L29" s="33">
        <f t="shared" si="6"/>
        <v>7.0000000000000007E-2</v>
      </c>
      <c r="M29" s="33">
        <f t="shared" si="6"/>
        <v>7.0000000000000007E-2</v>
      </c>
    </row>
    <row r="30" spans="1:16" s="20" customFormat="1" ht="10.199999999999999">
      <c r="A30" s="26" t="s">
        <v>17</v>
      </c>
      <c r="B30" s="21">
        <f t="shared" ref="B30:M30" si="7">B28*B29</f>
        <v>2593.92</v>
      </c>
      <c r="C30" s="21">
        <f t="shared" si="7"/>
        <v>2593.92</v>
      </c>
      <c r="D30" s="21">
        <f t="shared" si="7"/>
        <v>2593.92</v>
      </c>
      <c r="E30" s="21">
        <f t="shared" si="7"/>
        <v>2593.92</v>
      </c>
      <c r="F30" s="21">
        <f t="shared" si="7"/>
        <v>2593.92</v>
      </c>
      <c r="G30" s="21">
        <f t="shared" si="7"/>
        <v>2593.92</v>
      </c>
      <c r="H30" s="21">
        <f t="shared" si="7"/>
        <v>2593.92</v>
      </c>
      <c r="I30" s="21">
        <f t="shared" si="7"/>
        <v>2593.92</v>
      </c>
      <c r="J30" s="21">
        <f t="shared" si="7"/>
        <v>2593.92</v>
      </c>
      <c r="K30" s="21">
        <f t="shared" si="7"/>
        <v>2593.92</v>
      </c>
      <c r="L30" s="21">
        <f t="shared" si="7"/>
        <v>2593.92</v>
      </c>
      <c r="M30" s="21">
        <f t="shared" si="7"/>
        <v>2593.92</v>
      </c>
      <c r="N30" s="21">
        <f>SUM(B30:M30)</f>
        <v>31127.039999999994</v>
      </c>
    </row>
    <row r="31" spans="1:16" s="20" customFormat="1" ht="10.199999999999999">
      <c r="B31" s="21"/>
    </row>
    <row r="32" spans="1:16" s="20" customFormat="1" ht="10.199999999999999">
      <c r="A32" s="402" t="s">
        <v>24</v>
      </c>
    </row>
    <row r="33" spans="1:14" s="29" customFormat="1" ht="10.199999999999999">
      <c r="A33" s="27" t="s">
        <v>16</v>
      </c>
      <c r="B33" s="28">
        <f>'TSAS Scheduling Revenue (1)'!B33</f>
        <v>52000</v>
      </c>
      <c r="C33" s="28">
        <f>'TSAS Scheduling Revenue (1)'!C33</f>
        <v>52000</v>
      </c>
      <c r="D33" s="28">
        <f>'TSAS Scheduling Revenue (1)'!D33</f>
        <v>52000</v>
      </c>
      <c r="E33" s="28">
        <f>'TSAS Scheduling Revenue (1)'!E33</f>
        <v>52000</v>
      </c>
      <c r="F33" s="28">
        <f>'TSAS Scheduling Revenue (1)'!F33</f>
        <v>52000</v>
      </c>
      <c r="G33" s="28">
        <f>'TSAS Scheduling Revenue (1)'!G33</f>
        <v>52000</v>
      </c>
      <c r="H33" s="28">
        <f>'TSAS Scheduling Revenue (1)'!H33</f>
        <v>52000</v>
      </c>
      <c r="I33" s="28">
        <f>'TSAS Scheduling Revenue (1)'!I33</f>
        <v>52000</v>
      </c>
      <c r="J33" s="28">
        <f>'TSAS Scheduling Revenue (1)'!J33</f>
        <v>52000</v>
      </c>
      <c r="K33" s="28">
        <f>'TSAS Scheduling Revenue (1)'!K33</f>
        <v>52000</v>
      </c>
      <c r="L33" s="28">
        <f>'TSAS Scheduling Revenue (1)'!L33</f>
        <v>52000</v>
      </c>
      <c r="M33" s="28">
        <f>'TSAS Scheduling Revenue (1)'!M33</f>
        <v>52000</v>
      </c>
      <c r="N33" s="28">
        <f>SUM(B33:M33)</f>
        <v>624000</v>
      </c>
    </row>
    <row r="34" spans="1:14" s="20" customFormat="1" ht="10.199999999999999">
      <c r="A34" s="26" t="s">
        <v>20</v>
      </c>
      <c r="B34" s="33">
        <f>'charges (1 &amp; 2)'!C17</f>
        <v>0.1008</v>
      </c>
      <c r="C34" s="33">
        <f t="shared" ref="C34:M34" si="8">+$B$34</f>
        <v>0.1008</v>
      </c>
      <c r="D34" s="33">
        <f t="shared" si="8"/>
        <v>0.1008</v>
      </c>
      <c r="E34" s="33">
        <f t="shared" si="8"/>
        <v>0.1008</v>
      </c>
      <c r="F34" s="33">
        <f t="shared" si="8"/>
        <v>0.1008</v>
      </c>
      <c r="G34" s="33">
        <f t="shared" si="8"/>
        <v>0.1008</v>
      </c>
      <c r="H34" s="33">
        <f t="shared" si="8"/>
        <v>0.1008</v>
      </c>
      <c r="I34" s="33">
        <f t="shared" si="8"/>
        <v>0.1008</v>
      </c>
      <c r="J34" s="33">
        <f t="shared" si="8"/>
        <v>0.1008</v>
      </c>
      <c r="K34" s="33">
        <f t="shared" si="8"/>
        <v>0.1008</v>
      </c>
      <c r="L34" s="33">
        <f t="shared" si="8"/>
        <v>0.1008</v>
      </c>
      <c r="M34" s="33">
        <f t="shared" si="8"/>
        <v>0.1008</v>
      </c>
    </row>
    <row r="35" spans="1:14" s="20" customFormat="1" ht="10.199999999999999">
      <c r="A35" s="26" t="s">
        <v>17</v>
      </c>
      <c r="B35" s="21">
        <f t="shared" ref="B35:M35" si="9">B33*B34</f>
        <v>5241.6000000000004</v>
      </c>
      <c r="C35" s="21">
        <f t="shared" si="9"/>
        <v>5241.6000000000004</v>
      </c>
      <c r="D35" s="21">
        <f t="shared" si="9"/>
        <v>5241.6000000000004</v>
      </c>
      <c r="E35" s="21">
        <f t="shared" si="9"/>
        <v>5241.6000000000004</v>
      </c>
      <c r="F35" s="21">
        <f t="shared" si="9"/>
        <v>5241.6000000000004</v>
      </c>
      <c r="G35" s="21">
        <f t="shared" si="9"/>
        <v>5241.6000000000004</v>
      </c>
      <c r="H35" s="21">
        <f t="shared" si="9"/>
        <v>5241.6000000000004</v>
      </c>
      <c r="I35" s="21">
        <f t="shared" si="9"/>
        <v>5241.6000000000004</v>
      </c>
      <c r="J35" s="21">
        <f t="shared" si="9"/>
        <v>5241.6000000000004</v>
      </c>
      <c r="K35" s="21">
        <f t="shared" si="9"/>
        <v>5241.6000000000004</v>
      </c>
      <c r="L35" s="21">
        <f t="shared" si="9"/>
        <v>5241.6000000000004</v>
      </c>
      <c r="M35" s="21">
        <f t="shared" si="9"/>
        <v>5241.6000000000004</v>
      </c>
      <c r="N35" s="21">
        <f>SUM(B35:M35)</f>
        <v>62899.19999999999</v>
      </c>
    </row>
    <row r="36" spans="1:14" s="20" customFormat="1" ht="10.199999999999999">
      <c r="A36" s="2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s="20" customFormat="1" ht="10.199999999999999">
      <c r="A37" s="402" t="s">
        <v>237</v>
      </c>
    </row>
    <row r="38" spans="1:14" s="20" customFormat="1" ht="10.199999999999999">
      <c r="A38" s="27" t="s">
        <v>16</v>
      </c>
      <c r="B38" s="28">
        <f>'TSAS Demand Revenues (7)'!B43</f>
        <v>4000</v>
      </c>
      <c r="C38" s="28">
        <f>'TSAS Demand Revenues (7)'!C43</f>
        <v>4000</v>
      </c>
      <c r="D38" s="28">
        <f>'TSAS Demand Revenues (7)'!D43</f>
        <v>4000</v>
      </c>
      <c r="E38" s="28">
        <f>'TSAS Demand Revenues (7)'!E43</f>
        <v>4000</v>
      </c>
      <c r="F38" s="28">
        <f>'TSAS Demand Revenues (7)'!F43</f>
        <v>4000</v>
      </c>
      <c r="G38" s="28">
        <f>'TSAS Demand Revenues (7)'!G43</f>
        <v>4000</v>
      </c>
      <c r="H38" s="28">
        <f>'TSAS Demand Revenues (7)'!H43</f>
        <v>4000</v>
      </c>
      <c r="I38" s="28">
        <f>'TSAS Demand Revenues (7)'!I43</f>
        <v>4000</v>
      </c>
      <c r="J38" s="28">
        <f>'TSAS Demand Revenues (7)'!J43</f>
        <v>4000</v>
      </c>
      <c r="K38" s="28">
        <f>'TSAS Demand Revenues (7)'!K43</f>
        <v>4000</v>
      </c>
      <c r="L38" s="28">
        <f>'TSAS Demand Revenues (7)'!L43</f>
        <v>4000</v>
      </c>
      <c r="M38" s="28">
        <f>'TSAS Demand Revenues (7)'!M43</f>
        <v>4000</v>
      </c>
      <c r="N38" s="28">
        <f>SUM(B38:M38)</f>
        <v>48000</v>
      </c>
    </row>
    <row r="39" spans="1:14" s="20" customFormat="1" ht="10.199999999999999">
      <c r="A39" s="26" t="s">
        <v>20</v>
      </c>
      <c r="B39" s="33">
        <f t="shared" ref="B39:M39" si="10">+$B$34</f>
        <v>0.1008</v>
      </c>
      <c r="C39" s="33">
        <f t="shared" si="10"/>
        <v>0.1008</v>
      </c>
      <c r="D39" s="33">
        <f t="shared" si="10"/>
        <v>0.1008</v>
      </c>
      <c r="E39" s="33">
        <f t="shared" si="10"/>
        <v>0.1008</v>
      </c>
      <c r="F39" s="33">
        <f t="shared" si="10"/>
        <v>0.1008</v>
      </c>
      <c r="G39" s="33">
        <f t="shared" si="10"/>
        <v>0.1008</v>
      </c>
      <c r="H39" s="33">
        <f t="shared" si="10"/>
        <v>0.1008</v>
      </c>
      <c r="I39" s="33">
        <f t="shared" si="10"/>
        <v>0.1008</v>
      </c>
      <c r="J39" s="33">
        <f t="shared" si="10"/>
        <v>0.1008</v>
      </c>
      <c r="K39" s="33">
        <f t="shared" si="10"/>
        <v>0.1008</v>
      </c>
      <c r="L39" s="33">
        <f t="shared" si="10"/>
        <v>0.1008</v>
      </c>
      <c r="M39" s="33">
        <f t="shared" si="10"/>
        <v>0.1008</v>
      </c>
    </row>
    <row r="40" spans="1:14" s="20" customFormat="1" ht="10.199999999999999">
      <c r="A40" s="26" t="s">
        <v>17</v>
      </c>
      <c r="B40" s="21">
        <f t="shared" ref="B40:M40" si="11">B38*B39</f>
        <v>403.2</v>
      </c>
      <c r="C40" s="21">
        <f t="shared" si="11"/>
        <v>403.2</v>
      </c>
      <c r="D40" s="21">
        <f t="shared" si="11"/>
        <v>403.2</v>
      </c>
      <c r="E40" s="21">
        <f t="shared" si="11"/>
        <v>403.2</v>
      </c>
      <c r="F40" s="21">
        <f t="shared" si="11"/>
        <v>403.2</v>
      </c>
      <c r="G40" s="21">
        <f t="shared" si="11"/>
        <v>403.2</v>
      </c>
      <c r="H40" s="21">
        <f t="shared" si="11"/>
        <v>403.2</v>
      </c>
      <c r="I40" s="21">
        <f t="shared" si="11"/>
        <v>403.2</v>
      </c>
      <c r="J40" s="21">
        <f t="shared" si="11"/>
        <v>403.2</v>
      </c>
      <c r="K40" s="21">
        <f t="shared" si="11"/>
        <v>403.2</v>
      </c>
      <c r="L40" s="21">
        <f t="shared" si="11"/>
        <v>403.2</v>
      </c>
      <c r="M40" s="21">
        <f t="shared" si="11"/>
        <v>403.2</v>
      </c>
      <c r="N40" s="21">
        <f>SUM(B40:M40)</f>
        <v>4838.3999999999987</v>
      </c>
    </row>
    <row r="41" spans="1:14" s="20" customFormat="1" ht="10.199999999999999">
      <c r="A41" s="2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s="20" customFormat="1" ht="10.199999999999999">
      <c r="A42" s="402" t="s">
        <v>116</v>
      </c>
    </row>
    <row r="43" spans="1:14" s="20" customFormat="1" ht="10.199999999999999">
      <c r="A43" s="27" t="s">
        <v>16</v>
      </c>
      <c r="B43" s="28">
        <f>'TSAS Scheduling Revenue (1)'!B43</f>
        <v>40000</v>
      </c>
      <c r="C43" s="28">
        <f>'TSAS Scheduling Revenue (1)'!C43</f>
        <v>40000</v>
      </c>
      <c r="D43" s="28">
        <f>'TSAS Scheduling Revenue (1)'!D43</f>
        <v>40000</v>
      </c>
      <c r="E43" s="28">
        <f>'TSAS Scheduling Revenue (1)'!E43</f>
        <v>40000</v>
      </c>
      <c r="F43" s="28">
        <f>'TSAS Scheduling Revenue (1)'!F43</f>
        <v>40000</v>
      </c>
      <c r="G43" s="28">
        <f>'TSAS Scheduling Revenue (1)'!G43</f>
        <v>40000</v>
      </c>
      <c r="H43" s="28">
        <f>'TSAS Scheduling Revenue (1)'!H43</f>
        <v>40000</v>
      </c>
      <c r="I43" s="28">
        <f>'TSAS Scheduling Revenue (1)'!I43</f>
        <v>40000</v>
      </c>
      <c r="J43" s="28">
        <f>'TSAS Scheduling Revenue (1)'!J43</f>
        <v>40000</v>
      </c>
      <c r="K43" s="28">
        <f>'TSAS Scheduling Revenue (1)'!K43</f>
        <v>40000</v>
      </c>
      <c r="L43" s="28">
        <f>'TSAS Scheduling Revenue (1)'!L43</f>
        <v>40000</v>
      </c>
      <c r="M43" s="28">
        <f>'TSAS Scheduling Revenue (1)'!M43</f>
        <v>40000</v>
      </c>
      <c r="N43" s="28">
        <f>SUM(B43:M43)</f>
        <v>480000</v>
      </c>
    </row>
    <row r="44" spans="1:14" s="20" customFormat="1" ht="10.199999999999999">
      <c r="A44" s="26" t="s">
        <v>20</v>
      </c>
      <c r="B44" s="33">
        <f t="shared" ref="B44:I44" si="12">+$B$34</f>
        <v>0.1008</v>
      </c>
      <c r="C44" s="33">
        <f t="shared" si="12"/>
        <v>0.1008</v>
      </c>
      <c r="D44" s="33">
        <f t="shared" si="12"/>
        <v>0.1008</v>
      </c>
      <c r="E44" s="33">
        <f t="shared" si="12"/>
        <v>0.1008</v>
      </c>
      <c r="F44" s="33">
        <f t="shared" si="12"/>
        <v>0.1008</v>
      </c>
      <c r="G44" s="33">
        <f t="shared" si="12"/>
        <v>0.1008</v>
      </c>
      <c r="H44" s="33">
        <f t="shared" si="12"/>
        <v>0.1008</v>
      </c>
      <c r="I44" s="33">
        <f t="shared" si="12"/>
        <v>0.1008</v>
      </c>
      <c r="J44" s="33">
        <f>+$B$34</f>
        <v>0.1008</v>
      </c>
      <c r="K44" s="33">
        <f>+$B$34</f>
        <v>0.1008</v>
      </c>
      <c r="L44" s="33">
        <f>+$B$34</f>
        <v>0.1008</v>
      </c>
      <c r="M44" s="33">
        <f>+$B$34</f>
        <v>0.1008</v>
      </c>
    </row>
    <row r="45" spans="1:14" s="20" customFormat="1" ht="10.199999999999999">
      <c r="A45" s="26" t="s">
        <v>17</v>
      </c>
      <c r="B45" s="21">
        <f t="shared" ref="B45:I45" si="13">B43*B44</f>
        <v>4032</v>
      </c>
      <c r="C45" s="21">
        <f t="shared" si="13"/>
        <v>4032</v>
      </c>
      <c r="D45" s="21">
        <f t="shared" si="13"/>
        <v>4032</v>
      </c>
      <c r="E45" s="21">
        <f t="shared" si="13"/>
        <v>4032</v>
      </c>
      <c r="F45" s="21">
        <f t="shared" si="13"/>
        <v>4032</v>
      </c>
      <c r="G45" s="21">
        <f t="shared" si="13"/>
        <v>4032</v>
      </c>
      <c r="H45" s="21">
        <f t="shared" si="13"/>
        <v>4032</v>
      </c>
      <c r="I45" s="21">
        <f t="shared" si="13"/>
        <v>4032</v>
      </c>
      <c r="J45" s="21">
        <f>J43*J44</f>
        <v>4032</v>
      </c>
      <c r="K45" s="21">
        <f>K43*K44</f>
        <v>4032</v>
      </c>
      <c r="L45" s="21">
        <f>L43*L44</f>
        <v>4032</v>
      </c>
      <c r="M45" s="21">
        <f>M43*M44</f>
        <v>4032</v>
      </c>
      <c r="N45" s="28">
        <f>SUM(B45:M45)</f>
        <v>48384</v>
      </c>
    </row>
    <row r="46" spans="1:14" s="20" customFormat="1" ht="9" customHeight="1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s="20" customFormat="1" ht="10.199999999999999">
      <c r="A47" s="402" t="s">
        <v>44</v>
      </c>
    </row>
    <row r="48" spans="1:14" s="20" customFormat="1" ht="10.199999999999999">
      <c r="A48" s="27" t="s">
        <v>16</v>
      </c>
      <c r="B48" s="28">
        <f>'TSAS Scheduling Revenue (1)'!B48</f>
        <v>25000</v>
      </c>
      <c r="C48" s="28">
        <f>'TSAS Scheduling Revenue (1)'!C48</f>
        <v>25000</v>
      </c>
      <c r="D48" s="28">
        <f>'TSAS Scheduling Revenue (1)'!D48</f>
        <v>25000</v>
      </c>
      <c r="E48" s="28">
        <f>'TSAS Scheduling Revenue (1)'!E48</f>
        <v>25000</v>
      </c>
      <c r="F48" s="28">
        <f>'TSAS Scheduling Revenue (1)'!F48</f>
        <v>25000</v>
      </c>
      <c r="G48" s="28">
        <f>'TSAS Scheduling Revenue (1)'!G48</f>
        <v>25000</v>
      </c>
      <c r="H48" s="28">
        <f>'TSAS Scheduling Revenue (1)'!H48</f>
        <v>25000</v>
      </c>
      <c r="I48" s="28">
        <f>'TSAS Scheduling Revenue (1)'!I48</f>
        <v>25000</v>
      </c>
      <c r="J48" s="28">
        <f>'TSAS Scheduling Revenue (1)'!J48</f>
        <v>25000</v>
      </c>
      <c r="K48" s="28">
        <f>'TSAS Scheduling Revenue (1)'!K48</f>
        <v>25000</v>
      </c>
      <c r="L48" s="28">
        <f>'TSAS Scheduling Revenue (1)'!L48</f>
        <v>25000</v>
      </c>
      <c r="M48" s="28">
        <f>'TSAS Scheduling Revenue (1)'!M48</f>
        <v>25000</v>
      </c>
      <c r="N48" s="28">
        <f>SUM(B48:M48)</f>
        <v>300000</v>
      </c>
    </row>
    <row r="49" spans="1:14" s="20" customFormat="1" ht="10.199999999999999">
      <c r="A49" s="26" t="s">
        <v>20</v>
      </c>
      <c r="B49" s="33">
        <f t="shared" ref="B49:M49" si="14">+$B$34</f>
        <v>0.1008</v>
      </c>
      <c r="C49" s="33">
        <f t="shared" si="14"/>
        <v>0.1008</v>
      </c>
      <c r="D49" s="33">
        <f t="shared" si="14"/>
        <v>0.1008</v>
      </c>
      <c r="E49" s="33">
        <f t="shared" si="14"/>
        <v>0.1008</v>
      </c>
      <c r="F49" s="33">
        <f t="shared" si="14"/>
        <v>0.1008</v>
      </c>
      <c r="G49" s="33">
        <f t="shared" si="14"/>
        <v>0.1008</v>
      </c>
      <c r="H49" s="33">
        <f t="shared" si="14"/>
        <v>0.1008</v>
      </c>
      <c r="I49" s="33">
        <f t="shared" si="14"/>
        <v>0.1008</v>
      </c>
      <c r="J49" s="33">
        <f t="shared" si="14"/>
        <v>0.1008</v>
      </c>
      <c r="K49" s="33">
        <f t="shared" si="14"/>
        <v>0.1008</v>
      </c>
      <c r="L49" s="33">
        <f t="shared" si="14"/>
        <v>0.1008</v>
      </c>
      <c r="M49" s="33">
        <f t="shared" si="14"/>
        <v>0.1008</v>
      </c>
    </row>
    <row r="50" spans="1:14" s="20" customFormat="1" ht="10.199999999999999">
      <c r="A50" s="26" t="s">
        <v>17</v>
      </c>
      <c r="B50" s="21">
        <f t="shared" ref="B50:M50" si="15">B48*B49</f>
        <v>2520</v>
      </c>
      <c r="C50" s="21">
        <f t="shared" si="15"/>
        <v>2520</v>
      </c>
      <c r="D50" s="21">
        <f t="shared" si="15"/>
        <v>2520</v>
      </c>
      <c r="E50" s="21">
        <f t="shared" si="15"/>
        <v>2520</v>
      </c>
      <c r="F50" s="21">
        <f t="shared" si="15"/>
        <v>2520</v>
      </c>
      <c r="G50" s="21">
        <f t="shared" si="15"/>
        <v>2520</v>
      </c>
      <c r="H50" s="21">
        <f t="shared" si="15"/>
        <v>2520</v>
      </c>
      <c r="I50" s="21">
        <f t="shared" si="15"/>
        <v>2520</v>
      </c>
      <c r="J50" s="21">
        <f t="shared" si="15"/>
        <v>2520</v>
      </c>
      <c r="K50" s="21">
        <f t="shared" si="15"/>
        <v>2520</v>
      </c>
      <c r="L50" s="21">
        <f t="shared" si="15"/>
        <v>2520</v>
      </c>
      <c r="M50" s="21">
        <f t="shared" si="15"/>
        <v>2520</v>
      </c>
      <c r="N50" s="21">
        <f>SUM(B50:M50)</f>
        <v>30240</v>
      </c>
    </row>
    <row r="51" spans="1:14" s="20" customFormat="1" ht="10.199999999999999">
      <c r="A51" s="2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s="20" customFormat="1" ht="10.199999999999999">
      <c r="A52" s="402" t="s">
        <v>171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s="20" customFormat="1" ht="10.199999999999999">
      <c r="A53" s="27" t="s">
        <v>16</v>
      </c>
      <c r="B53" s="21">
        <f>'TSAS Demand Revenues (7)'!B58</f>
        <v>4000</v>
      </c>
      <c r="C53" s="21">
        <f>'TSAS Demand Revenues (7)'!C58</f>
        <v>4000</v>
      </c>
      <c r="D53" s="21">
        <f>'TSAS Demand Revenues (7)'!D58</f>
        <v>4000</v>
      </c>
      <c r="E53" s="21">
        <f>'TSAS Demand Revenues (7)'!E58</f>
        <v>4000</v>
      </c>
      <c r="F53" s="21">
        <f>'TSAS Demand Revenues (7)'!F58</f>
        <v>4000</v>
      </c>
      <c r="G53" s="21">
        <f>'TSAS Demand Revenues (7)'!G58</f>
        <v>4000</v>
      </c>
      <c r="H53" s="21">
        <f>'TSAS Demand Revenues (7)'!H58</f>
        <v>4000</v>
      </c>
      <c r="I53" s="21">
        <f>'TSAS Demand Revenues (7)'!I58</f>
        <v>4000</v>
      </c>
      <c r="J53" s="21">
        <f>'TSAS Demand Revenues (7)'!J58</f>
        <v>4000</v>
      </c>
      <c r="K53" s="21">
        <f>'TSAS Demand Revenues (7)'!K58</f>
        <v>4000</v>
      </c>
      <c r="L53" s="21">
        <f>'TSAS Demand Revenues (7)'!L58</f>
        <v>4000</v>
      </c>
      <c r="M53" s="21">
        <f>'TSAS Demand Revenues (7)'!M58</f>
        <v>4000</v>
      </c>
      <c r="N53" s="28">
        <f>SUM(B53:M53)</f>
        <v>48000</v>
      </c>
    </row>
    <row r="54" spans="1:14" s="20" customFormat="1" ht="10.199999999999999">
      <c r="A54" s="26" t="s">
        <v>20</v>
      </c>
      <c r="B54" s="33">
        <f>B49</f>
        <v>0.1008</v>
      </c>
      <c r="C54" s="33">
        <f t="shared" ref="C54:M54" si="16">C49</f>
        <v>0.1008</v>
      </c>
      <c r="D54" s="33">
        <f t="shared" si="16"/>
        <v>0.1008</v>
      </c>
      <c r="E54" s="33">
        <f t="shared" si="16"/>
        <v>0.1008</v>
      </c>
      <c r="F54" s="33">
        <f t="shared" si="16"/>
        <v>0.1008</v>
      </c>
      <c r="G54" s="33">
        <f t="shared" si="16"/>
        <v>0.1008</v>
      </c>
      <c r="H54" s="33">
        <f t="shared" si="16"/>
        <v>0.1008</v>
      </c>
      <c r="I54" s="33">
        <f t="shared" si="16"/>
        <v>0.1008</v>
      </c>
      <c r="J54" s="33">
        <f t="shared" si="16"/>
        <v>0.1008</v>
      </c>
      <c r="K54" s="33">
        <f t="shared" si="16"/>
        <v>0.1008</v>
      </c>
      <c r="L54" s="33">
        <f t="shared" si="16"/>
        <v>0.1008</v>
      </c>
      <c r="M54" s="33">
        <f t="shared" si="16"/>
        <v>0.1008</v>
      </c>
    </row>
    <row r="55" spans="1:14" s="20" customFormat="1" ht="10.199999999999999">
      <c r="A55" s="26" t="s">
        <v>17</v>
      </c>
      <c r="B55" s="21">
        <f t="shared" ref="B55:M55" si="17">B53*B54</f>
        <v>403.2</v>
      </c>
      <c r="C55" s="21">
        <f t="shared" si="17"/>
        <v>403.2</v>
      </c>
      <c r="D55" s="21">
        <f t="shared" si="17"/>
        <v>403.2</v>
      </c>
      <c r="E55" s="21">
        <f t="shared" si="17"/>
        <v>403.2</v>
      </c>
      <c r="F55" s="21">
        <f t="shared" si="17"/>
        <v>403.2</v>
      </c>
      <c r="G55" s="21">
        <f t="shared" si="17"/>
        <v>403.2</v>
      </c>
      <c r="H55" s="21">
        <f t="shared" si="17"/>
        <v>403.2</v>
      </c>
      <c r="I55" s="21">
        <f t="shared" si="17"/>
        <v>403.2</v>
      </c>
      <c r="J55" s="21">
        <f t="shared" si="17"/>
        <v>403.2</v>
      </c>
      <c r="K55" s="21">
        <f t="shared" si="17"/>
        <v>403.2</v>
      </c>
      <c r="L55" s="21">
        <f t="shared" si="17"/>
        <v>403.2</v>
      </c>
      <c r="M55" s="21">
        <f t="shared" si="17"/>
        <v>403.2</v>
      </c>
      <c r="N55" s="21">
        <f>SUM(B55:M55)</f>
        <v>4838.3999999999987</v>
      </c>
    </row>
    <row r="56" spans="1:14" s="20" customFormat="1" ht="10.199999999999999">
      <c r="A56" s="26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>
      <c r="A57" s="402" t="s">
        <v>179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>
      <c r="A58" s="27" t="s">
        <v>16</v>
      </c>
      <c r="B58" s="28">
        <v>3000</v>
      </c>
      <c r="C58" s="28">
        <f>B58</f>
        <v>3000</v>
      </c>
      <c r="D58" s="28">
        <f t="shared" ref="D58:M58" si="18">C58</f>
        <v>3000</v>
      </c>
      <c r="E58" s="28">
        <f t="shared" si="18"/>
        <v>3000</v>
      </c>
      <c r="F58" s="28">
        <f t="shared" si="18"/>
        <v>3000</v>
      </c>
      <c r="G58" s="28">
        <f t="shared" si="18"/>
        <v>3000</v>
      </c>
      <c r="H58" s="28">
        <f t="shared" si="18"/>
        <v>3000</v>
      </c>
      <c r="I58" s="28">
        <f t="shared" si="18"/>
        <v>3000</v>
      </c>
      <c r="J58" s="28">
        <f t="shared" si="18"/>
        <v>3000</v>
      </c>
      <c r="K58" s="28">
        <f t="shared" si="18"/>
        <v>3000</v>
      </c>
      <c r="L58" s="28">
        <f t="shared" si="18"/>
        <v>3000</v>
      </c>
      <c r="M58" s="28">
        <f t="shared" si="18"/>
        <v>3000</v>
      </c>
      <c r="N58" s="28">
        <f>SUM(B58:M58)</f>
        <v>36000</v>
      </c>
    </row>
    <row r="59" spans="1:14">
      <c r="A59" s="26" t="s">
        <v>20</v>
      </c>
      <c r="B59" s="272">
        <f>B54</f>
        <v>0.1008</v>
      </c>
      <c r="C59" s="272">
        <f t="shared" ref="C59:M59" si="19">C54</f>
        <v>0.1008</v>
      </c>
      <c r="D59" s="272">
        <f t="shared" si="19"/>
        <v>0.1008</v>
      </c>
      <c r="E59" s="272">
        <f t="shared" si="19"/>
        <v>0.1008</v>
      </c>
      <c r="F59" s="272">
        <f t="shared" si="19"/>
        <v>0.1008</v>
      </c>
      <c r="G59" s="272">
        <f t="shared" si="19"/>
        <v>0.1008</v>
      </c>
      <c r="H59" s="272">
        <f t="shared" si="19"/>
        <v>0.1008</v>
      </c>
      <c r="I59" s="272">
        <f t="shared" si="19"/>
        <v>0.1008</v>
      </c>
      <c r="J59" s="272">
        <f t="shared" si="19"/>
        <v>0.1008</v>
      </c>
      <c r="K59" s="272">
        <f t="shared" si="19"/>
        <v>0.1008</v>
      </c>
      <c r="L59" s="272">
        <f t="shared" si="19"/>
        <v>0.1008</v>
      </c>
      <c r="M59" s="272">
        <f t="shared" si="19"/>
        <v>0.1008</v>
      </c>
      <c r="N59" s="20"/>
    </row>
    <row r="60" spans="1:14">
      <c r="A60" s="26" t="s">
        <v>17</v>
      </c>
      <c r="B60" s="21">
        <f t="shared" ref="B60:M60" si="20">B58*B59</f>
        <v>302.39999999999998</v>
      </c>
      <c r="C60" s="21">
        <f t="shared" si="20"/>
        <v>302.39999999999998</v>
      </c>
      <c r="D60" s="21">
        <f t="shared" si="20"/>
        <v>302.39999999999998</v>
      </c>
      <c r="E60" s="21">
        <f t="shared" si="20"/>
        <v>302.39999999999998</v>
      </c>
      <c r="F60" s="21">
        <f t="shared" si="20"/>
        <v>302.39999999999998</v>
      </c>
      <c r="G60" s="21">
        <f t="shared" si="20"/>
        <v>302.39999999999998</v>
      </c>
      <c r="H60" s="21">
        <f t="shared" si="20"/>
        <v>302.39999999999998</v>
      </c>
      <c r="I60" s="21">
        <f t="shared" si="20"/>
        <v>302.39999999999998</v>
      </c>
      <c r="J60" s="21">
        <f t="shared" si="20"/>
        <v>302.39999999999998</v>
      </c>
      <c r="K60" s="21">
        <f t="shared" si="20"/>
        <v>302.39999999999998</v>
      </c>
      <c r="L60" s="21">
        <f t="shared" si="20"/>
        <v>302.39999999999998</v>
      </c>
      <c r="M60" s="21">
        <f t="shared" si="20"/>
        <v>302.39999999999998</v>
      </c>
      <c r="N60" s="21">
        <f>SUM(B60:M60)</f>
        <v>3628.8000000000006</v>
      </c>
    </row>
    <row r="61" spans="1:14" s="20" customFormat="1" ht="12.75" customHeight="1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4">
      <c r="A62" s="402" t="s">
        <v>239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27" t="s">
        <v>16</v>
      </c>
      <c r="B63" s="28">
        <f>'TSAS Demand Revenues (7)'!B63</f>
        <v>160000</v>
      </c>
      <c r="C63" s="28">
        <f>'TSAS Demand Revenues (7)'!C63</f>
        <v>160000</v>
      </c>
      <c r="D63" s="28">
        <f>'TSAS Demand Revenues (7)'!D63</f>
        <v>160000</v>
      </c>
      <c r="E63" s="28">
        <f>'TSAS Demand Revenues (7)'!E63</f>
        <v>160000</v>
      </c>
      <c r="F63" s="28">
        <f>'TSAS Demand Revenues (7)'!F63</f>
        <v>160000</v>
      </c>
      <c r="G63" s="28">
        <f>'TSAS Demand Revenues (7)'!G63</f>
        <v>160000</v>
      </c>
      <c r="H63" s="28">
        <f>'TSAS Demand Revenues (7)'!H63</f>
        <v>160000</v>
      </c>
      <c r="I63" s="28">
        <f>'TSAS Demand Revenues (7)'!I63</f>
        <v>160000</v>
      </c>
      <c r="J63" s="28">
        <f>'TSAS Demand Revenues (7)'!J63</f>
        <v>160000</v>
      </c>
      <c r="K63" s="28">
        <f>'TSAS Demand Revenues (7)'!K63</f>
        <v>160000</v>
      </c>
      <c r="L63" s="28">
        <f>'TSAS Demand Revenues (7)'!L63</f>
        <v>160000</v>
      </c>
      <c r="M63" s="28">
        <f>'TSAS Demand Revenues (7)'!M63</f>
        <v>160000</v>
      </c>
      <c r="N63" s="28">
        <f>SUM(B63:M63)</f>
        <v>1920000</v>
      </c>
    </row>
    <row r="64" spans="1:14">
      <c r="A64" s="26" t="s">
        <v>20</v>
      </c>
      <c r="B64" s="272">
        <f>B59</f>
        <v>0.1008</v>
      </c>
      <c r="C64" s="272">
        <f t="shared" ref="C64:M64" si="21">C59</f>
        <v>0.1008</v>
      </c>
      <c r="D64" s="272">
        <f t="shared" si="21"/>
        <v>0.1008</v>
      </c>
      <c r="E64" s="272">
        <f t="shared" si="21"/>
        <v>0.1008</v>
      </c>
      <c r="F64" s="272">
        <f t="shared" si="21"/>
        <v>0.1008</v>
      </c>
      <c r="G64" s="272">
        <f t="shared" si="21"/>
        <v>0.1008</v>
      </c>
      <c r="H64" s="272">
        <f t="shared" si="21"/>
        <v>0.1008</v>
      </c>
      <c r="I64" s="272">
        <f t="shared" si="21"/>
        <v>0.1008</v>
      </c>
      <c r="J64" s="272">
        <f t="shared" si="21"/>
        <v>0.1008</v>
      </c>
      <c r="K64" s="272">
        <f t="shared" si="21"/>
        <v>0.1008</v>
      </c>
      <c r="L64" s="272">
        <f t="shared" si="21"/>
        <v>0.1008</v>
      </c>
      <c r="M64" s="272">
        <f t="shared" si="21"/>
        <v>0.1008</v>
      </c>
      <c r="N64" s="20"/>
    </row>
    <row r="65" spans="1:15">
      <c r="A65" s="26" t="s">
        <v>17</v>
      </c>
      <c r="B65" s="21">
        <f t="shared" ref="B65:M65" si="22">B63*B64</f>
        <v>16128</v>
      </c>
      <c r="C65" s="21">
        <f t="shared" si="22"/>
        <v>16128</v>
      </c>
      <c r="D65" s="21">
        <f t="shared" si="22"/>
        <v>16128</v>
      </c>
      <c r="E65" s="21">
        <f t="shared" si="22"/>
        <v>16128</v>
      </c>
      <c r="F65" s="21">
        <f t="shared" si="22"/>
        <v>16128</v>
      </c>
      <c r="G65" s="21">
        <f t="shared" si="22"/>
        <v>16128</v>
      </c>
      <c r="H65" s="21">
        <f t="shared" si="22"/>
        <v>16128</v>
      </c>
      <c r="I65" s="21">
        <f t="shared" si="22"/>
        <v>16128</v>
      </c>
      <c r="J65" s="21">
        <f t="shared" si="22"/>
        <v>16128</v>
      </c>
      <c r="K65" s="21">
        <f t="shared" si="22"/>
        <v>16128</v>
      </c>
      <c r="L65" s="21">
        <f t="shared" si="22"/>
        <v>16128</v>
      </c>
      <c r="M65" s="21">
        <f t="shared" si="22"/>
        <v>16128</v>
      </c>
      <c r="N65" s="21">
        <f>SUM(B65:M65)</f>
        <v>193536</v>
      </c>
    </row>
    <row r="66" spans="1:15" s="20" customFormat="1" ht="10.199999999999999">
      <c r="A66" s="26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1:15" s="20" customFormat="1" ht="10.199999999999999">
      <c r="A67" s="145" t="s">
        <v>25</v>
      </c>
      <c r="B67" s="144">
        <f t="shared" ref="B67:M67" si="23">B15+B20+B25+B30+B35+B45+B50+B40+B60+B55+B65</f>
        <v>49566.719999999994</v>
      </c>
      <c r="C67" s="144">
        <f t="shared" si="23"/>
        <v>49566.719999999994</v>
      </c>
      <c r="D67" s="144">
        <f t="shared" si="23"/>
        <v>49566.719999999994</v>
      </c>
      <c r="E67" s="144">
        <f t="shared" si="23"/>
        <v>49566.719999999994</v>
      </c>
      <c r="F67" s="144">
        <f t="shared" si="23"/>
        <v>49566.719999999994</v>
      </c>
      <c r="G67" s="144">
        <f t="shared" si="23"/>
        <v>49566.719999999994</v>
      </c>
      <c r="H67" s="144">
        <f t="shared" si="23"/>
        <v>49566.719999999994</v>
      </c>
      <c r="I67" s="144">
        <f t="shared" si="23"/>
        <v>49566.719999999994</v>
      </c>
      <c r="J67" s="144">
        <f t="shared" si="23"/>
        <v>49566.719999999994</v>
      </c>
      <c r="K67" s="144">
        <f t="shared" si="23"/>
        <v>49566.719999999994</v>
      </c>
      <c r="L67" s="144">
        <f t="shared" si="23"/>
        <v>49566.719999999994</v>
      </c>
      <c r="M67" s="144">
        <f t="shared" si="23"/>
        <v>49566.719999999994</v>
      </c>
      <c r="N67" s="144">
        <f>SUM(B67:M67)</f>
        <v>594800.63999999978</v>
      </c>
    </row>
    <row r="68" spans="1:15" s="20" customFormat="1" ht="10.199999999999999">
      <c r="A68" s="145" t="s">
        <v>60</v>
      </c>
      <c r="B68" s="144">
        <f t="shared" ref="B68:M68" si="24">B48+B33+B28+B23+B18+B13+B43+B38+B58+B53+B63</f>
        <v>503056</v>
      </c>
      <c r="C68" s="144">
        <f t="shared" si="24"/>
        <v>503056</v>
      </c>
      <c r="D68" s="144">
        <f t="shared" si="24"/>
        <v>503056</v>
      </c>
      <c r="E68" s="144">
        <f t="shared" si="24"/>
        <v>503056</v>
      </c>
      <c r="F68" s="144">
        <f t="shared" si="24"/>
        <v>503056</v>
      </c>
      <c r="G68" s="144">
        <f t="shared" si="24"/>
        <v>503056</v>
      </c>
      <c r="H68" s="144">
        <f t="shared" si="24"/>
        <v>503056</v>
      </c>
      <c r="I68" s="144">
        <f t="shared" si="24"/>
        <v>503056</v>
      </c>
      <c r="J68" s="144">
        <f t="shared" si="24"/>
        <v>503056</v>
      </c>
      <c r="K68" s="144">
        <f t="shared" si="24"/>
        <v>503056</v>
      </c>
      <c r="L68" s="144">
        <f t="shared" si="24"/>
        <v>503056</v>
      </c>
      <c r="M68" s="144">
        <f t="shared" si="24"/>
        <v>503056</v>
      </c>
      <c r="N68" s="144">
        <f>SUM(B68:M68)</f>
        <v>6036672</v>
      </c>
    </row>
    <row r="69" spans="1:15" s="20" customFormat="1" ht="10.199999999999999">
      <c r="A69" s="145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  <row r="70" spans="1:15" s="20" customFormat="1" ht="10.199999999999999">
      <c r="A70" s="25">
        <f>+A8+1</f>
        <v>2015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5" s="20" customFormat="1" ht="10.199999999999999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5" s="20" customFormat="1" ht="13.2">
      <c r="A72" s="23" t="s">
        <v>19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5" s="20" customFormat="1" ht="10.199999999999999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5" s="20" customFormat="1" ht="10.199999999999999">
      <c r="A74" s="402" t="s">
        <v>359</v>
      </c>
    </row>
    <row r="75" spans="1:15" s="29" customFormat="1">
      <c r="A75" s="27" t="s">
        <v>16</v>
      </c>
      <c r="B75" s="28">
        <f>'TSAS Scheduling Revenue (1)'!B74</f>
        <v>5000</v>
      </c>
      <c r="C75" s="28">
        <f>'TSAS Scheduling Revenue (1)'!C74</f>
        <v>5000</v>
      </c>
      <c r="D75" s="28">
        <f>'TSAS Scheduling Revenue (1)'!D74</f>
        <v>5000</v>
      </c>
      <c r="E75" s="28">
        <f>'TSAS Scheduling Revenue (1)'!E74</f>
        <v>5000</v>
      </c>
      <c r="F75" s="28">
        <f>'TSAS Scheduling Revenue (1)'!F74</f>
        <v>5000</v>
      </c>
      <c r="G75" s="28">
        <f>'TSAS Scheduling Revenue (1)'!G74</f>
        <v>5000</v>
      </c>
      <c r="H75" s="28">
        <f>'TSAS Scheduling Revenue (1)'!H74</f>
        <v>5000</v>
      </c>
      <c r="I75" s="28">
        <f>'TSAS Scheduling Revenue (1)'!I74</f>
        <v>5000</v>
      </c>
      <c r="J75" s="28">
        <f>'TSAS Scheduling Revenue (1)'!J74</f>
        <v>5000</v>
      </c>
      <c r="K75" s="28">
        <f>'TSAS Scheduling Revenue (1)'!K74</f>
        <v>5000</v>
      </c>
      <c r="L75" s="28">
        <f>'TSAS Scheduling Revenue (1)'!L74</f>
        <v>5000</v>
      </c>
      <c r="M75" s="28">
        <f>'TSAS Scheduling Revenue (1)'!M74</f>
        <v>5000</v>
      </c>
      <c r="N75" s="28">
        <f>SUM(B75:M75)</f>
        <v>60000</v>
      </c>
      <c r="O75" s="22"/>
    </row>
    <row r="76" spans="1:15" s="20" customFormat="1">
      <c r="A76" s="26" t="s">
        <v>20</v>
      </c>
      <c r="B76" s="32">
        <f>'charges (1 &amp; 2)'!D20</f>
        <v>0.1008</v>
      </c>
      <c r="C76" s="32">
        <f t="shared" ref="C76:M76" si="25">+$B$14</f>
        <v>0.1008</v>
      </c>
      <c r="D76" s="32">
        <f t="shared" si="25"/>
        <v>0.1008</v>
      </c>
      <c r="E76" s="32">
        <f t="shared" si="25"/>
        <v>0.1008</v>
      </c>
      <c r="F76" s="32">
        <f t="shared" si="25"/>
        <v>0.1008</v>
      </c>
      <c r="G76" s="32">
        <f t="shared" si="25"/>
        <v>0.1008</v>
      </c>
      <c r="H76" s="32">
        <f t="shared" si="25"/>
        <v>0.1008</v>
      </c>
      <c r="I76" s="32">
        <f t="shared" si="25"/>
        <v>0.1008</v>
      </c>
      <c r="J76" s="32">
        <f t="shared" si="25"/>
        <v>0.1008</v>
      </c>
      <c r="K76" s="32">
        <f t="shared" si="25"/>
        <v>0.1008</v>
      </c>
      <c r="L76" s="32">
        <f t="shared" si="25"/>
        <v>0.1008</v>
      </c>
      <c r="M76" s="32">
        <f t="shared" si="25"/>
        <v>0.1008</v>
      </c>
      <c r="O76" s="22"/>
    </row>
    <row r="77" spans="1:15" s="20" customFormat="1">
      <c r="A77" s="26" t="s">
        <v>17</v>
      </c>
      <c r="B77" s="21">
        <f t="shared" ref="B77:M77" si="26">B75*B76</f>
        <v>504</v>
      </c>
      <c r="C77" s="21">
        <f t="shared" si="26"/>
        <v>504</v>
      </c>
      <c r="D77" s="21">
        <f t="shared" si="26"/>
        <v>504</v>
      </c>
      <c r="E77" s="21">
        <f t="shared" si="26"/>
        <v>504</v>
      </c>
      <c r="F77" s="21">
        <f t="shared" si="26"/>
        <v>504</v>
      </c>
      <c r="G77" s="21">
        <f t="shared" si="26"/>
        <v>504</v>
      </c>
      <c r="H77" s="21">
        <f t="shared" si="26"/>
        <v>504</v>
      </c>
      <c r="I77" s="21">
        <f t="shared" si="26"/>
        <v>504</v>
      </c>
      <c r="J77" s="21">
        <f t="shared" si="26"/>
        <v>504</v>
      </c>
      <c r="K77" s="21">
        <f t="shared" si="26"/>
        <v>504</v>
      </c>
      <c r="L77" s="21">
        <f t="shared" si="26"/>
        <v>504</v>
      </c>
      <c r="M77" s="21">
        <f t="shared" si="26"/>
        <v>504</v>
      </c>
      <c r="N77" s="21">
        <f>SUM(B77:M77)</f>
        <v>6048</v>
      </c>
      <c r="O77" s="22"/>
    </row>
    <row r="78" spans="1:15" s="20" customFormat="1">
      <c r="O78" s="22"/>
    </row>
    <row r="79" spans="1:15" s="20" customFormat="1">
      <c r="A79" s="26" t="s">
        <v>21</v>
      </c>
      <c r="O79" s="22"/>
    </row>
    <row r="80" spans="1:15" s="29" customFormat="1">
      <c r="A80" s="27" t="s">
        <v>16</v>
      </c>
      <c r="B80" s="28">
        <f>'TSAS Scheduling Revenue (1)'!B79</f>
        <v>0</v>
      </c>
      <c r="C80" s="28">
        <f>'TSAS Scheduling Revenue (1)'!C79</f>
        <v>0</v>
      </c>
      <c r="D80" s="28">
        <f>'TSAS Scheduling Revenue (1)'!D79</f>
        <v>0</v>
      </c>
      <c r="E80" s="28">
        <f>'TSAS Scheduling Revenue (1)'!E79</f>
        <v>0</v>
      </c>
      <c r="F80" s="28">
        <f>'TSAS Scheduling Revenue (1)'!F79</f>
        <v>0</v>
      </c>
      <c r="G80" s="28">
        <f>'TSAS Scheduling Revenue (1)'!G79</f>
        <v>0</v>
      </c>
      <c r="H80" s="28">
        <f>'TSAS Scheduling Revenue (1)'!H79</f>
        <v>0</v>
      </c>
      <c r="I80" s="28">
        <f>'TSAS Scheduling Revenue (1)'!I79</f>
        <v>0</v>
      </c>
      <c r="J80" s="28">
        <f>'TSAS Scheduling Revenue (1)'!J79</f>
        <v>0</v>
      </c>
      <c r="K80" s="28">
        <f>'TSAS Scheduling Revenue (1)'!K79</f>
        <v>0</v>
      </c>
      <c r="L80" s="28">
        <f>'TSAS Scheduling Revenue (1)'!L79</f>
        <v>0</v>
      </c>
      <c r="M80" s="28">
        <f>'TSAS Scheduling Revenue (1)'!M79</f>
        <v>0</v>
      </c>
      <c r="N80" s="28">
        <f>SUM(B80:M80)</f>
        <v>0</v>
      </c>
      <c r="O80" s="22"/>
    </row>
    <row r="81" spans="1:15" s="20" customFormat="1">
      <c r="A81" s="26" t="s">
        <v>20</v>
      </c>
      <c r="B81" s="32">
        <f>'charges (1 &amp; 2)'!D11</f>
        <v>0.1008</v>
      </c>
      <c r="C81" s="32">
        <f t="shared" ref="C81:M81" si="27">+$B$19</f>
        <v>0.1008</v>
      </c>
      <c r="D81" s="32">
        <f t="shared" si="27"/>
        <v>0.1008</v>
      </c>
      <c r="E81" s="32">
        <f t="shared" si="27"/>
        <v>0.1008</v>
      </c>
      <c r="F81" s="32">
        <f t="shared" si="27"/>
        <v>0.1008</v>
      </c>
      <c r="G81" s="32">
        <f t="shared" si="27"/>
        <v>0.1008</v>
      </c>
      <c r="H81" s="32">
        <f t="shared" si="27"/>
        <v>0.1008</v>
      </c>
      <c r="I81" s="32">
        <f t="shared" si="27"/>
        <v>0.1008</v>
      </c>
      <c r="J81" s="32">
        <f t="shared" si="27"/>
        <v>0.1008</v>
      </c>
      <c r="K81" s="32">
        <f t="shared" si="27"/>
        <v>0.1008</v>
      </c>
      <c r="L81" s="32">
        <f t="shared" si="27"/>
        <v>0.1008</v>
      </c>
      <c r="M81" s="32">
        <f t="shared" si="27"/>
        <v>0.1008</v>
      </c>
      <c r="O81" s="22"/>
    </row>
    <row r="82" spans="1:15" s="20" customFormat="1">
      <c r="A82" s="26" t="s">
        <v>17</v>
      </c>
      <c r="B82" s="21">
        <f t="shared" ref="B82:M82" si="28">B80*B81</f>
        <v>0</v>
      </c>
      <c r="C82" s="21">
        <f t="shared" si="28"/>
        <v>0</v>
      </c>
      <c r="D82" s="21">
        <f t="shared" si="28"/>
        <v>0</v>
      </c>
      <c r="E82" s="21">
        <f t="shared" si="28"/>
        <v>0</v>
      </c>
      <c r="F82" s="21">
        <f t="shared" si="28"/>
        <v>0</v>
      </c>
      <c r="G82" s="21">
        <f t="shared" si="28"/>
        <v>0</v>
      </c>
      <c r="H82" s="21">
        <f t="shared" si="28"/>
        <v>0</v>
      </c>
      <c r="I82" s="21">
        <f t="shared" si="28"/>
        <v>0</v>
      </c>
      <c r="J82" s="21">
        <f t="shared" si="28"/>
        <v>0</v>
      </c>
      <c r="K82" s="21">
        <f t="shared" si="28"/>
        <v>0</v>
      </c>
      <c r="L82" s="21">
        <f t="shared" si="28"/>
        <v>0</v>
      </c>
      <c r="M82" s="21">
        <f t="shared" si="28"/>
        <v>0</v>
      </c>
      <c r="N82" s="21">
        <f>SUM(B82:M82)</f>
        <v>0</v>
      </c>
      <c r="O82" s="22"/>
    </row>
    <row r="83" spans="1:15" s="20" customFormat="1">
      <c r="B83" s="21"/>
      <c r="O83" s="22"/>
    </row>
    <row r="84" spans="1:15" s="20" customFormat="1">
      <c r="A84" s="26" t="s">
        <v>22</v>
      </c>
      <c r="O84" s="22"/>
    </row>
    <row r="85" spans="1:15" s="29" customFormat="1">
      <c r="A85" s="27" t="s">
        <v>16</v>
      </c>
      <c r="B85" s="28">
        <f>'TSAS Scheduling Revenue (1)'!B84</f>
        <v>0</v>
      </c>
      <c r="C85" s="28">
        <f>'TSAS Scheduling Revenue (1)'!C84</f>
        <v>0</v>
      </c>
      <c r="D85" s="28">
        <f>'TSAS Scheduling Revenue (1)'!D84</f>
        <v>0</v>
      </c>
      <c r="E85" s="28">
        <f>'TSAS Scheduling Revenue (1)'!E84</f>
        <v>0</v>
      </c>
      <c r="F85" s="28">
        <f>'TSAS Scheduling Revenue (1)'!F84</f>
        <v>0</v>
      </c>
      <c r="G85" s="28">
        <f>'TSAS Scheduling Revenue (1)'!G84</f>
        <v>0</v>
      </c>
      <c r="H85" s="28">
        <f>'TSAS Scheduling Revenue (1)'!H84</f>
        <v>0</v>
      </c>
      <c r="I85" s="28">
        <f>'TSAS Scheduling Revenue (1)'!I84</f>
        <v>0</v>
      </c>
      <c r="J85" s="28">
        <f>'TSAS Scheduling Revenue (1)'!J84</f>
        <v>0</v>
      </c>
      <c r="K85" s="28">
        <f>'TSAS Scheduling Revenue (1)'!K84</f>
        <v>0</v>
      </c>
      <c r="L85" s="28">
        <f>'TSAS Scheduling Revenue (1)'!L84</f>
        <v>0</v>
      </c>
      <c r="M85" s="28">
        <f>'TSAS Scheduling Revenue (1)'!M84</f>
        <v>0</v>
      </c>
      <c r="N85" s="28">
        <f>SUM(B85:M85)</f>
        <v>0</v>
      </c>
      <c r="O85" s="22"/>
    </row>
    <row r="86" spans="1:15" s="20" customFormat="1">
      <c r="A86" s="26" t="s">
        <v>20</v>
      </c>
      <c r="B86" s="33">
        <f>'charges (1 &amp; 2)'!D23</f>
        <v>0.1008</v>
      </c>
      <c r="C86" s="33">
        <f t="shared" ref="C86:M86" si="29">+$B$24</f>
        <v>0.1008</v>
      </c>
      <c r="D86" s="33">
        <f t="shared" si="29"/>
        <v>0.1008</v>
      </c>
      <c r="E86" s="33">
        <f t="shared" si="29"/>
        <v>0.1008</v>
      </c>
      <c r="F86" s="33">
        <f t="shared" si="29"/>
        <v>0.1008</v>
      </c>
      <c r="G86" s="33">
        <f t="shared" si="29"/>
        <v>0.1008</v>
      </c>
      <c r="H86" s="33">
        <f t="shared" si="29"/>
        <v>0.1008</v>
      </c>
      <c r="I86" s="33">
        <f t="shared" si="29"/>
        <v>0.1008</v>
      </c>
      <c r="J86" s="33">
        <f t="shared" si="29"/>
        <v>0.1008</v>
      </c>
      <c r="K86" s="33">
        <f t="shared" si="29"/>
        <v>0.1008</v>
      </c>
      <c r="L86" s="33">
        <f t="shared" si="29"/>
        <v>0.1008</v>
      </c>
      <c r="M86" s="33">
        <f t="shared" si="29"/>
        <v>0.1008</v>
      </c>
      <c r="O86" s="22"/>
    </row>
    <row r="87" spans="1:15" s="20" customFormat="1">
      <c r="A87" s="26" t="s">
        <v>17</v>
      </c>
      <c r="B87" s="21">
        <f t="shared" ref="B87:M87" si="30">B85*B86</f>
        <v>0</v>
      </c>
      <c r="C87" s="21">
        <f t="shared" si="30"/>
        <v>0</v>
      </c>
      <c r="D87" s="21">
        <f t="shared" si="30"/>
        <v>0</v>
      </c>
      <c r="E87" s="21">
        <f t="shared" si="30"/>
        <v>0</v>
      </c>
      <c r="F87" s="21">
        <f t="shared" si="30"/>
        <v>0</v>
      </c>
      <c r="G87" s="21">
        <f t="shared" si="30"/>
        <v>0</v>
      </c>
      <c r="H87" s="21">
        <f t="shared" si="30"/>
        <v>0</v>
      </c>
      <c r="I87" s="21">
        <f t="shared" si="30"/>
        <v>0</v>
      </c>
      <c r="J87" s="21">
        <f t="shared" si="30"/>
        <v>0</v>
      </c>
      <c r="K87" s="21">
        <f t="shared" si="30"/>
        <v>0</v>
      </c>
      <c r="L87" s="21">
        <f t="shared" si="30"/>
        <v>0</v>
      </c>
      <c r="M87" s="21">
        <f t="shared" si="30"/>
        <v>0</v>
      </c>
      <c r="N87" s="21">
        <f>SUM(B87:M87)</f>
        <v>0</v>
      </c>
      <c r="O87" s="22"/>
    </row>
    <row r="88" spans="1:15" s="20" customFormat="1">
      <c r="B88" s="21"/>
      <c r="O88" s="22"/>
    </row>
    <row r="89" spans="1:15" s="20" customFormat="1" ht="10.199999999999999">
      <c r="A89" s="402" t="s">
        <v>23</v>
      </c>
      <c r="O89" s="29"/>
    </row>
    <row r="90" spans="1:15" s="29" customFormat="1" ht="10.199999999999999">
      <c r="A90" s="27" t="s">
        <v>16</v>
      </c>
      <c r="B90" s="28">
        <f>'TSAS Scheduling Revenue (1)'!B89</f>
        <v>37056</v>
      </c>
      <c r="C90" s="28">
        <f>'TSAS Scheduling Revenue (1)'!C89</f>
        <v>37056</v>
      </c>
      <c r="D90" s="28">
        <f>'TSAS Scheduling Revenue (1)'!D89</f>
        <v>37056</v>
      </c>
      <c r="E90" s="28">
        <f>'TSAS Scheduling Revenue (1)'!E89</f>
        <v>37056</v>
      </c>
      <c r="F90" s="28">
        <f>'TSAS Scheduling Revenue (1)'!F89</f>
        <v>37056</v>
      </c>
      <c r="G90" s="28">
        <f>'TSAS Scheduling Revenue (1)'!G89</f>
        <v>37056</v>
      </c>
      <c r="H90" s="28">
        <f>'TSAS Scheduling Revenue (1)'!H89</f>
        <v>37056</v>
      </c>
      <c r="I90" s="28">
        <f>'TSAS Scheduling Revenue (1)'!I89</f>
        <v>37056</v>
      </c>
      <c r="J90" s="28">
        <f>'TSAS Scheduling Revenue (1)'!J89</f>
        <v>37056</v>
      </c>
      <c r="K90" s="28">
        <f>'TSAS Scheduling Revenue (1)'!K89</f>
        <v>37056</v>
      </c>
      <c r="L90" s="28">
        <f>'TSAS Scheduling Revenue (1)'!L89</f>
        <v>37056</v>
      </c>
      <c r="M90" s="28">
        <f>'TSAS Scheduling Revenue (1)'!M89</f>
        <v>37056</v>
      </c>
      <c r="N90" s="28">
        <f>SUM(B90:M90)</f>
        <v>444672</v>
      </c>
    </row>
    <row r="91" spans="1:15" s="20" customFormat="1" ht="10.199999999999999">
      <c r="A91" s="26" t="s">
        <v>20</v>
      </c>
      <c r="B91" s="33">
        <f>'charges (1 &amp; 2)'!D14</f>
        <v>7.0000000000000007E-2</v>
      </c>
      <c r="C91" s="33">
        <f t="shared" ref="C91:M91" si="31">+$B$29</f>
        <v>7.0000000000000007E-2</v>
      </c>
      <c r="D91" s="33">
        <f t="shared" si="31"/>
        <v>7.0000000000000007E-2</v>
      </c>
      <c r="E91" s="33">
        <f t="shared" si="31"/>
        <v>7.0000000000000007E-2</v>
      </c>
      <c r="F91" s="33">
        <f t="shared" si="31"/>
        <v>7.0000000000000007E-2</v>
      </c>
      <c r="G91" s="33">
        <f t="shared" si="31"/>
        <v>7.0000000000000007E-2</v>
      </c>
      <c r="H91" s="33">
        <f t="shared" si="31"/>
        <v>7.0000000000000007E-2</v>
      </c>
      <c r="I91" s="33">
        <f t="shared" si="31"/>
        <v>7.0000000000000007E-2</v>
      </c>
      <c r="J91" s="33">
        <f t="shared" si="31"/>
        <v>7.0000000000000007E-2</v>
      </c>
      <c r="K91" s="33">
        <f t="shared" si="31"/>
        <v>7.0000000000000007E-2</v>
      </c>
      <c r="L91" s="33">
        <f t="shared" si="31"/>
        <v>7.0000000000000007E-2</v>
      </c>
      <c r="M91" s="33">
        <f t="shared" si="31"/>
        <v>7.0000000000000007E-2</v>
      </c>
    </row>
    <row r="92" spans="1:15" s="20" customFormat="1" ht="10.199999999999999">
      <c r="A92" s="26" t="s">
        <v>17</v>
      </c>
      <c r="B92" s="21">
        <f t="shared" ref="B92:M92" si="32">B90*B91</f>
        <v>2593.92</v>
      </c>
      <c r="C92" s="21">
        <f t="shared" si="32"/>
        <v>2593.92</v>
      </c>
      <c r="D92" s="21">
        <f t="shared" si="32"/>
        <v>2593.92</v>
      </c>
      <c r="E92" s="21">
        <f t="shared" si="32"/>
        <v>2593.92</v>
      </c>
      <c r="F92" s="21">
        <f t="shared" si="32"/>
        <v>2593.92</v>
      </c>
      <c r="G92" s="21">
        <f t="shared" si="32"/>
        <v>2593.92</v>
      </c>
      <c r="H92" s="21">
        <f t="shared" si="32"/>
        <v>2593.92</v>
      </c>
      <c r="I92" s="21">
        <f t="shared" si="32"/>
        <v>2593.92</v>
      </c>
      <c r="J92" s="21">
        <f t="shared" si="32"/>
        <v>2593.92</v>
      </c>
      <c r="K92" s="21">
        <f t="shared" si="32"/>
        <v>2593.92</v>
      </c>
      <c r="L92" s="21">
        <f t="shared" si="32"/>
        <v>2593.92</v>
      </c>
      <c r="M92" s="21">
        <f t="shared" si="32"/>
        <v>2593.92</v>
      </c>
      <c r="N92" s="21">
        <f>SUM(B92:M92)</f>
        <v>31127.039999999994</v>
      </c>
    </row>
    <row r="93" spans="1:15" s="20" customFormat="1" ht="10.199999999999999">
      <c r="B93" s="21"/>
    </row>
    <row r="94" spans="1:15" s="20" customFormat="1" ht="10.199999999999999">
      <c r="A94" s="402" t="s">
        <v>24</v>
      </c>
    </row>
    <row r="95" spans="1:15" s="29" customFormat="1" ht="10.199999999999999">
      <c r="A95" s="27" t="s">
        <v>16</v>
      </c>
      <c r="B95" s="28">
        <f>'TSAS Scheduling Revenue (1)'!B94</f>
        <v>62000</v>
      </c>
      <c r="C95" s="28">
        <f>'TSAS Scheduling Revenue (1)'!C94</f>
        <v>62000</v>
      </c>
      <c r="D95" s="28">
        <f>'TSAS Scheduling Revenue (1)'!D94</f>
        <v>62000</v>
      </c>
      <c r="E95" s="28">
        <f>'TSAS Scheduling Revenue (1)'!E94</f>
        <v>62000</v>
      </c>
      <c r="F95" s="28">
        <f>'TSAS Scheduling Revenue (1)'!F94</f>
        <v>62000</v>
      </c>
      <c r="G95" s="28">
        <f>'TSAS Scheduling Revenue (1)'!G94</f>
        <v>62000</v>
      </c>
      <c r="H95" s="28">
        <f>'TSAS Scheduling Revenue (1)'!H94</f>
        <v>62000</v>
      </c>
      <c r="I95" s="28">
        <f>'TSAS Scheduling Revenue (1)'!I94</f>
        <v>62000</v>
      </c>
      <c r="J95" s="28">
        <f>'TSAS Scheduling Revenue (1)'!J94</f>
        <v>62000</v>
      </c>
      <c r="K95" s="28">
        <f>'TSAS Scheduling Revenue (1)'!K94</f>
        <v>62000</v>
      </c>
      <c r="L95" s="28">
        <f>'TSAS Scheduling Revenue (1)'!L94</f>
        <v>62000</v>
      </c>
      <c r="M95" s="28">
        <f>'TSAS Scheduling Revenue (1)'!M94</f>
        <v>62000</v>
      </c>
      <c r="N95" s="28">
        <f>SUM(B95:M95)</f>
        <v>744000</v>
      </c>
    </row>
    <row r="96" spans="1:15" s="20" customFormat="1" ht="10.199999999999999">
      <c r="A96" s="26" t="s">
        <v>20</v>
      </c>
      <c r="B96" s="33">
        <f>'charges (1 &amp; 2)'!D17</f>
        <v>0.1008</v>
      </c>
      <c r="C96" s="33">
        <f t="shared" ref="C96:M96" si="33">+$B$34</f>
        <v>0.1008</v>
      </c>
      <c r="D96" s="33">
        <f t="shared" si="33"/>
        <v>0.1008</v>
      </c>
      <c r="E96" s="33">
        <f t="shared" si="33"/>
        <v>0.1008</v>
      </c>
      <c r="F96" s="33">
        <f t="shared" si="33"/>
        <v>0.1008</v>
      </c>
      <c r="G96" s="33">
        <f t="shared" si="33"/>
        <v>0.1008</v>
      </c>
      <c r="H96" s="33">
        <f t="shared" si="33"/>
        <v>0.1008</v>
      </c>
      <c r="I96" s="33">
        <f t="shared" si="33"/>
        <v>0.1008</v>
      </c>
      <c r="J96" s="33">
        <f t="shared" si="33"/>
        <v>0.1008</v>
      </c>
      <c r="K96" s="33">
        <f t="shared" si="33"/>
        <v>0.1008</v>
      </c>
      <c r="L96" s="33">
        <f t="shared" si="33"/>
        <v>0.1008</v>
      </c>
      <c r="M96" s="33">
        <f t="shared" si="33"/>
        <v>0.1008</v>
      </c>
    </row>
    <row r="97" spans="1:15" s="20" customFormat="1" ht="10.199999999999999">
      <c r="A97" s="26" t="s">
        <v>17</v>
      </c>
      <c r="B97" s="21">
        <f t="shared" ref="B97:M97" si="34">B95*B96</f>
        <v>6249.6</v>
      </c>
      <c r="C97" s="21">
        <f t="shared" si="34"/>
        <v>6249.6</v>
      </c>
      <c r="D97" s="21">
        <f t="shared" si="34"/>
        <v>6249.6</v>
      </c>
      <c r="E97" s="21">
        <f t="shared" si="34"/>
        <v>6249.6</v>
      </c>
      <c r="F97" s="21">
        <f t="shared" si="34"/>
        <v>6249.6</v>
      </c>
      <c r="G97" s="21">
        <f t="shared" si="34"/>
        <v>6249.6</v>
      </c>
      <c r="H97" s="21">
        <f t="shared" si="34"/>
        <v>6249.6</v>
      </c>
      <c r="I97" s="21">
        <f t="shared" si="34"/>
        <v>6249.6</v>
      </c>
      <c r="J97" s="21">
        <f t="shared" si="34"/>
        <v>6249.6</v>
      </c>
      <c r="K97" s="21">
        <f t="shared" si="34"/>
        <v>6249.6</v>
      </c>
      <c r="L97" s="21">
        <f t="shared" si="34"/>
        <v>6249.6</v>
      </c>
      <c r="M97" s="21">
        <f t="shared" si="34"/>
        <v>6249.6</v>
      </c>
      <c r="N97" s="21">
        <f>SUM(B97:M97)</f>
        <v>74995.199999999997</v>
      </c>
    </row>
    <row r="98" spans="1:15" s="20" customFormat="1" ht="10.199999999999999">
      <c r="A98" s="2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1:15" s="20" customFormat="1" ht="10.199999999999999">
      <c r="A99" s="402" t="s">
        <v>116</v>
      </c>
    </row>
    <row r="100" spans="1:15" s="20" customFormat="1" ht="10.199999999999999">
      <c r="A100" s="27" t="s">
        <v>16</v>
      </c>
      <c r="B100" s="28">
        <f>'TSAS Scheduling Revenue (1)'!B99</f>
        <v>40000</v>
      </c>
      <c r="C100" s="28">
        <f>'TSAS Scheduling Revenue (1)'!C99</f>
        <v>40000</v>
      </c>
      <c r="D100" s="28">
        <f>'TSAS Scheduling Revenue (1)'!D99</f>
        <v>40000</v>
      </c>
      <c r="E100" s="28">
        <f>'TSAS Scheduling Revenue (1)'!E99</f>
        <v>40000</v>
      </c>
      <c r="F100" s="28">
        <f>'TSAS Scheduling Revenue (1)'!F99</f>
        <v>40000</v>
      </c>
      <c r="G100" s="28">
        <f>'TSAS Scheduling Revenue (1)'!G99</f>
        <v>40000</v>
      </c>
      <c r="H100" s="28">
        <f>'TSAS Scheduling Revenue (1)'!H99</f>
        <v>40000</v>
      </c>
      <c r="I100" s="28">
        <f>'TSAS Scheduling Revenue (1)'!I99</f>
        <v>40000</v>
      </c>
      <c r="J100" s="28">
        <f>'TSAS Scheduling Revenue (1)'!J99</f>
        <v>40000</v>
      </c>
      <c r="K100" s="28">
        <f>'TSAS Scheduling Revenue (1)'!K99</f>
        <v>40000</v>
      </c>
      <c r="L100" s="28">
        <f>'TSAS Scheduling Revenue (1)'!L99</f>
        <v>40000</v>
      </c>
      <c r="M100" s="28">
        <f>'TSAS Scheduling Revenue (1)'!M99</f>
        <v>40000</v>
      </c>
      <c r="N100" s="28">
        <f>SUM(B100:M100)</f>
        <v>480000</v>
      </c>
    </row>
    <row r="101" spans="1:15" s="20" customFormat="1" ht="10.199999999999999">
      <c r="A101" s="26" t="s">
        <v>20</v>
      </c>
      <c r="B101" s="33">
        <f t="shared" ref="B101:M101" si="35">+$B$34</f>
        <v>0.1008</v>
      </c>
      <c r="C101" s="33">
        <f t="shared" si="35"/>
        <v>0.1008</v>
      </c>
      <c r="D101" s="33">
        <f t="shared" si="35"/>
        <v>0.1008</v>
      </c>
      <c r="E101" s="33">
        <f t="shared" si="35"/>
        <v>0.1008</v>
      </c>
      <c r="F101" s="33">
        <f t="shared" si="35"/>
        <v>0.1008</v>
      </c>
      <c r="G101" s="33">
        <f t="shared" si="35"/>
        <v>0.1008</v>
      </c>
      <c r="H101" s="33">
        <f t="shared" si="35"/>
        <v>0.1008</v>
      </c>
      <c r="I101" s="33">
        <f t="shared" si="35"/>
        <v>0.1008</v>
      </c>
      <c r="J101" s="33">
        <f t="shared" si="35"/>
        <v>0.1008</v>
      </c>
      <c r="K101" s="33">
        <f t="shared" si="35"/>
        <v>0.1008</v>
      </c>
      <c r="L101" s="33">
        <f t="shared" si="35"/>
        <v>0.1008</v>
      </c>
      <c r="M101" s="33">
        <f t="shared" si="35"/>
        <v>0.1008</v>
      </c>
    </row>
    <row r="102" spans="1:15" s="20" customFormat="1" ht="10.199999999999999">
      <c r="A102" s="26" t="s">
        <v>17</v>
      </c>
      <c r="B102" s="21">
        <f t="shared" ref="B102:M102" si="36">B100*B101</f>
        <v>4032</v>
      </c>
      <c r="C102" s="21">
        <f t="shared" si="36"/>
        <v>4032</v>
      </c>
      <c r="D102" s="21">
        <f t="shared" si="36"/>
        <v>4032</v>
      </c>
      <c r="E102" s="21">
        <f t="shared" si="36"/>
        <v>4032</v>
      </c>
      <c r="F102" s="21">
        <f t="shared" si="36"/>
        <v>4032</v>
      </c>
      <c r="G102" s="21">
        <f t="shared" si="36"/>
        <v>4032</v>
      </c>
      <c r="H102" s="21">
        <f t="shared" si="36"/>
        <v>4032</v>
      </c>
      <c r="I102" s="21">
        <f t="shared" si="36"/>
        <v>4032</v>
      </c>
      <c r="J102" s="21">
        <f t="shared" si="36"/>
        <v>4032</v>
      </c>
      <c r="K102" s="21">
        <f t="shared" si="36"/>
        <v>4032</v>
      </c>
      <c r="L102" s="21">
        <f t="shared" si="36"/>
        <v>4032</v>
      </c>
      <c r="M102" s="21">
        <f t="shared" si="36"/>
        <v>4032</v>
      </c>
      <c r="N102" s="21">
        <f>SUM(B102:M102)</f>
        <v>48384</v>
      </c>
    </row>
    <row r="103" spans="1:15" s="20" customFormat="1" ht="10.199999999999999">
      <c r="A103" s="26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5" s="20" customFormat="1" ht="10.199999999999999">
      <c r="A104" s="402" t="s">
        <v>44</v>
      </c>
    </row>
    <row r="105" spans="1:15" s="20" customFormat="1" ht="10.199999999999999">
      <c r="A105" s="27" t="s">
        <v>16</v>
      </c>
      <c r="B105" s="28">
        <f>'TSAS Scheduling Revenue (1)'!B104</f>
        <v>25000</v>
      </c>
      <c r="C105" s="28">
        <f>'TSAS Scheduling Revenue (1)'!C104</f>
        <v>0</v>
      </c>
      <c r="D105" s="28">
        <f>'TSAS Scheduling Revenue (1)'!D104</f>
        <v>0</v>
      </c>
      <c r="E105" s="28">
        <f>'TSAS Scheduling Revenue (1)'!E104</f>
        <v>0</v>
      </c>
      <c r="F105" s="28">
        <f>'TSAS Scheduling Revenue (1)'!F104</f>
        <v>0</v>
      </c>
      <c r="G105" s="28">
        <f>'TSAS Scheduling Revenue (1)'!G104</f>
        <v>0</v>
      </c>
      <c r="H105" s="28">
        <f>'TSAS Scheduling Revenue (1)'!H104</f>
        <v>0</v>
      </c>
      <c r="I105" s="28">
        <f>'TSAS Scheduling Revenue (1)'!I104</f>
        <v>0</v>
      </c>
      <c r="J105" s="28">
        <f>'TSAS Scheduling Revenue (1)'!J104</f>
        <v>0</v>
      </c>
      <c r="K105" s="28">
        <f>'TSAS Scheduling Revenue (1)'!K104</f>
        <v>0</v>
      </c>
      <c r="L105" s="28">
        <f>'TSAS Scheduling Revenue (1)'!L104</f>
        <v>0</v>
      </c>
      <c r="M105" s="28">
        <f>'TSAS Scheduling Revenue (1)'!M104</f>
        <v>0</v>
      </c>
      <c r="N105" s="28">
        <f>SUM(B105:M105)</f>
        <v>25000</v>
      </c>
    </row>
    <row r="106" spans="1:15" s="20" customFormat="1" ht="10.199999999999999">
      <c r="A106" s="26" t="s">
        <v>20</v>
      </c>
      <c r="B106" s="33">
        <f t="shared" ref="B106:M106" si="37">+$B$34</f>
        <v>0.1008</v>
      </c>
      <c r="C106" s="33">
        <f t="shared" si="37"/>
        <v>0.1008</v>
      </c>
      <c r="D106" s="33">
        <f t="shared" si="37"/>
        <v>0.1008</v>
      </c>
      <c r="E106" s="33">
        <f t="shared" si="37"/>
        <v>0.1008</v>
      </c>
      <c r="F106" s="33">
        <f t="shared" si="37"/>
        <v>0.1008</v>
      </c>
      <c r="G106" s="33">
        <f t="shared" si="37"/>
        <v>0.1008</v>
      </c>
      <c r="H106" s="33">
        <f t="shared" si="37"/>
        <v>0.1008</v>
      </c>
      <c r="I106" s="33">
        <f t="shared" si="37"/>
        <v>0.1008</v>
      </c>
      <c r="J106" s="33">
        <f t="shared" si="37"/>
        <v>0.1008</v>
      </c>
      <c r="K106" s="33">
        <f t="shared" si="37"/>
        <v>0.1008</v>
      </c>
      <c r="L106" s="33">
        <f t="shared" si="37"/>
        <v>0.1008</v>
      </c>
      <c r="M106" s="33">
        <f t="shared" si="37"/>
        <v>0.1008</v>
      </c>
    </row>
    <row r="107" spans="1:15" s="20" customFormat="1" ht="10.199999999999999">
      <c r="A107" s="26" t="s">
        <v>17</v>
      </c>
      <c r="B107" s="21">
        <f t="shared" ref="B107:M107" si="38">B105*B106</f>
        <v>2520</v>
      </c>
      <c r="C107" s="21">
        <f t="shared" si="38"/>
        <v>0</v>
      </c>
      <c r="D107" s="21">
        <f t="shared" si="38"/>
        <v>0</v>
      </c>
      <c r="E107" s="21">
        <f t="shared" si="38"/>
        <v>0</v>
      </c>
      <c r="F107" s="21">
        <f t="shared" si="38"/>
        <v>0</v>
      </c>
      <c r="G107" s="21">
        <f t="shared" si="38"/>
        <v>0</v>
      </c>
      <c r="H107" s="21">
        <f t="shared" si="38"/>
        <v>0</v>
      </c>
      <c r="I107" s="21">
        <f t="shared" si="38"/>
        <v>0</v>
      </c>
      <c r="J107" s="21">
        <f t="shared" si="38"/>
        <v>0</v>
      </c>
      <c r="K107" s="21">
        <f t="shared" si="38"/>
        <v>0</v>
      </c>
      <c r="L107" s="21">
        <f t="shared" si="38"/>
        <v>0</v>
      </c>
      <c r="M107" s="21">
        <f t="shared" si="38"/>
        <v>0</v>
      </c>
      <c r="N107" s="21">
        <f>SUM(B107:M107)</f>
        <v>2520</v>
      </c>
    </row>
    <row r="108" spans="1:15" s="20" customFormat="1" ht="10.199999999999999">
      <c r="A108" s="26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5" s="20" customFormat="1" ht="10.199999999999999">
      <c r="A109" s="402" t="s">
        <v>171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5" s="20" customFormat="1" ht="10.199999999999999">
      <c r="A110" s="27" t="s">
        <v>16</v>
      </c>
      <c r="B110" s="21">
        <f>'TSAS Scheduling Revenue (1)'!B109</f>
        <v>4000</v>
      </c>
      <c r="C110" s="21">
        <f>'TSAS Scheduling Revenue (1)'!C109</f>
        <v>0</v>
      </c>
      <c r="D110" s="21">
        <f>'TSAS Scheduling Revenue (1)'!D109</f>
        <v>0</v>
      </c>
      <c r="E110" s="21">
        <f>'TSAS Scheduling Revenue (1)'!E109</f>
        <v>0</v>
      </c>
      <c r="F110" s="21">
        <f>'TSAS Scheduling Revenue (1)'!F109</f>
        <v>0</v>
      </c>
      <c r="G110" s="21">
        <f>'TSAS Scheduling Revenue (1)'!G109</f>
        <v>0</v>
      </c>
      <c r="H110" s="21">
        <f>'TSAS Scheduling Revenue (1)'!H109</f>
        <v>0</v>
      </c>
      <c r="I110" s="21">
        <f>'TSAS Scheduling Revenue (1)'!I109</f>
        <v>0</v>
      </c>
      <c r="J110" s="21">
        <f>'TSAS Scheduling Revenue (1)'!J109</f>
        <v>0</v>
      </c>
      <c r="K110" s="21">
        <f>'TSAS Scheduling Revenue (1)'!K109</f>
        <v>0</v>
      </c>
      <c r="L110" s="21">
        <f>'TSAS Scheduling Revenue (1)'!L109</f>
        <v>0</v>
      </c>
      <c r="M110" s="21">
        <f>'TSAS Scheduling Revenue (1)'!M109</f>
        <v>0</v>
      </c>
      <c r="N110" s="28">
        <f>SUM(B110:M110)</f>
        <v>4000</v>
      </c>
      <c r="O110" s="371" t="s">
        <v>280</v>
      </c>
    </row>
    <row r="111" spans="1:15" s="20" customFormat="1" ht="10.199999999999999">
      <c r="A111" s="26" t="s">
        <v>20</v>
      </c>
      <c r="B111" s="33">
        <f>B106</f>
        <v>0.1008</v>
      </c>
      <c r="C111" s="33">
        <f t="shared" ref="C111:M111" si="39">C106</f>
        <v>0.1008</v>
      </c>
      <c r="D111" s="33">
        <f t="shared" si="39"/>
        <v>0.1008</v>
      </c>
      <c r="E111" s="33">
        <f t="shared" si="39"/>
        <v>0.1008</v>
      </c>
      <c r="F111" s="33">
        <f t="shared" si="39"/>
        <v>0.1008</v>
      </c>
      <c r="G111" s="33">
        <f t="shared" si="39"/>
        <v>0.1008</v>
      </c>
      <c r="H111" s="33">
        <f t="shared" si="39"/>
        <v>0.1008</v>
      </c>
      <c r="I111" s="33">
        <f t="shared" si="39"/>
        <v>0.1008</v>
      </c>
      <c r="J111" s="33">
        <f t="shared" si="39"/>
        <v>0.1008</v>
      </c>
      <c r="K111" s="33">
        <f t="shared" si="39"/>
        <v>0.1008</v>
      </c>
      <c r="L111" s="33">
        <f t="shared" si="39"/>
        <v>0.1008</v>
      </c>
      <c r="M111" s="33">
        <f t="shared" si="39"/>
        <v>0.1008</v>
      </c>
    </row>
    <row r="112" spans="1:15" s="20" customFormat="1" ht="10.199999999999999">
      <c r="A112" s="26" t="s">
        <v>17</v>
      </c>
      <c r="B112" s="21">
        <f t="shared" ref="B112:M112" si="40">B110*B111</f>
        <v>403.2</v>
      </c>
      <c r="C112" s="21">
        <f t="shared" si="40"/>
        <v>0</v>
      </c>
      <c r="D112" s="21">
        <f t="shared" si="40"/>
        <v>0</v>
      </c>
      <c r="E112" s="21">
        <f t="shared" si="40"/>
        <v>0</v>
      </c>
      <c r="F112" s="21">
        <f t="shared" si="40"/>
        <v>0</v>
      </c>
      <c r="G112" s="21">
        <f t="shared" si="40"/>
        <v>0</v>
      </c>
      <c r="H112" s="21">
        <f t="shared" si="40"/>
        <v>0</v>
      </c>
      <c r="I112" s="21">
        <f t="shared" si="40"/>
        <v>0</v>
      </c>
      <c r="J112" s="21">
        <f t="shared" si="40"/>
        <v>0</v>
      </c>
      <c r="K112" s="21">
        <f t="shared" si="40"/>
        <v>0</v>
      </c>
      <c r="L112" s="21">
        <f t="shared" si="40"/>
        <v>0</v>
      </c>
      <c r="M112" s="21">
        <f t="shared" si="40"/>
        <v>0</v>
      </c>
      <c r="N112" s="21">
        <f>SUM(B112:M112)</f>
        <v>403.2</v>
      </c>
    </row>
    <row r="113" spans="1:15" s="20" customFormat="1" ht="10.199999999999999">
      <c r="A113" s="26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</row>
    <row r="114" spans="1:15" s="20" customFormat="1" ht="10.199999999999999">
      <c r="A114" s="402" t="s">
        <v>237</v>
      </c>
    </row>
    <row r="115" spans="1:15" s="20" customFormat="1" ht="10.199999999999999">
      <c r="A115" s="27" t="s">
        <v>16</v>
      </c>
      <c r="B115" s="28">
        <f>'TSAS Demand Revenues (7)'!B104</f>
        <v>4000</v>
      </c>
      <c r="C115" s="28">
        <f>'TSAS Demand Revenues (7)'!C104</f>
        <v>4000</v>
      </c>
      <c r="D115" s="28">
        <f>'TSAS Demand Revenues (7)'!D104</f>
        <v>4000</v>
      </c>
      <c r="E115" s="28">
        <f>'TSAS Demand Revenues (7)'!E104</f>
        <v>4000</v>
      </c>
      <c r="F115" s="28">
        <f>'TSAS Demand Revenues (7)'!F104</f>
        <v>4000</v>
      </c>
      <c r="G115" s="28">
        <f>'TSAS Demand Revenues (7)'!G104</f>
        <v>4000</v>
      </c>
      <c r="H115" s="28">
        <f>'TSAS Demand Revenues (7)'!H104</f>
        <v>4000</v>
      </c>
      <c r="I115" s="28">
        <f>'TSAS Demand Revenues (7)'!I104</f>
        <v>4000</v>
      </c>
      <c r="J115" s="28">
        <f>'TSAS Demand Revenues (7)'!J104</f>
        <v>4000</v>
      </c>
      <c r="K115" s="28">
        <f>'TSAS Demand Revenues (7)'!K104</f>
        <v>4000</v>
      </c>
      <c r="L115" s="28">
        <f>'TSAS Demand Revenues (7)'!L104</f>
        <v>4000</v>
      </c>
      <c r="M115" s="28">
        <f>'TSAS Demand Revenues (7)'!M104</f>
        <v>4000</v>
      </c>
      <c r="N115" s="28">
        <f>SUM(B115:M115)</f>
        <v>48000</v>
      </c>
    </row>
    <row r="116" spans="1:15" s="20" customFormat="1" ht="10.199999999999999">
      <c r="A116" s="26" t="s">
        <v>20</v>
      </c>
      <c r="B116" s="33">
        <f>B111</f>
        <v>0.1008</v>
      </c>
      <c r="C116" s="33">
        <f t="shared" ref="C116:M116" si="41">C111</f>
        <v>0.1008</v>
      </c>
      <c r="D116" s="33">
        <f t="shared" si="41"/>
        <v>0.1008</v>
      </c>
      <c r="E116" s="33">
        <f t="shared" si="41"/>
        <v>0.1008</v>
      </c>
      <c r="F116" s="33">
        <f t="shared" si="41"/>
        <v>0.1008</v>
      </c>
      <c r="G116" s="33">
        <f t="shared" si="41"/>
        <v>0.1008</v>
      </c>
      <c r="H116" s="33">
        <f t="shared" si="41"/>
        <v>0.1008</v>
      </c>
      <c r="I116" s="33">
        <f t="shared" si="41"/>
        <v>0.1008</v>
      </c>
      <c r="J116" s="33">
        <f t="shared" si="41"/>
        <v>0.1008</v>
      </c>
      <c r="K116" s="33">
        <f t="shared" si="41"/>
        <v>0.1008</v>
      </c>
      <c r="L116" s="33">
        <f t="shared" si="41"/>
        <v>0.1008</v>
      </c>
      <c r="M116" s="33">
        <f t="shared" si="41"/>
        <v>0.1008</v>
      </c>
    </row>
    <row r="117" spans="1:15" s="20" customFormat="1" ht="10.199999999999999">
      <c r="A117" s="26" t="s">
        <v>17</v>
      </c>
      <c r="B117" s="21">
        <f t="shared" ref="B117:M117" si="42">B115*B116</f>
        <v>403.2</v>
      </c>
      <c r="C117" s="21">
        <f t="shared" si="42"/>
        <v>403.2</v>
      </c>
      <c r="D117" s="21">
        <f t="shared" si="42"/>
        <v>403.2</v>
      </c>
      <c r="E117" s="21">
        <f t="shared" si="42"/>
        <v>403.2</v>
      </c>
      <c r="F117" s="21">
        <f t="shared" si="42"/>
        <v>403.2</v>
      </c>
      <c r="G117" s="21">
        <f t="shared" si="42"/>
        <v>403.2</v>
      </c>
      <c r="H117" s="21">
        <f t="shared" si="42"/>
        <v>403.2</v>
      </c>
      <c r="I117" s="21">
        <f t="shared" si="42"/>
        <v>403.2</v>
      </c>
      <c r="J117" s="21">
        <f t="shared" si="42"/>
        <v>403.2</v>
      </c>
      <c r="K117" s="21">
        <f t="shared" si="42"/>
        <v>403.2</v>
      </c>
      <c r="L117" s="21">
        <f t="shared" si="42"/>
        <v>403.2</v>
      </c>
      <c r="M117" s="21">
        <f t="shared" si="42"/>
        <v>403.2</v>
      </c>
      <c r="N117" s="21">
        <f>SUM(B117:M117)</f>
        <v>4838.3999999999987</v>
      </c>
    </row>
    <row r="118" spans="1:15" s="20" customFormat="1" ht="10.199999999999999">
      <c r="A118" s="26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1:15">
      <c r="A119" s="402" t="s">
        <v>179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5">
      <c r="A120" s="27" t="s">
        <v>16</v>
      </c>
      <c r="B120" s="28">
        <f>'TSAS Demand Revenues (7)'!B109</f>
        <v>0</v>
      </c>
      <c r="C120" s="28">
        <f>'TSAS Demand Revenues (7)'!C109</f>
        <v>0</v>
      </c>
      <c r="D120" s="28">
        <f>'TSAS Demand Revenues (7)'!D109</f>
        <v>0</v>
      </c>
      <c r="E120" s="28">
        <f>'TSAS Demand Revenues (7)'!E109</f>
        <v>0</v>
      </c>
      <c r="F120" s="28">
        <f>'TSAS Demand Revenues (7)'!F109</f>
        <v>0</v>
      </c>
      <c r="G120" s="28">
        <f>'TSAS Demand Revenues (7)'!G109</f>
        <v>0</v>
      </c>
      <c r="H120" s="28">
        <f>'TSAS Demand Revenues (7)'!H109</f>
        <v>0</v>
      </c>
      <c r="I120" s="28">
        <f>'TSAS Demand Revenues (7)'!I109</f>
        <v>0</v>
      </c>
      <c r="J120" s="28">
        <f>'TSAS Demand Revenues (7)'!J109</f>
        <v>0</v>
      </c>
      <c r="K120" s="28">
        <f>'TSAS Demand Revenues (7)'!K109</f>
        <v>0</v>
      </c>
      <c r="L120" s="28">
        <f>'TSAS Demand Revenues (7)'!L109</f>
        <v>0</v>
      </c>
      <c r="M120" s="28">
        <f>'TSAS Demand Revenues (7)'!M109</f>
        <v>0</v>
      </c>
      <c r="N120" s="28">
        <f>SUM(B120:M120)</f>
        <v>0</v>
      </c>
    </row>
    <row r="121" spans="1:15">
      <c r="A121" s="26" t="s">
        <v>20</v>
      </c>
      <c r="B121" s="33">
        <f>B116</f>
        <v>0.1008</v>
      </c>
      <c r="C121" s="33">
        <f t="shared" ref="C121:M121" si="43">C116</f>
        <v>0.1008</v>
      </c>
      <c r="D121" s="33">
        <f t="shared" si="43"/>
        <v>0.1008</v>
      </c>
      <c r="E121" s="33">
        <f t="shared" si="43"/>
        <v>0.1008</v>
      </c>
      <c r="F121" s="33">
        <f t="shared" si="43"/>
        <v>0.1008</v>
      </c>
      <c r="G121" s="33">
        <f t="shared" si="43"/>
        <v>0.1008</v>
      </c>
      <c r="H121" s="33">
        <f t="shared" si="43"/>
        <v>0.1008</v>
      </c>
      <c r="I121" s="33">
        <f t="shared" si="43"/>
        <v>0.1008</v>
      </c>
      <c r="J121" s="33">
        <f t="shared" si="43"/>
        <v>0.1008</v>
      </c>
      <c r="K121" s="33">
        <f t="shared" si="43"/>
        <v>0.1008</v>
      </c>
      <c r="L121" s="33">
        <f t="shared" si="43"/>
        <v>0.1008</v>
      </c>
      <c r="M121" s="33">
        <f t="shared" si="43"/>
        <v>0.1008</v>
      </c>
      <c r="N121" s="20"/>
    </row>
    <row r="122" spans="1:15">
      <c r="A122" s="26" t="s">
        <v>17</v>
      </c>
      <c r="B122" s="21">
        <f t="shared" ref="B122:M122" si="44">B120*B121</f>
        <v>0</v>
      </c>
      <c r="C122" s="21">
        <f t="shared" si="44"/>
        <v>0</v>
      </c>
      <c r="D122" s="21">
        <f t="shared" si="44"/>
        <v>0</v>
      </c>
      <c r="E122" s="21">
        <f t="shared" si="44"/>
        <v>0</v>
      </c>
      <c r="F122" s="21">
        <f t="shared" si="44"/>
        <v>0</v>
      </c>
      <c r="G122" s="21">
        <f t="shared" si="44"/>
        <v>0</v>
      </c>
      <c r="H122" s="21">
        <f t="shared" si="44"/>
        <v>0</v>
      </c>
      <c r="I122" s="21">
        <f t="shared" si="44"/>
        <v>0</v>
      </c>
      <c r="J122" s="21">
        <f t="shared" si="44"/>
        <v>0</v>
      </c>
      <c r="K122" s="21">
        <f t="shared" si="44"/>
        <v>0</v>
      </c>
      <c r="L122" s="21">
        <f t="shared" si="44"/>
        <v>0</v>
      </c>
      <c r="M122" s="21">
        <f t="shared" si="44"/>
        <v>0</v>
      </c>
      <c r="N122" s="21">
        <f>SUM(B122:M122)</f>
        <v>0</v>
      </c>
    </row>
    <row r="123" spans="1:15" s="20" customFormat="1" ht="10.199999999999999">
      <c r="A123" s="26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5">
      <c r="A124" s="402" t="s">
        <v>117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5">
      <c r="A125" s="27" t="s">
        <v>16</v>
      </c>
      <c r="B125" s="28">
        <f>'TSAS Scheduling Revenue (1)'!B124</f>
        <v>150000</v>
      </c>
      <c r="C125" s="28">
        <f>'TSAS Scheduling Revenue (1)'!C124</f>
        <v>150000</v>
      </c>
      <c r="D125" s="28">
        <f>'TSAS Scheduling Revenue (1)'!D124</f>
        <v>150000</v>
      </c>
      <c r="E125" s="28">
        <f>'TSAS Scheduling Revenue (1)'!E124</f>
        <v>150000</v>
      </c>
      <c r="F125" s="28">
        <f>'TSAS Scheduling Revenue (1)'!F124</f>
        <v>150000</v>
      </c>
      <c r="G125" s="28">
        <f>'TSAS Scheduling Revenue (1)'!G124</f>
        <v>150000</v>
      </c>
      <c r="H125" s="28">
        <f>'TSAS Scheduling Revenue (1)'!H124</f>
        <v>150000</v>
      </c>
      <c r="I125" s="28">
        <f>'TSAS Scheduling Revenue (1)'!I124</f>
        <v>150000</v>
      </c>
      <c r="J125" s="28">
        <f>'TSAS Scheduling Revenue (1)'!J124</f>
        <v>150000</v>
      </c>
      <c r="K125" s="28">
        <f>'TSAS Scheduling Revenue (1)'!K124</f>
        <v>150000</v>
      </c>
      <c r="L125" s="28">
        <f>'TSAS Scheduling Revenue (1)'!L124</f>
        <v>150000</v>
      </c>
      <c r="M125" s="28">
        <f>'TSAS Scheduling Revenue (1)'!M124</f>
        <v>150000</v>
      </c>
      <c r="N125" s="28">
        <f>SUM(B125:M125)</f>
        <v>1800000</v>
      </c>
      <c r="O125" s="372" t="s">
        <v>283</v>
      </c>
    </row>
    <row r="126" spans="1:15">
      <c r="A126" s="26" t="s">
        <v>20</v>
      </c>
      <c r="B126" s="33">
        <f>B121</f>
        <v>0.1008</v>
      </c>
      <c r="C126" s="33">
        <f t="shared" ref="C126:M126" si="45">C121</f>
        <v>0.1008</v>
      </c>
      <c r="D126" s="33">
        <f t="shared" si="45"/>
        <v>0.1008</v>
      </c>
      <c r="E126" s="33">
        <f t="shared" si="45"/>
        <v>0.1008</v>
      </c>
      <c r="F126" s="33">
        <f t="shared" si="45"/>
        <v>0.1008</v>
      </c>
      <c r="G126" s="33">
        <f t="shared" si="45"/>
        <v>0.1008</v>
      </c>
      <c r="H126" s="33">
        <f t="shared" si="45"/>
        <v>0.1008</v>
      </c>
      <c r="I126" s="33">
        <f t="shared" si="45"/>
        <v>0.1008</v>
      </c>
      <c r="J126" s="33">
        <f t="shared" si="45"/>
        <v>0.1008</v>
      </c>
      <c r="K126" s="33">
        <f t="shared" si="45"/>
        <v>0.1008</v>
      </c>
      <c r="L126" s="33">
        <f t="shared" si="45"/>
        <v>0.1008</v>
      </c>
      <c r="M126" s="33">
        <f t="shared" si="45"/>
        <v>0.1008</v>
      </c>
      <c r="N126" s="20"/>
    </row>
    <row r="127" spans="1:15">
      <c r="A127" s="26" t="s">
        <v>17</v>
      </c>
      <c r="B127" s="21">
        <f t="shared" ref="B127:M127" si="46">B125*B126</f>
        <v>15120</v>
      </c>
      <c r="C127" s="21">
        <f t="shared" si="46"/>
        <v>15120</v>
      </c>
      <c r="D127" s="21">
        <f t="shared" si="46"/>
        <v>15120</v>
      </c>
      <c r="E127" s="21">
        <f t="shared" si="46"/>
        <v>15120</v>
      </c>
      <c r="F127" s="21">
        <f t="shared" si="46"/>
        <v>15120</v>
      </c>
      <c r="G127" s="21">
        <f t="shared" si="46"/>
        <v>15120</v>
      </c>
      <c r="H127" s="21">
        <f t="shared" si="46"/>
        <v>15120</v>
      </c>
      <c r="I127" s="21">
        <f t="shared" si="46"/>
        <v>15120</v>
      </c>
      <c r="J127" s="21">
        <f t="shared" si="46"/>
        <v>15120</v>
      </c>
      <c r="K127" s="21">
        <f t="shared" si="46"/>
        <v>15120</v>
      </c>
      <c r="L127" s="21">
        <f t="shared" si="46"/>
        <v>15120</v>
      </c>
      <c r="M127" s="21">
        <f t="shared" si="46"/>
        <v>15120</v>
      </c>
      <c r="N127" s="21">
        <f>SUM(B127:M127)</f>
        <v>181440</v>
      </c>
    </row>
    <row r="128" spans="1:15">
      <c r="A128" s="26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1:15">
      <c r="A129" s="402" t="s">
        <v>239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5">
      <c r="A130" s="27" t="s">
        <v>16</v>
      </c>
      <c r="B130" s="28">
        <f>'TSAS Demand Revenues (7)'!B129</f>
        <v>160000</v>
      </c>
      <c r="C130" s="28">
        <f>'TSAS Demand Revenues (7)'!C129</f>
        <v>160000</v>
      </c>
      <c r="D130" s="28">
        <f>'TSAS Demand Revenues (7)'!D129</f>
        <v>160000</v>
      </c>
      <c r="E130" s="28">
        <f>'TSAS Demand Revenues (7)'!E129</f>
        <v>160000</v>
      </c>
      <c r="F130" s="28">
        <f>'TSAS Demand Revenues (7)'!F129</f>
        <v>160000</v>
      </c>
      <c r="G130" s="28">
        <f>'TSAS Demand Revenues (7)'!G129</f>
        <v>160000</v>
      </c>
      <c r="H130" s="28">
        <f>'TSAS Demand Revenues (7)'!H129</f>
        <v>160000</v>
      </c>
      <c r="I130" s="28">
        <f>'TSAS Demand Revenues (7)'!I129</f>
        <v>160000</v>
      </c>
      <c r="J130" s="28">
        <f>'TSAS Demand Revenues (7)'!J129</f>
        <v>160000</v>
      </c>
      <c r="K130" s="28">
        <f>'TSAS Demand Revenues (7)'!K129</f>
        <v>160000</v>
      </c>
      <c r="L130" s="28">
        <f>'TSAS Demand Revenues (7)'!L129</f>
        <v>160000</v>
      </c>
      <c r="M130" s="28">
        <f>'TSAS Demand Revenues (7)'!M129</f>
        <v>160000</v>
      </c>
      <c r="N130" s="28">
        <f>SUM(B130:M130)</f>
        <v>1920000</v>
      </c>
    </row>
    <row r="131" spans="1:15">
      <c r="A131" s="26" t="s">
        <v>20</v>
      </c>
      <c r="B131" s="272">
        <f>B126</f>
        <v>0.1008</v>
      </c>
      <c r="C131" s="272">
        <f t="shared" ref="C131:M131" si="47">C126</f>
        <v>0.1008</v>
      </c>
      <c r="D131" s="272">
        <f t="shared" si="47"/>
        <v>0.1008</v>
      </c>
      <c r="E131" s="272">
        <f t="shared" si="47"/>
        <v>0.1008</v>
      </c>
      <c r="F131" s="272">
        <f t="shared" si="47"/>
        <v>0.1008</v>
      </c>
      <c r="G131" s="272">
        <f t="shared" si="47"/>
        <v>0.1008</v>
      </c>
      <c r="H131" s="272">
        <f t="shared" si="47"/>
        <v>0.1008</v>
      </c>
      <c r="I131" s="272">
        <f t="shared" si="47"/>
        <v>0.1008</v>
      </c>
      <c r="J131" s="272">
        <f t="shared" si="47"/>
        <v>0.1008</v>
      </c>
      <c r="K131" s="272">
        <f t="shared" si="47"/>
        <v>0.1008</v>
      </c>
      <c r="L131" s="272">
        <f t="shared" si="47"/>
        <v>0.1008</v>
      </c>
      <c r="M131" s="272">
        <f t="shared" si="47"/>
        <v>0.1008</v>
      </c>
      <c r="N131" s="20"/>
    </row>
    <row r="132" spans="1:15">
      <c r="A132" s="26" t="s">
        <v>17</v>
      </c>
      <c r="B132" s="21">
        <f t="shared" ref="B132:M132" si="48">B130*B131</f>
        <v>16128</v>
      </c>
      <c r="C132" s="21">
        <f t="shared" si="48"/>
        <v>16128</v>
      </c>
      <c r="D132" s="21">
        <f t="shared" si="48"/>
        <v>16128</v>
      </c>
      <c r="E132" s="21">
        <f t="shared" si="48"/>
        <v>16128</v>
      </c>
      <c r="F132" s="21">
        <f t="shared" si="48"/>
        <v>16128</v>
      </c>
      <c r="G132" s="21">
        <f t="shared" si="48"/>
        <v>16128</v>
      </c>
      <c r="H132" s="21">
        <f t="shared" si="48"/>
        <v>16128</v>
      </c>
      <c r="I132" s="21">
        <f t="shared" si="48"/>
        <v>16128</v>
      </c>
      <c r="J132" s="21">
        <f t="shared" si="48"/>
        <v>16128</v>
      </c>
      <c r="K132" s="21">
        <f t="shared" si="48"/>
        <v>16128</v>
      </c>
      <c r="L132" s="21">
        <f t="shared" si="48"/>
        <v>16128</v>
      </c>
      <c r="M132" s="21">
        <f t="shared" si="48"/>
        <v>16128</v>
      </c>
      <c r="N132" s="21">
        <f>SUM(B132:M132)</f>
        <v>193536</v>
      </c>
    </row>
    <row r="133" spans="1:15">
      <c r="A133" s="26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5" s="20" customFormat="1" ht="10.199999999999999">
      <c r="A134" s="402" t="s">
        <v>302</v>
      </c>
      <c r="B134" s="21">
        <f>'TSAS Demand Revenues (7)'!B133</f>
        <v>20000</v>
      </c>
      <c r="C134" s="21">
        <f>'TSAS Demand Revenues (7)'!C133</f>
        <v>0</v>
      </c>
      <c r="D134" s="21">
        <f>'TSAS Demand Revenues (7)'!D133</f>
        <v>0</v>
      </c>
      <c r="E134" s="21">
        <f>'TSAS Demand Revenues (7)'!E133</f>
        <v>0</v>
      </c>
      <c r="F134" s="21">
        <f>'TSAS Demand Revenues (7)'!F133</f>
        <v>0</v>
      </c>
      <c r="G134" s="21">
        <f>'TSAS Demand Revenues (7)'!G133</f>
        <v>0</v>
      </c>
      <c r="H134" s="21">
        <f>'TSAS Demand Revenues (7)'!H133</f>
        <v>0</v>
      </c>
      <c r="I134" s="21">
        <f>'TSAS Demand Revenues (7)'!I133</f>
        <v>0</v>
      </c>
      <c r="J134" s="21">
        <f>'TSAS Demand Revenues (7)'!J133</f>
        <v>0</v>
      </c>
      <c r="K134" s="21">
        <f>'TSAS Demand Revenues (7)'!K133</f>
        <v>0</v>
      </c>
      <c r="L134" s="21">
        <f>'TSAS Demand Revenues (7)'!L133</f>
        <v>0</v>
      </c>
      <c r="M134" s="21">
        <f>'TSAS Demand Revenues (7)'!M133</f>
        <v>0</v>
      </c>
      <c r="N134" s="28">
        <f>SUM(B134:M134)</f>
        <v>20000</v>
      </c>
    </row>
    <row r="135" spans="1:15" s="20" customFormat="1" ht="10.199999999999999">
      <c r="A135" s="26" t="s">
        <v>20</v>
      </c>
      <c r="B135" s="272">
        <f>B131</f>
        <v>0.1008</v>
      </c>
      <c r="C135" s="272">
        <f t="shared" ref="C135:M135" si="49">C131</f>
        <v>0.1008</v>
      </c>
      <c r="D135" s="272">
        <f t="shared" si="49"/>
        <v>0.1008</v>
      </c>
      <c r="E135" s="272">
        <f t="shared" si="49"/>
        <v>0.1008</v>
      </c>
      <c r="F135" s="272">
        <f t="shared" si="49"/>
        <v>0.1008</v>
      </c>
      <c r="G135" s="272">
        <f t="shared" si="49"/>
        <v>0.1008</v>
      </c>
      <c r="H135" s="272">
        <f t="shared" si="49"/>
        <v>0.1008</v>
      </c>
      <c r="I135" s="272">
        <f t="shared" si="49"/>
        <v>0.1008</v>
      </c>
      <c r="J135" s="272">
        <f t="shared" si="49"/>
        <v>0.1008</v>
      </c>
      <c r="K135" s="272">
        <f t="shared" si="49"/>
        <v>0.1008</v>
      </c>
      <c r="L135" s="272">
        <f t="shared" si="49"/>
        <v>0.1008</v>
      </c>
      <c r="M135" s="272">
        <f t="shared" si="49"/>
        <v>0.1008</v>
      </c>
    </row>
    <row r="136" spans="1:15" s="20" customFormat="1" ht="10.199999999999999">
      <c r="A136" s="26" t="s">
        <v>17</v>
      </c>
      <c r="B136" s="21">
        <f t="shared" ref="B136:M136" si="50">B134*B135</f>
        <v>2016</v>
      </c>
      <c r="C136" s="21">
        <f t="shared" si="50"/>
        <v>0</v>
      </c>
      <c r="D136" s="21">
        <f t="shared" si="50"/>
        <v>0</v>
      </c>
      <c r="E136" s="21">
        <f t="shared" si="50"/>
        <v>0</v>
      </c>
      <c r="F136" s="21">
        <f t="shared" si="50"/>
        <v>0</v>
      </c>
      <c r="G136" s="21">
        <f t="shared" si="50"/>
        <v>0</v>
      </c>
      <c r="H136" s="21">
        <f t="shared" si="50"/>
        <v>0</v>
      </c>
      <c r="I136" s="21">
        <f t="shared" si="50"/>
        <v>0</v>
      </c>
      <c r="J136" s="21">
        <f t="shared" si="50"/>
        <v>0</v>
      </c>
      <c r="K136" s="21">
        <f t="shared" si="50"/>
        <v>0</v>
      </c>
      <c r="L136" s="21">
        <f t="shared" si="50"/>
        <v>0</v>
      </c>
      <c r="M136" s="21">
        <f t="shared" si="50"/>
        <v>0</v>
      </c>
      <c r="N136" s="21">
        <f>SUM(B136:M136)</f>
        <v>2016</v>
      </c>
    </row>
    <row r="137" spans="1:15">
      <c r="A137" s="26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5" s="20" customFormat="1" ht="10.199999999999999">
      <c r="A138" s="145" t="s">
        <v>25</v>
      </c>
      <c r="B138" s="144">
        <f>B77+B82+B87+B92+B97+B102+B107+B112+B117+B122+B127+B132+B136</f>
        <v>49969.919999999998</v>
      </c>
      <c r="C138" s="144">
        <f t="shared" ref="C138:M138" si="51">C77+C82+C87+C92+C97+C102+C107+C112+C117+C122+C127+C132+C136</f>
        <v>45030.720000000001</v>
      </c>
      <c r="D138" s="144">
        <f t="shared" si="51"/>
        <v>45030.720000000001</v>
      </c>
      <c r="E138" s="144">
        <f t="shared" si="51"/>
        <v>45030.720000000001</v>
      </c>
      <c r="F138" s="144">
        <f t="shared" si="51"/>
        <v>45030.720000000001</v>
      </c>
      <c r="G138" s="144">
        <f t="shared" si="51"/>
        <v>45030.720000000001</v>
      </c>
      <c r="H138" s="144">
        <f t="shared" si="51"/>
        <v>45030.720000000001</v>
      </c>
      <c r="I138" s="144">
        <f t="shared" si="51"/>
        <v>45030.720000000001</v>
      </c>
      <c r="J138" s="144">
        <f t="shared" si="51"/>
        <v>45030.720000000001</v>
      </c>
      <c r="K138" s="144">
        <f t="shared" si="51"/>
        <v>45030.720000000001</v>
      </c>
      <c r="L138" s="144">
        <f t="shared" si="51"/>
        <v>45030.720000000001</v>
      </c>
      <c r="M138" s="144">
        <f t="shared" si="51"/>
        <v>45030.720000000001</v>
      </c>
      <c r="N138" s="144">
        <f>SUM(B138:M138)</f>
        <v>545307.83999999985</v>
      </c>
    </row>
    <row r="139" spans="1:15" s="20" customFormat="1" ht="10.199999999999999">
      <c r="A139" s="145" t="str">
        <f>A68</f>
        <v>Total Monthly Demand</v>
      </c>
      <c r="B139" s="144">
        <f>B75+B80+B85+B90+B95+B105+B100+B110+B115+B120+B125+B130+B134</f>
        <v>507056</v>
      </c>
      <c r="C139" s="144">
        <f t="shared" ref="C139:M139" si="52">C75+C80+C85+C90+C95+C105+C100+C110+C115+C120+C125+C130+C134</f>
        <v>458056</v>
      </c>
      <c r="D139" s="144">
        <f t="shared" si="52"/>
        <v>458056</v>
      </c>
      <c r="E139" s="144">
        <f t="shared" si="52"/>
        <v>458056</v>
      </c>
      <c r="F139" s="144">
        <f t="shared" si="52"/>
        <v>458056</v>
      </c>
      <c r="G139" s="144">
        <f t="shared" si="52"/>
        <v>458056</v>
      </c>
      <c r="H139" s="144">
        <f t="shared" si="52"/>
        <v>458056</v>
      </c>
      <c r="I139" s="144">
        <f t="shared" si="52"/>
        <v>458056</v>
      </c>
      <c r="J139" s="144">
        <f t="shared" si="52"/>
        <v>458056</v>
      </c>
      <c r="K139" s="144">
        <f t="shared" si="52"/>
        <v>458056</v>
      </c>
      <c r="L139" s="144">
        <f t="shared" si="52"/>
        <v>458056</v>
      </c>
      <c r="M139" s="144">
        <f t="shared" si="52"/>
        <v>458056</v>
      </c>
      <c r="N139" s="144">
        <f>SUM(B139:M139)</f>
        <v>5545672</v>
      </c>
    </row>
    <row r="140" spans="1:15" s="20" customFormat="1" ht="10.199999999999999">
      <c r="A140" s="25">
        <f>+A70+1</f>
        <v>2016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1:15" s="20" customFormat="1" ht="13.2">
      <c r="A141" s="23" t="s">
        <v>19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5" s="20" customFormat="1" ht="10.199999999999999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</row>
    <row r="143" spans="1:15" s="20" customFormat="1" ht="10.199999999999999">
      <c r="A143" s="402" t="s">
        <v>359</v>
      </c>
    </row>
    <row r="144" spans="1:15" s="29" customFormat="1">
      <c r="A144" s="27" t="s">
        <v>16</v>
      </c>
      <c r="B144" s="28">
        <f>'TSAS Scheduling Revenue (1)'!B148</f>
        <v>5000</v>
      </c>
      <c r="C144" s="28">
        <f>'TSAS Scheduling Revenue (1)'!C148</f>
        <v>5000</v>
      </c>
      <c r="D144" s="28">
        <f>'TSAS Scheduling Revenue (1)'!D148</f>
        <v>5000</v>
      </c>
      <c r="E144" s="28">
        <f>'TSAS Scheduling Revenue (1)'!E148</f>
        <v>5000</v>
      </c>
      <c r="F144" s="28">
        <f>'TSAS Scheduling Revenue (1)'!F148</f>
        <v>5000</v>
      </c>
      <c r="G144" s="28">
        <f>'TSAS Scheduling Revenue (1)'!G148</f>
        <v>5000</v>
      </c>
      <c r="H144" s="28">
        <f>'TSAS Scheduling Revenue (1)'!H148</f>
        <v>5000</v>
      </c>
      <c r="I144" s="28">
        <f>'TSAS Scheduling Revenue (1)'!I148</f>
        <v>5000</v>
      </c>
      <c r="J144" s="28">
        <f>'TSAS Scheduling Revenue (1)'!J148</f>
        <v>5000</v>
      </c>
      <c r="K144" s="28">
        <f>'TSAS Scheduling Revenue (1)'!K148</f>
        <v>5000</v>
      </c>
      <c r="L144" s="28">
        <f>'TSAS Scheduling Revenue (1)'!L148</f>
        <v>5000</v>
      </c>
      <c r="M144" s="28">
        <f>'TSAS Scheduling Revenue (1)'!M148</f>
        <v>5000</v>
      </c>
      <c r="N144" s="28">
        <f>SUM(B144:M144)</f>
        <v>60000</v>
      </c>
      <c r="O144" s="22"/>
    </row>
    <row r="145" spans="1:15" s="20" customFormat="1">
      <c r="A145" s="26" t="s">
        <v>20</v>
      </c>
      <c r="B145" s="32">
        <f>'charges (1 &amp; 2)'!E20</f>
        <v>0.1008</v>
      </c>
      <c r="C145" s="32">
        <f t="shared" ref="C145:M145" si="53">+$B$14</f>
        <v>0.1008</v>
      </c>
      <c r="D145" s="32">
        <f t="shared" si="53"/>
        <v>0.1008</v>
      </c>
      <c r="E145" s="32">
        <f t="shared" si="53"/>
        <v>0.1008</v>
      </c>
      <c r="F145" s="32">
        <f t="shared" si="53"/>
        <v>0.1008</v>
      </c>
      <c r="G145" s="32">
        <f t="shared" si="53"/>
        <v>0.1008</v>
      </c>
      <c r="H145" s="32">
        <f t="shared" si="53"/>
        <v>0.1008</v>
      </c>
      <c r="I145" s="32">
        <f t="shared" si="53"/>
        <v>0.1008</v>
      </c>
      <c r="J145" s="32">
        <f t="shared" si="53"/>
        <v>0.1008</v>
      </c>
      <c r="K145" s="32">
        <f t="shared" si="53"/>
        <v>0.1008</v>
      </c>
      <c r="L145" s="32">
        <f t="shared" si="53"/>
        <v>0.1008</v>
      </c>
      <c r="M145" s="32">
        <f t="shared" si="53"/>
        <v>0.1008</v>
      </c>
      <c r="O145" s="22"/>
    </row>
    <row r="146" spans="1:15" s="20" customFormat="1">
      <c r="A146" s="26" t="s">
        <v>17</v>
      </c>
      <c r="B146" s="21">
        <f t="shared" ref="B146:M146" si="54">B144*B145</f>
        <v>504</v>
      </c>
      <c r="C146" s="21">
        <f t="shared" si="54"/>
        <v>504</v>
      </c>
      <c r="D146" s="21">
        <f t="shared" si="54"/>
        <v>504</v>
      </c>
      <c r="E146" s="21">
        <f t="shared" si="54"/>
        <v>504</v>
      </c>
      <c r="F146" s="21">
        <f t="shared" si="54"/>
        <v>504</v>
      </c>
      <c r="G146" s="21">
        <f t="shared" si="54"/>
        <v>504</v>
      </c>
      <c r="H146" s="21">
        <f t="shared" si="54"/>
        <v>504</v>
      </c>
      <c r="I146" s="21">
        <f t="shared" si="54"/>
        <v>504</v>
      </c>
      <c r="J146" s="21">
        <f t="shared" si="54"/>
        <v>504</v>
      </c>
      <c r="K146" s="21">
        <f t="shared" si="54"/>
        <v>504</v>
      </c>
      <c r="L146" s="21">
        <f t="shared" si="54"/>
        <v>504</v>
      </c>
      <c r="M146" s="21">
        <f t="shared" si="54"/>
        <v>504</v>
      </c>
      <c r="N146" s="21">
        <f>SUM(B146:M146)</f>
        <v>6048</v>
      </c>
      <c r="O146" s="22"/>
    </row>
    <row r="147" spans="1:15" s="20" customFormat="1">
      <c r="O147" s="22"/>
    </row>
    <row r="148" spans="1:15" s="20" customFormat="1">
      <c r="A148" s="26" t="s">
        <v>21</v>
      </c>
      <c r="O148" s="22"/>
    </row>
    <row r="149" spans="1:15" s="29" customFormat="1">
      <c r="A149" s="27" t="s">
        <v>16</v>
      </c>
      <c r="B149" s="28">
        <f>'TSAS Scheduling Revenue (1)'!B153</f>
        <v>0</v>
      </c>
      <c r="C149" s="28">
        <f>'TSAS Scheduling Revenue (1)'!C153</f>
        <v>0</v>
      </c>
      <c r="D149" s="28">
        <f>'TSAS Scheduling Revenue (1)'!D153</f>
        <v>0</v>
      </c>
      <c r="E149" s="28">
        <f>'TSAS Scheduling Revenue (1)'!E153</f>
        <v>0</v>
      </c>
      <c r="F149" s="28">
        <f>'TSAS Scheduling Revenue (1)'!F153</f>
        <v>0</v>
      </c>
      <c r="G149" s="28">
        <f>'TSAS Scheduling Revenue (1)'!G153</f>
        <v>0</v>
      </c>
      <c r="H149" s="28">
        <f>'TSAS Scheduling Revenue (1)'!H153</f>
        <v>0</v>
      </c>
      <c r="I149" s="28">
        <f>'TSAS Scheduling Revenue (1)'!I153</f>
        <v>0</v>
      </c>
      <c r="J149" s="28">
        <f>'TSAS Scheduling Revenue (1)'!J153</f>
        <v>0</v>
      </c>
      <c r="K149" s="28">
        <f>'TSAS Scheduling Revenue (1)'!K153</f>
        <v>0</v>
      </c>
      <c r="L149" s="28">
        <f>'TSAS Scheduling Revenue (1)'!L153</f>
        <v>0</v>
      </c>
      <c r="M149" s="28">
        <f>'TSAS Scheduling Revenue (1)'!M153</f>
        <v>0</v>
      </c>
      <c r="N149" s="28">
        <f>SUM(B149:M149)</f>
        <v>0</v>
      </c>
      <c r="O149" s="22"/>
    </row>
    <row r="150" spans="1:15" s="20" customFormat="1">
      <c r="A150" s="26" t="s">
        <v>20</v>
      </c>
      <c r="B150" s="32">
        <f>'charges (1 &amp; 2)'!E11</f>
        <v>0.1008</v>
      </c>
      <c r="C150" s="32">
        <f t="shared" ref="C150:M150" si="55">+$B$19</f>
        <v>0.1008</v>
      </c>
      <c r="D150" s="32">
        <f t="shared" si="55"/>
        <v>0.1008</v>
      </c>
      <c r="E150" s="32">
        <f t="shared" si="55"/>
        <v>0.1008</v>
      </c>
      <c r="F150" s="32">
        <f t="shared" si="55"/>
        <v>0.1008</v>
      </c>
      <c r="G150" s="32">
        <f t="shared" si="55"/>
        <v>0.1008</v>
      </c>
      <c r="H150" s="32">
        <f t="shared" si="55"/>
        <v>0.1008</v>
      </c>
      <c r="I150" s="32">
        <f t="shared" si="55"/>
        <v>0.1008</v>
      </c>
      <c r="J150" s="32">
        <f t="shared" si="55"/>
        <v>0.1008</v>
      </c>
      <c r="K150" s="32">
        <f t="shared" si="55"/>
        <v>0.1008</v>
      </c>
      <c r="L150" s="32">
        <f t="shared" si="55"/>
        <v>0.1008</v>
      </c>
      <c r="M150" s="32">
        <f t="shared" si="55"/>
        <v>0.1008</v>
      </c>
      <c r="O150" s="22"/>
    </row>
    <row r="151" spans="1:15" s="20" customFormat="1">
      <c r="A151" s="26" t="s">
        <v>17</v>
      </c>
      <c r="B151" s="21">
        <f t="shared" ref="B151:M151" si="56">B149*B150</f>
        <v>0</v>
      </c>
      <c r="C151" s="21">
        <f t="shared" si="56"/>
        <v>0</v>
      </c>
      <c r="D151" s="21">
        <f t="shared" si="56"/>
        <v>0</v>
      </c>
      <c r="E151" s="21">
        <f t="shared" si="56"/>
        <v>0</v>
      </c>
      <c r="F151" s="21">
        <f t="shared" si="56"/>
        <v>0</v>
      </c>
      <c r="G151" s="21">
        <f t="shared" si="56"/>
        <v>0</v>
      </c>
      <c r="H151" s="21">
        <f t="shared" si="56"/>
        <v>0</v>
      </c>
      <c r="I151" s="21">
        <f t="shared" si="56"/>
        <v>0</v>
      </c>
      <c r="J151" s="21">
        <f t="shared" si="56"/>
        <v>0</v>
      </c>
      <c r="K151" s="21">
        <f t="shared" si="56"/>
        <v>0</v>
      </c>
      <c r="L151" s="21">
        <f t="shared" si="56"/>
        <v>0</v>
      </c>
      <c r="M151" s="21">
        <f t="shared" si="56"/>
        <v>0</v>
      </c>
      <c r="N151" s="21">
        <f>SUM(B151:M151)</f>
        <v>0</v>
      </c>
      <c r="O151" s="22"/>
    </row>
    <row r="152" spans="1:15" s="20" customFormat="1">
      <c r="B152" s="21"/>
      <c r="O152" s="22"/>
    </row>
    <row r="153" spans="1:15" s="20" customFormat="1">
      <c r="A153" s="26" t="s">
        <v>22</v>
      </c>
      <c r="O153" s="22"/>
    </row>
    <row r="154" spans="1:15" s="29" customFormat="1">
      <c r="A154" s="27" t="s">
        <v>16</v>
      </c>
      <c r="B154" s="28">
        <f>'TSAS Scheduling Revenue (1)'!B158</f>
        <v>0</v>
      </c>
      <c r="C154" s="28">
        <f>'TSAS Scheduling Revenue (1)'!C158</f>
        <v>0</v>
      </c>
      <c r="D154" s="28">
        <f>'TSAS Scheduling Revenue (1)'!D158</f>
        <v>0</v>
      </c>
      <c r="E154" s="28">
        <f>'TSAS Scheduling Revenue (1)'!E158</f>
        <v>0</v>
      </c>
      <c r="F154" s="28">
        <f>'TSAS Scheduling Revenue (1)'!F158</f>
        <v>0</v>
      </c>
      <c r="G154" s="28">
        <f>'TSAS Scheduling Revenue (1)'!G158</f>
        <v>0</v>
      </c>
      <c r="H154" s="28">
        <f>'TSAS Scheduling Revenue (1)'!H158</f>
        <v>0</v>
      </c>
      <c r="I154" s="28">
        <f>'TSAS Scheduling Revenue (1)'!I158</f>
        <v>0</v>
      </c>
      <c r="J154" s="28">
        <f>'TSAS Scheduling Revenue (1)'!J158</f>
        <v>0</v>
      </c>
      <c r="K154" s="28">
        <f>'TSAS Scheduling Revenue (1)'!K158</f>
        <v>0</v>
      </c>
      <c r="L154" s="28">
        <f>'TSAS Scheduling Revenue (1)'!L158</f>
        <v>0</v>
      </c>
      <c r="M154" s="28">
        <f>'TSAS Scheduling Revenue (1)'!M158</f>
        <v>0</v>
      </c>
      <c r="N154" s="28">
        <f>SUM(B154:M154)</f>
        <v>0</v>
      </c>
      <c r="O154" s="22"/>
    </row>
    <row r="155" spans="1:15" s="20" customFormat="1">
      <c r="A155" s="26" t="s">
        <v>20</v>
      </c>
      <c r="B155" s="33">
        <f>'charges (1 &amp; 2)'!E23</f>
        <v>0.1008</v>
      </c>
      <c r="C155" s="33">
        <f t="shared" ref="C155:M155" si="57">+$B$24</f>
        <v>0.1008</v>
      </c>
      <c r="D155" s="33">
        <f t="shared" si="57"/>
        <v>0.1008</v>
      </c>
      <c r="E155" s="33">
        <f t="shared" si="57"/>
        <v>0.1008</v>
      </c>
      <c r="F155" s="33">
        <f t="shared" si="57"/>
        <v>0.1008</v>
      </c>
      <c r="G155" s="33">
        <f t="shared" si="57"/>
        <v>0.1008</v>
      </c>
      <c r="H155" s="33">
        <f t="shared" si="57"/>
        <v>0.1008</v>
      </c>
      <c r="I155" s="33">
        <f t="shared" si="57"/>
        <v>0.1008</v>
      </c>
      <c r="J155" s="33">
        <f t="shared" si="57"/>
        <v>0.1008</v>
      </c>
      <c r="K155" s="33">
        <f t="shared" si="57"/>
        <v>0.1008</v>
      </c>
      <c r="L155" s="33">
        <f t="shared" si="57"/>
        <v>0.1008</v>
      </c>
      <c r="M155" s="33">
        <f t="shared" si="57"/>
        <v>0.1008</v>
      </c>
      <c r="O155" s="22"/>
    </row>
    <row r="156" spans="1:15" s="20" customFormat="1">
      <c r="A156" s="26" t="s">
        <v>17</v>
      </c>
      <c r="B156" s="21">
        <f t="shared" ref="B156:M156" si="58">B154*B155</f>
        <v>0</v>
      </c>
      <c r="C156" s="21">
        <f t="shared" si="58"/>
        <v>0</v>
      </c>
      <c r="D156" s="21">
        <f t="shared" si="58"/>
        <v>0</v>
      </c>
      <c r="E156" s="21">
        <f t="shared" si="58"/>
        <v>0</v>
      </c>
      <c r="F156" s="21">
        <f t="shared" si="58"/>
        <v>0</v>
      </c>
      <c r="G156" s="21">
        <f t="shared" si="58"/>
        <v>0</v>
      </c>
      <c r="H156" s="21">
        <f t="shared" si="58"/>
        <v>0</v>
      </c>
      <c r="I156" s="21">
        <f t="shared" si="58"/>
        <v>0</v>
      </c>
      <c r="J156" s="21">
        <f t="shared" si="58"/>
        <v>0</v>
      </c>
      <c r="K156" s="21">
        <f t="shared" si="58"/>
        <v>0</v>
      </c>
      <c r="L156" s="21">
        <f t="shared" si="58"/>
        <v>0</v>
      </c>
      <c r="M156" s="21">
        <f t="shared" si="58"/>
        <v>0</v>
      </c>
      <c r="N156" s="21">
        <f>SUM(B156:M156)</f>
        <v>0</v>
      </c>
      <c r="O156" s="22"/>
    </row>
    <row r="157" spans="1:15" s="20" customFormat="1">
      <c r="B157" s="21"/>
      <c r="O157" s="22"/>
    </row>
    <row r="158" spans="1:15" s="20" customFormat="1" ht="10.199999999999999">
      <c r="A158" s="402" t="s">
        <v>23</v>
      </c>
      <c r="O158" s="29"/>
    </row>
    <row r="159" spans="1:15" s="29" customFormat="1" ht="10.199999999999999">
      <c r="A159" s="27" t="s">
        <v>16</v>
      </c>
      <c r="B159" s="28">
        <f>'TSAS Scheduling Revenue (1)'!B163</f>
        <v>37056</v>
      </c>
      <c r="C159" s="28">
        <f>'TSAS Scheduling Revenue (1)'!C163</f>
        <v>37056</v>
      </c>
      <c r="D159" s="28">
        <f>'TSAS Scheduling Revenue (1)'!D163</f>
        <v>37056</v>
      </c>
      <c r="E159" s="28">
        <f>'TSAS Scheduling Revenue (1)'!E163</f>
        <v>37056</v>
      </c>
      <c r="F159" s="28">
        <f>'TSAS Scheduling Revenue (1)'!F163</f>
        <v>37056</v>
      </c>
      <c r="G159" s="28">
        <f>'TSAS Scheduling Revenue (1)'!G163</f>
        <v>37056</v>
      </c>
      <c r="H159" s="28">
        <f>'TSAS Scheduling Revenue (1)'!H163</f>
        <v>37056</v>
      </c>
      <c r="I159" s="28">
        <f>'TSAS Scheduling Revenue (1)'!I163</f>
        <v>37056</v>
      </c>
      <c r="J159" s="28">
        <f>'TSAS Scheduling Revenue (1)'!J163</f>
        <v>37056</v>
      </c>
      <c r="K159" s="28">
        <f>'TSAS Scheduling Revenue (1)'!K163</f>
        <v>37056</v>
      </c>
      <c r="L159" s="28">
        <f>'TSAS Scheduling Revenue (1)'!L163</f>
        <v>37056</v>
      </c>
      <c r="M159" s="28">
        <f>'TSAS Scheduling Revenue (1)'!M163</f>
        <v>37056</v>
      </c>
      <c r="N159" s="28">
        <f>SUM(B159:M159)</f>
        <v>444672</v>
      </c>
    </row>
    <row r="160" spans="1:15" s="20" customFormat="1" ht="10.199999999999999">
      <c r="A160" s="26" t="s">
        <v>20</v>
      </c>
      <c r="B160" s="33">
        <f>'charges (1 &amp; 2)'!E14</f>
        <v>7.0000000000000007E-2</v>
      </c>
      <c r="C160" s="33">
        <f t="shared" ref="C160:M160" si="59">+$B$29</f>
        <v>7.0000000000000007E-2</v>
      </c>
      <c r="D160" s="33">
        <f t="shared" si="59"/>
        <v>7.0000000000000007E-2</v>
      </c>
      <c r="E160" s="33">
        <f t="shared" si="59"/>
        <v>7.0000000000000007E-2</v>
      </c>
      <c r="F160" s="33">
        <f t="shared" si="59"/>
        <v>7.0000000000000007E-2</v>
      </c>
      <c r="G160" s="33">
        <f t="shared" si="59"/>
        <v>7.0000000000000007E-2</v>
      </c>
      <c r="H160" s="33">
        <f t="shared" si="59"/>
        <v>7.0000000000000007E-2</v>
      </c>
      <c r="I160" s="33">
        <f t="shared" si="59"/>
        <v>7.0000000000000007E-2</v>
      </c>
      <c r="J160" s="33">
        <f t="shared" si="59"/>
        <v>7.0000000000000007E-2</v>
      </c>
      <c r="K160" s="33">
        <f t="shared" si="59"/>
        <v>7.0000000000000007E-2</v>
      </c>
      <c r="L160" s="33">
        <f t="shared" si="59"/>
        <v>7.0000000000000007E-2</v>
      </c>
      <c r="M160" s="33">
        <f t="shared" si="59"/>
        <v>7.0000000000000007E-2</v>
      </c>
    </row>
    <row r="161" spans="1:14" s="20" customFormat="1" ht="10.199999999999999">
      <c r="A161" s="26" t="s">
        <v>17</v>
      </c>
      <c r="B161" s="21">
        <f t="shared" ref="B161:M161" si="60">B159*B160</f>
        <v>2593.92</v>
      </c>
      <c r="C161" s="21">
        <f t="shared" si="60"/>
        <v>2593.92</v>
      </c>
      <c r="D161" s="21">
        <f t="shared" si="60"/>
        <v>2593.92</v>
      </c>
      <c r="E161" s="21">
        <f t="shared" si="60"/>
        <v>2593.92</v>
      </c>
      <c r="F161" s="21">
        <f t="shared" si="60"/>
        <v>2593.92</v>
      </c>
      <c r="G161" s="21">
        <f t="shared" si="60"/>
        <v>2593.92</v>
      </c>
      <c r="H161" s="21">
        <f t="shared" si="60"/>
        <v>2593.92</v>
      </c>
      <c r="I161" s="21">
        <f t="shared" si="60"/>
        <v>2593.92</v>
      </c>
      <c r="J161" s="21">
        <f t="shared" si="60"/>
        <v>2593.92</v>
      </c>
      <c r="K161" s="21">
        <f t="shared" si="60"/>
        <v>2593.92</v>
      </c>
      <c r="L161" s="21">
        <f t="shared" si="60"/>
        <v>2593.92</v>
      </c>
      <c r="M161" s="21">
        <f t="shared" si="60"/>
        <v>2593.92</v>
      </c>
      <c r="N161" s="21">
        <f>SUM(B161:M161)</f>
        <v>31127.039999999994</v>
      </c>
    </row>
    <row r="162" spans="1:14" s="20" customFormat="1" ht="10.199999999999999">
      <c r="B162" s="21"/>
    </row>
    <row r="163" spans="1:14" s="20" customFormat="1" ht="10.199999999999999">
      <c r="A163" s="402" t="s">
        <v>24</v>
      </c>
    </row>
    <row r="164" spans="1:14" s="29" customFormat="1" ht="10.199999999999999">
      <c r="A164" s="27" t="s">
        <v>16</v>
      </c>
      <c r="B164" s="28">
        <f>'TSAS Scheduling Revenue (1)'!B168</f>
        <v>62000</v>
      </c>
      <c r="C164" s="28">
        <f>'TSAS Scheduling Revenue (1)'!C168</f>
        <v>62000</v>
      </c>
      <c r="D164" s="28">
        <f>'TSAS Scheduling Revenue (1)'!D168</f>
        <v>62000</v>
      </c>
      <c r="E164" s="28">
        <f>'TSAS Scheduling Revenue (1)'!E168</f>
        <v>62000</v>
      </c>
      <c r="F164" s="28">
        <f>'TSAS Scheduling Revenue (1)'!F168</f>
        <v>62000</v>
      </c>
      <c r="G164" s="28">
        <f>'TSAS Scheduling Revenue (1)'!G168</f>
        <v>62000</v>
      </c>
      <c r="H164" s="28">
        <f>'TSAS Scheduling Revenue (1)'!H168</f>
        <v>62000</v>
      </c>
      <c r="I164" s="28">
        <f>'TSAS Scheduling Revenue (1)'!I168</f>
        <v>62000</v>
      </c>
      <c r="J164" s="28">
        <f>'TSAS Scheduling Revenue (1)'!J168</f>
        <v>62000</v>
      </c>
      <c r="K164" s="28">
        <f>'TSAS Scheduling Revenue (1)'!K168</f>
        <v>62000</v>
      </c>
      <c r="L164" s="28">
        <f>'TSAS Scheduling Revenue (1)'!L168</f>
        <v>62000</v>
      </c>
      <c r="M164" s="28">
        <f>'TSAS Scheduling Revenue (1)'!M168</f>
        <v>62000</v>
      </c>
      <c r="N164" s="28">
        <f>SUM(B164:M164)</f>
        <v>744000</v>
      </c>
    </row>
    <row r="165" spans="1:14" s="20" customFormat="1" ht="10.199999999999999">
      <c r="A165" s="26" t="s">
        <v>20</v>
      </c>
      <c r="B165" s="33">
        <f>'charges (1 &amp; 2)'!E17</f>
        <v>0.1008</v>
      </c>
      <c r="C165" s="33">
        <f t="shared" ref="C165:M165" si="61">+$B$34</f>
        <v>0.1008</v>
      </c>
      <c r="D165" s="33">
        <f t="shared" si="61"/>
        <v>0.1008</v>
      </c>
      <c r="E165" s="33">
        <f t="shared" si="61"/>
        <v>0.1008</v>
      </c>
      <c r="F165" s="33">
        <f t="shared" si="61"/>
        <v>0.1008</v>
      </c>
      <c r="G165" s="33">
        <f t="shared" si="61"/>
        <v>0.1008</v>
      </c>
      <c r="H165" s="33">
        <f t="shared" si="61"/>
        <v>0.1008</v>
      </c>
      <c r="I165" s="33">
        <f t="shared" si="61"/>
        <v>0.1008</v>
      </c>
      <c r="J165" s="33">
        <f t="shared" si="61"/>
        <v>0.1008</v>
      </c>
      <c r="K165" s="33">
        <f t="shared" si="61"/>
        <v>0.1008</v>
      </c>
      <c r="L165" s="33">
        <f t="shared" si="61"/>
        <v>0.1008</v>
      </c>
      <c r="M165" s="33">
        <f t="shared" si="61"/>
        <v>0.1008</v>
      </c>
    </row>
    <row r="166" spans="1:14" s="20" customFormat="1" ht="10.199999999999999">
      <c r="A166" s="26" t="s">
        <v>17</v>
      </c>
      <c r="B166" s="21">
        <f t="shared" ref="B166:M166" si="62">B164*B165</f>
        <v>6249.6</v>
      </c>
      <c r="C166" s="21">
        <f t="shared" si="62"/>
        <v>6249.6</v>
      </c>
      <c r="D166" s="21">
        <f t="shared" si="62"/>
        <v>6249.6</v>
      </c>
      <c r="E166" s="21">
        <f t="shared" si="62"/>
        <v>6249.6</v>
      </c>
      <c r="F166" s="21">
        <f t="shared" si="62"/>
        <v>6249.6</v>
      </c>
      <c r="G166" s="21">
        <f t="shared" si="62"/>
        <v>6249.6</v>
      </c>
      <c r="H166" s="21">
        <f t="shared" si="62"/>
        <v>6249.6</v>
      </c>
      <c r="I166" s="21">
        <f t="shared" si="62"/>
        <v>6249.6</v>
      </c>
      <c r="J166" s="21">
        <f t="shared" si="62"/>
        <v>6249.6</v>
      </c>
      <c r="K166" s="21">
        <f t="shared" si="62"/>
        <v>6249.6</v>
      </c>
      <c r="L166" s="21">
        <f t="shared" si="62"/>
        <v>6249.6</v>
      </c>
      <c r="M166" s="21">
        <f t="shared" si="62"/>
        <v>6249.6</v>
      </c>
      <c r="N166" s="21">
        <f>SUM(B166:M166)</f>
        <v>74995.199999999997</v>
      </c>
    </row>
    <row r="167" spans="1:14" s="20" customFormat="1" ht="10.199999999999999">
      <c r="A167" s="26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</row>
    <row r="168" spans="1:14" s="20" customFormat="1" ht="10.199999999999999">
      <c r="A168" s="402" t="s">
        <v>116</v>
      </c>
    </row>
    <row r="169" spans="1:14" s="20" customFormat="1" ht="10.199999999999999">
      <c r="A169" s="27" t="s">
        <v>16</v>
      </c>
      <c r="B169" s="28">
        <f>'TSAS Scheduling Revenue (1)'!B173</f>
        <v>40000</v>
      </c>
      <c r="C169" s="28">
        <f>'TSAS Scheduling Revenue (1)'!C173</f>
        <v>40000</v>
      </c>
      <c r="D169" s="28">
        <f>'TSAS Scheduling Revenue (1)'!D173</f>
        <v>40000</v>
      </c>
      <c r="E169" s="28">
        <f>'TSAS Scheduling Revenue (1)'!E173</f>
        <v>40000</v>
      </c>
      <c r="F169" s="28">
        <f>'TSAS Scheduling Revenue (1)'!F173</f>
        <v>40000</v>
      </c>
      <c r="G169" s="28">
        <f>'TSAS Scheduling Revenue (1)'!G173</f>
        <v>40000</v>
      </c>
      <c r="H169" s="28">
        <f>'TSAS Scheduling Revenue (1)'!H173</f>
        <v>40000</v>
      </c>
      <c r="I169" s="28">
        <f>'TSAS Scheduling Revenue (1)'!I173</f>
        <v>40000</v>
      </c>
      <c r="J169" s="28">
        <f>'TSAS Scheduling Revenue (1)'!J173</f>
        <v>40000</v>
      </c>
      <c r="K169" s="28">
        <f>'TSAS Scheduling Revenue (1)'!K173</f>
        <v>40000</v>
      </c>
      <c r="L169" s="28">
        <f>'TSAS Scheduling Revenue (1)'!L173</f>
        <v>40000</v>
      </c>
      <c r="M169" s="28">
        <f>'TSAS Scheduling Revenue (1)'!M173</f>
        <v>40000</v>
      </c>
      <c r="N169" s="28">
        <f>SUM(B169:M169)</f>
        <v>480000</v>
      </c>
    </row>
    <row r="170" spans="1:14" s="20" customFormat="1" ht="10.199999999999999">
      <c r="A170" s="26" t="s">
        <v>20</v>
      </c>
      <c r="B170" s="33">
        <f t="shared" ref="B170:M170" si="63">+$B$34</f>
        <v>0.1008</v>
      </c>
      <c r="C170" s="33">
        <f t="shared" si="63"/>
        <v>0.1008</v>
      </c>
      <c r="D170" s="33">
        <f t="shared" si="63"/>
        <v>0.1008</v>
      </c>
      <c r="E170" s="33">
        <f t="shared" si="63"/>
        <v>0.1008</v>
      </c>
      <c r="F170" s="33">
        <f t="shared" si="63"/>
        <v>0.1008</v>
      </c>
      <c r="G170" s="33">
        <f t="shared" si="63"/>
        <v>0.1008</v>
      </c>
      <c r="H170" s="33">
        <f t="shared" si="63"/>
        <v>0.1008</v>
      </c>
      <c r="I170" s="33">
        <f t="shared" si="63"/>
        <v>0.1008</v>
      </c>
      <c r="J170" s="33">
        <f t="shared" si="63"/>
        <v>0.1008</v>
      </c>
      <c r="K170" s="33">
        <f t="shared" si="63"/>
        <v>0.1008</v>
      </c>
      <c r="L170" s="33">
        <f t="shared" si="63"/>
        <v>0.1008</v>
      </c>
      <c r="M170" s="33">
        <f t="shared" si="63"/>
        <v>0.1008</v>
      </c>
    </row>
    <row r="171" spans="1:14" s="20" customFormat="1" ht="10.199999999999999">
      <c r="A171" s="26" t="s">
        <v>17</v>
      </c>
      <c r="B171" s="21">
        <f t="shared" ref="B171:M171" si="64">B169*B170</f>
        <v>4032</v>
      </c>
      <c r="C171" s="21">
        <f t="shared" si="64"/>
        <v>4032</v>
      </c>
      <c r="D171" s="21">
        <f t="shared" si="64"/>
        <v>4032</v>
      </c>
      <c r="E171" s="21">
        <f t="shared" si="64"/>
        <v>4032</v>
      </c>
      <c r="F171" s="21">
        <f t="shared" si="64"/>
        <v>4032</v>
      </c>
      <c r="G171" s="21">
        <f t="shared" si="64"/>
        <v>4032</v>
      </c>
      <c r="H171" s="21">
        <f t="shared" si="64"/>
        <v>4032</v>
      </c>
      <c r="I171" s="21">
        <f t="shared" si="64"/>
        <v>4032</v>
      </c>
      <c r="J171" s="21">
        <f t="shared" si="64"/>
        <v>4032</v>
      </c>
      <c r="K171" s="21">
        <f t="shared" si="64"/>
        <v>4032</v>
      </c>
      <c r="L171" s="21">
        <f t="shared" si="64"/>
        <v>4032</v>
      </c>
      <c r="M171" s="21">
        <f t="shared" si="64"/>
        <v>4032</v>
      </c>
      <c r="N171" s="21">
        <f>SUM(B171:M171)</f>
        <v>48384</v>
      </c>
    </row>
    <row r="172" spans="1:14" s="20" customFormat="1" ht="10.199999999999999">
      <c r="A172" s="26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4" s="20" customFormat="1" ht="10.199999999999999">
      <c r="A173" s="402" t="s">
        <v>237</v>
      </c>
    </row>
    <row r="174" spans="1:14" s="20" customFormat="1" ht="10.199999999999999">
      <c r="A174" s="27" t="s">
        <v>16</v>
      </c>
      <c r="B174" s="28">
        <f>'TSAS Scheduling Revenue (1)'!B178</f>
        <v>4000</v>
      </c>
      <c r="C174" s="28">
        <f>'TSAS Scheduling Revenue (1)'!C178</f>
        <v>4000</v>
      </c>
      <c r="D174" s="28">
        <f>'TSAS Scheduling Revenue (1)'!D178</f>
        <v>4000</v>
      </c>
      <c r="E174" s="28">
        <f>'TSAS Scheduling Revenue (1)'!E178</f>
        <v>4000</v>
      </c>
      <c r="F174" s="28">
        <f>'TSAS Scheduling Revenue (1)'!F178</f>
        <v>4000</v>
      </c>
      <c r="G174" s="28">
        <f>'TSAS Scheduling Revenue (1)'!G178</f>
        <v>4000</v>
      </c>
      <c r="H174" s="28">
        <f>'TSAS Scheduling Revenue (1)'!H178</f>
        <v>4000</v>
      </c>
      <c r="I174" s="28">
        <f>'TSAS Scheduling Revenue (1)'!I178</f>
        <v>4000</v>
      </c>
      <c r="J174" s="28">
        <f>'TSAS Scheduling Revenue (1)'!J178</f>
        <v>4000</v>
      </c>
      <c r="K174" s="28">
        <f>'TSAS Scheduling Revenue (1)'!K178</f>
        <v>4000</v>
      </c>
      <c r="L174" s="28">
        <f>'TSAS Scheduling Revenue (1)'!L178</f>
        <v>3000</v>
      </c>
      <c r="M174" s="28">
        <f>'TSAS Scheduling Revenue (1)'!M178</f>
        <v>3000</v>
      </c>
      <c r="N174" s="28">
        <f>SUM(B174:M174)</f>
        <v>46000</v>
      </c>
    </row>
    <row r="175" spans="1:14" s="20" customFormat="1" ht="12.75" customHeight="1">
      <c r="A175" s="26" t="s">
        <v>20</v>
      </c>
      <c r="B175" s="33">
        <f>B170</f>
        <v>0.1008</v>
      </c>
      <c r="C175" s="33">
        <f>B175</f>
        <v>0.1008</v>
      </c>
      <c r="D175" s="33">
        <f t="shared" ref="D175:M175" si="65">C175</f>
        <v>0.1008</v>
      </c>
      <c r="E175" s="33">
        <f t="shared" si="65"/>
        <v>0.1008</v>
      </c>
      <c r="F175" s="33">
        <f t="shared" si="65"/>
        <v>0.1008</v>
      </c>
      <c r="G175" s="33">
        <f t="shared" si="65"/>
        <v>0.1008</v>
      </c>
      <c r="H175" s="33">
        <f t="shared" si="65"/>
        <v>0.1008</v>
      </c>
      <c r="I175" s="33">
        <f t="shared" si="65"/>
        <v>0.1008</v>
      </c>
      <c r="J175" s="33">
        <f t="shared" si="65"/>
        <v>0.1008</v>
      </c>
      <c r="K175" s="33">
        <f t="shared" si="65"/>
        <v>0.1008</v>
      </c>
      <c r="L175" s="33">
        <f t="shared" si="65"/>
        <v>0.1008</v>
      </c>
      <c r="M175" s="33">
        <f t="shared" si="65"/>
        <v>0.1008</v>
      </c>
    </row>
    <row r="176" spans="1:14" s="20" customFormat="1" ht="12.75" customHeight="1">
      <c r="A176" s="26" t="s">
        <v>17</v>
      </c>
      <c r="B176" s="21">
        <f t="shared" ref="B176:M176" si="66">B174*B175</f>
        <v>403.2</v>
      </c>
      <c r="C176" s="21">
        <f t="shared" si="66"/>
        <v>403.2</v>
      </c>
      <c r="D176" s="21">
        <f t="shared" si="66"/>
        <v>403.2</v>
      </c>
      <c r="E176" s="21">
        <f t="shared" si="66"/>
        <v>403.2</v>
      </c>
      <c r="F176" s="21">
        <f t="shared" si="66"/>
        <v>403.2</v>
      </c>
      <c r="G176" s="21">
        <f t="shared" si="66"/>
        <v>403.2</v>
      </c>
      <c r="H176" s="21">
        <f t="shared" si="66"/>
        <v>403.2</v>
      </c>
      <c r="I176" s="21">
        <f t="shared" si="66"/>
        <v>403.2</v>
      </c>
      <c r="J176" s="21">
        <f t="shared" si="66"/>
        <v>403.2</v>
      </c>
      <c r="K176" s="21">
        <f t="shared" si="66"/>
        <v>403.2</v>
      </c>
      <c r="L176" s="21">
        <f t="shared" si="66"/>
        <v>302.39999999999998</v>
      </c>
      <c r="M176" s="21">
        <f t="shared" si="66"/>
        <v>302.39999999999998</v>
      </c>
      <c r="N176" s="21">
        <f>SUM(B176:M176)</f>
        <v>4636.7999999999984</v>
      </c>
    </row>
    <row r="177" spans="1:14" s="20" customFormat="1" ht="6.75" customHeight="1">
      <c r="A177" s="26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4">
      <c r="A178" s="402" t="s">
        <v>179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>
      <c r="A179" s="27" t="s">
        <v>16</v>
      </c>
      <c r="B179" s="28">
        <f>'TSAS Scheduling Revenue (1)'!B183</f>
        <v>0</v>
      </c>
      <c r="C179" s="28">
        <f>'TSAS Scheduling Revenue (1)'!C183</f>
        <v>0</v>
      </c>
      <c r="D179" s="28">
        <f>'TSAS Scheduling Revenue (1)'!D183</f>
        <v>0</v>
      </c>
      <c r="E179" s="28">
        <f>'TSAS Scheduling Revenue (1)'!E183</f>
        <v>0</v>
      </c>
      <c r="F179" s="28">
        <f>'TSAS Scheduling Revenue (1)'!F183</f>
        <v>0</v>
      </c>
      <c r="G179" s="28">
        <f>'TSAS Scheduling Revenue (1)'!G183</f>
        <v>0</v>
      </c>
      <c r="H179" s="28">
        <f>'TSAS Scheduling Revenue (1)'!H183</f>
        <v>0</v>
      </c>
      <c r="I179" s="28">
        <f>'TSAS Scheduling Revenue (1)'!I183</f>
        <v>0</v>
      </c>
      <c r="J179" s="28">
        <f>'TSAS Scheduling Revenue (1)'!J183</f>
        <v>0</v>
      </c>
      <c r="K179" s="28">
        <f>'TSAS Scheduling Revenue (1)'!K183</f>
        <v>0</v>
      </c>
      <c r="L179" s="28">
        <f>'TSAS Scheduling Revenue (1)'!L183</f>
        <v>0</v>
      </c>
      <c r="M179" s="28">
        <f>'TSAS Scheduling Revenue (1)'!M183</f>
        <v>0</v>
      </c>
      <c r="N179" s="28">
        <f>SUM(B179:M179)</f>
        <v>0</v>
      </c>
    </row>
    <row r="180" spans="1:14">
      <c r="A180" s="26" t="s">
        <v>20</v>
      </c>
      <c r="B180" s="33">
        <f>B170</f>
        <v>0.1008</v>
      </c>
      <c r="C180" s="33">
        <f t="shared" ref="C180:M180" si="67">C170</f>
        <v>0.1008</v>
      </c>
      <c r="D180" s="33">
        <f t="shared" si="67"/>
        <v>0.1008</v>
      </c>
      <c r="E180" s="33">
        <f t="shared" si="67"/>
        <v>0.1008</v>
      </c>
      <c r="F180" s="33">
        <f t="shared" si="67"/>
        <v>0.1008</v>
      </c>
      <c r="G180" s="33">
        <f t="shared" si="67"/>
        <v>0.1008</v>
      </c>
      <c r="H180" s="33">
        <f t="shared" si="67"/>
        <v>0.1008</v>
      </c>
      <c r="I180" s="33">
        <f t="shared" si="67"/>
        <v>0.1008</v>
      </c>
      <c r="J180" s="33">
        <f t="shared" si="67"/>
        <v>0.1008</v>
      </c>
      <c r="K180" s="33">
        <f t="shared" si="67"/>
        <v>0.1008</v>
      </c>
      <c r="L180" s="33">
        <f t="shared" si="67"/>
        <v>0.1008</v>
      </c>
      <c r="M180" s="33">
        <f t="shared" si="67"/>
        <v>0.1008</v>
      </c>
      <c r="N180" s="20"/>
    </row>
    <row r="181" spans="1:14">
      <c r="A181" s="26" t="s">
        <v>17</v>
      </c>
      <c r="B181" s="21">
        <f t="shared" ref="B181:M181" si="68">B179*B180</f>
        <v>0</v>
      </c>
      <c r="C181" s="21">
        <f t="shared" si="68"/>
        <v>0</v>
      </c>
      <c r="D181" s="21">
        <f t="shared" si="68"/>
        <v>0</v>
      </c>
      <c r="E181" s="21">
        <f t="shared" si="68"/>
        <v>0</v>
      </c>
      <c r="F181" s="21">
        <f t="shared" si="68"/>
        <v>0</v>
      </c>
      <c r="G181" s="21">
        <f t="shared" si="68"/>
        <v>0</v>
      </c>
      <c r="H181" s="21">
        <f t="shared" si="68"/>
        <v>0</v>
      </c>
      <c r="I181" s="21">
        <f t="shared" si="68"/>
        <v>0</v>
      </c>
      <c r="J181" s="21">
        <f t="shared" si="68"/>
        <v>0</v>
      </c>
      <c r="K181" s="21">
        <f t="shared" si="68"/>
        <v>0</v>
      </c>
      <c r="L181" s="21">
        <f t="shared" si="68"/>
        <v>0</v>
      </c>
      <c r="M181" s="21">
        <f t="shared" si="68"/>
        <v>0</v>
      </c>
      <c r="N181" s="21">
        <f>SUM(B181:M181)</f>
        <v>0</v>
      </c>
    </row>
    <row r="182" spans="1:14" s="20" customFormat="1" ht="10.199999999999999">
      <c r="A182" s="26"/>
    </row>
    <row r="183" spans="1:14">
      <c r="A183" s="402" t="s">
        <v>117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>
      <c r="A184" s="27" t="s">
        <v>16</v>
      </c>
      <c r="B184" s="28">
        <f>'TSAS Scheduling Revenue (1)'!B188</f>
        <v>150000</v>
      </c>
      <c r="C184" s="28">
        <f>'TSAS Scheduling Revenue (1)'!C188</f>
        <v>150000</v>
      </c>
      <c r="D184" s="28">
        <f>'TSAS Scheduling Revenue (1)'!D188</f>
        <v>150000</v>
      </c>
      <c r="E184" s="28">
        <f>'TSAS Scheduling Revenue (1)'!E188</f>
        <v>150000</v>
      </c>
      <c r="F184" s="28">
        <f>'TSAS Scheduling Revenue (1)'!F188</f>
        <v>150000</v>
      </c>
      <c r="G184" s="28">
        <f>'TSAS Scheduling Revenue (1)'!G188</f>
        <v>150000</v>
      </c>
      <c r="H184" s="28">
        <f>'TSAS Scheduling Revenue (1)'!H188</f>
        <v>150000</v>
      </c>
      <c r="I184" s="28">
        <f>'TSAS Scheduling Revenue (1)'!I188</f>
        <v>150000</v>
      </c>
      <c r="J184" s="28">
        <f>'TSAS Scheduling Revenue (1)'!J188</f>
        <v>150000</v>
      </c>
      <c r="K184" s="28">
        <f>'TSAS Scheduling Revenue (1)'!K188</f>
        <v>150000</v>
      </c>
      <c r="L184" s="28">
        <f>'TSAS Scheduling Revenue (1)'!L188</f>
        <v>150000</v>
      </c>
      <c r="M184" s="28">
        <f>'TSAS Scheduling Revenue (1)'!M188</f>
        <v>150000</v>
      </c>
      <c r="N184" s="28">
        <f>SUM(B184:M184)</f>
        <v>1800000</v>
      </c>
    </row>
    <row r="185" spans="1:14">
      <c r="A185" s="26" t="s">
        <v>20</v>
      </c>
      <c r="B185" s="33">
        <f>B180</f>
        <v>0.1008</v>
      </c>
      <c r="C185" s="33">
        <f t="shared" ref="C185:M185" si="69">C180</f>
        <v>0.1008</v>
      </c>
      <c r="D185" s="33">
        <f t="shared" si="69"/>
        <v>0.1008</v>
      </c>
      <c r="E185" s="33">
        <f t="shared" si="69"/>
        <v>0.1008</v>
      </c>
      <c r="F185" s="33">
        <f t="shared" si="69"/>
        <v>0.1008</v>
      </c>
      <c r="G185" s="33">
        <f t="shared" si="69"/>
        <v>0.1008</v>
      </c>
      <c r="H185" s="33">
        <f t="shared" si="69"/>
        <v>0.1008</v>
      </c>
      <c r="I185" s="33">
        <f t="shared" si="69"/>
        <v>0.1008</v>
      </c>
      <c r="J185" s="33">
        <f t="shared" si="69"/>
        <v>0.1008</v>
      </c>
      <c r="K185" s="33">
        <f t="shared" si="69"/>
        <v>0.1008</v>
      </c>
      <c r="L185" s="33">
        <f t="shared" si="69"/>
        <v>0.1008</v>
      </c>
      <c r="M185" s="33">
        <f t="shared" si="69"/>
        <v>0.1008</v>
      </c>
      <c r="N185" s="20"/>
    </row>
    <row r="186" spans="1:14">
      <c r="A186" s="26" t="s">
        <v>17</v>
      </c>
      <c r="B186" s="21">
        <f t="shared" ref="B186:M186" si="70">B184*B185</f>
        <v>15120</v>
      </c>
      <c r="C186" s="21">
        <f t="shared" si="70"/>
        <v>15120</v>
      </c>
      <c r="D186" s="21">
        <f t="shared" si="70"/>
        <v>15120</v>
      </c>
      <c r="E186" s="21">
        <f t="shared" si="70"/>
        <v>15120</v>
      </c>
      <c r="F186" s="21">
        <f t="shared" si="70"/>
        <v>15120</v>
      </c>
      <c r="G186" s="21">
        <f t="shared" si="70"/>
        <v>15120</v>
      </c>
      <c r="H186" s="21">
        <f t="shared" si="70"/>
        <v>15120</v>
      </c>
      <c r="I186" s="21">
        <f t="shared" si="70"/>
        <v>15120</v>
      </c>
      <c r="J186" s="21">
        <f t="shared" si="70"/>
        <v>15120</v>
      </c>
      <c r="K186" s="21">
        <f t="shared" si="70"/>
        <v>15120</v>
      </c>
      <c r="L186" s="21">
        <f t="shared" si="70"/>
        <v>15120</v>
      </c>
      <c r="M186" s="21">
        <f t="shared" si="70"/>
        <v>15120</v>
      </c>
      <c r="N186" s="21">
        <f>SUM(B186:M186)</f>
        <v>181440</v>
      </c>
    </row>
    <row r="187" spans="1:14">
      <c r="A187" s="26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</row>
    <row r="188" spans="1:14" s="20" customFormat="1" ht="10.199999999999999">
      <c r="A188" s="402" t="s">
        <v>44</v>
      </c>
    </row>
    <row r="189" spans="1:14" s="20" customFormat="1" ht="10.199999999999999">
      <c r="A189" s="27" t="s">
        <v>16</v>
      </c>
      <c r="B189" s="28">
        <f>'TSAS Scheduling Revenue (1)'!B193</f>
        <v>0</v>
      </c>
      <c r="C189" s="28">
        <f>'TSAS Scheduling Revenue (1)'!C193</f>
        <v>0</v>
      </c>
      <c r="D189" s="28">
        <f>'TSAS Scheduling Revenue (1)'!D193</f>
        <v>0</v>
      </c>
      <c r="E189" s="28">
        <f>'TSAS Scheduling Revenue (1)'!E193</f>
        <v>0</v>
      </c>
      <c r="F189" s="28">
        <f>'TSAS Scheduling Revenue (1)'!F193</f>
        <v>0</v>
      </c>
      <c r="G189" s="28">
        <f>'TSAS Scheduling Revenue (1)'!G193</f>
        <v>0</v>
      </c>
      <c r="H189" s="28">
        <f>'TSAS Scheduling Revenue (1)'!H193</f>
        <v>0</v>
      </c>
      <c r="I189" s="28">
        <f>'TSAS Scheduling Revenue (1)'!I193</f>
        <v>0</v>
      </c>
      <c r="J189" s="28">
        <f>'TSAS Scheduling Revenue (1)'!J193</f>
        <v>0</v>
      </c>
      <c r="K189" s="28">
        <f>'TSAS Scheduling Revenue (1)'!K193</f>
        <v>0</v>
      </c>
      <c r="L189" s="28">
        <f>'TSAS Scheduling Revenue (1)'!L193</f>
        <v>0</v>
      </c>
      <c r="M189" s="28">
        <f>'TSAS Scheduling Revenue (1)'!M193</f>
        <v>0</v>
      </c>
      <c r="N189" s="28">
        <f>SUM(B189:M189)</f>
        <v>0</v>
      </c>
    </row>
    <row r="190" spans="1:14" s="20" customFormat="1" ht="10.199999999999999">
      <c r="A190" s="26" t="s">
        <v>20</v>
      </c>
      <c r="B190" s="33">
        <f t="shared" ref="B190:M190" si="71">+$B$34</f>
        <v>0.1008</v>
      </c>
      <c r="C190" s="33">
        <f t="shared" si="71"/>
        <v>0.1008</v>
      </c>
      <c r="D190" s="33">
        <f t="shared" si="71"/>
        <v>0.1008</v>
      </c>
      <c r="E190" s="33">
        <f t="shared" si="71"/>
        <v>0.1008</v>
      </c>
      <c r="F190" s="33">
        <f t="shared" si="71"/>
        <v>0.1008</v>
      </c>
      <c r="G190" s="33">
        <f t="shared" si="71"/>
        <v>0.1008</v>
      </c>
      <c r="H190" s="33">
        <f t="shared" si="71"/>
        <v>0.1008</v>
      </c>
      <c r="I190" s="33">
        <f t="shared" si="71"/>
        <v>0.1008</v>
      </c>
      <c r="J190" s="33">
        <f t="shared" si="71"/>
        <v>0.1008</v>
      </c>
      <c r="K190" s="33">
        <f t="shared" si="71"/>
        <v>0.1008</v>
      </c>
      <c r="L190" s="33">
        <f t="shared" si="71"/>
        <v>0.1008</v>
      </c>
      <c r="M190" s="33">
        <f t="shared" si="71"/>
        <v>0.1008</v>
      </c>
    </row>
    <row r="191" spans="1:14" s="20" customFormat="1" ht="10.199999999999999">
      <c r="A191" s="26" t="s">
        <v>17</v>
      </c>
      <c r="B191" s="21">
        <f t="shared" ref="B191:M191" si="72">B189*B190</f>
        <v>0</v>
      </c>
      <c r="C191" s="21">
        <f t="shared" si="72"/>
        <v>0</v>
      </c>
      <c r="D191" s="21">
        <f t="shared" si="72"/>
        <v>0</v>
      </c>
      <c r="E191" s="21">
        <f t="shared" si="72"/>
        <v>0</v>
      </c>
      <c r="F191" s="21">
        <f t="shared" si="72"/>
        <v>0</v>
      </c>
      <c r="G191" s="21">
        <f t="shared" si="72"/>
        <v>0</v>
      </c>
      <c r="H191" s="21">
        <f t="shared" si="72"/>
        <v>0</v>
      </c>
      <c r="I191" s="21">
        <f t="shared" si="72"/>
        <v>0</v>
      </c>
      <c r="J191" s="21">
        <f t="shared" si="72"/>
        <v>0</v>
      </c>
      <c r="K191" s="21">
        <f t="shared" si="72"/>
        <v>0</v>
      </c>
      <c r="L191" s="21">
        <f t="shared" si="72"/>
        <v>0</v>
      </c>
      <c r="M191" s="21">
        <f t="shared" si="72"/>
        <v>0</v>
      </c>
      <c r="N191" s="21">
        <f>SUM(B191:M191)</f>
        <v>0</v>
      </c>
    </row>
    <row r="192" spans="1:14" s="20" customFormat="1" ht="10.199999999999999">
      <c r="A192" s="26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4" s="20" customFormat="1" ht="10.199999999999999">
      <c r="A193" s="26" t="s">
        <v>171</v>
      </c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 s="20" customFormat="1" ht="10.199999999999999">
      <c r="A194" s="27" t="s">
        <v>16</v>
      </c>
      <c r="B194" s="21">
        <f>'TSAS Demand Revenues (7)'!B193</f>
        <v>0</v>
      </c>
      <c r="C194" s="21">
        <f>'TSAS Demand Revenues (7)'!C193</f>
        <v>0</v>
      </c>
      <c r="D194" s="21">
        <f>'TSAS Demand Revenues (7)'!D193</f>
        <v>0</v>
      </c>
      <c r="E194" s="21">
        <f>'TSAS Demand Revenues (7)'!E193</f>
        <v>0</v>
      </c>
      <c r="F194" s="21">
        <f>'TSAS Demand Revenues (7)'!F193</f>
        <v>0</v>
      </c>
      <c r="G194" s="21">
        <f>'TSAS Demand Revenues (7)'!G193</f>
        <v>0</v>
      </c>
      <c r="H194" s="21">
        <f>'TSAS Demand Revenues (7)'!H193</f>
        <v>0</v>
      </c>
      <c r="I194" s="21">
        <f>'TSAS Demand Revenues (7)'!I193</f>
        <v>0</v>
      </c>
      <c r="J194" s="21">
        <f>'TSAS Demand Revenues (7)'!J193</f>
        <v>0</v>
      </c>
      <c r="K194" s="21">
        <f>'TSAS Demand Revenues (7)'!K193</f>
        <v>0</v>
      </c>
      <c r="L194" s="21">
        <f>'TSAS Demand Revenues (7)'!L193</f>
        <v>0</v>
      </c>
      <c r="M194" s="21">
        <f>'TSAS Demand Revenues (7)'!M193</f>
        <v>0</v>
      </c>
      <c r="N194" s="28">
        <f>SUM(B194:M194)</f>
        <v>0</v>
      </c>
    </row>
    <row r="195" spans="1:14" s="20" customFormat="1" ht="10.199999999999999">
      <c r="A195" s="26" t="s">
        <v>20</v>
      </c>
      <c r="B195" s="33">
        <f>B190</f>
        <v>0.1008</v>
      </c>
      <c r="C195" s="33">
        <f t="shared" ref="C195:M195" si="73">C190</f>
        <v>0.1008</v>
      </c>
      <c r="D195" s="33">
        <f t="shared" si="73"/>
        <v>0.1008</v>
      </c>
      <c r="E195" s="33">
        <f t="shared" si="73"/>
        <v>0.1008</v>
      </c>
      <c r="F195" s="33">
        <f t="shared" si="73"/>
        <v>0.1008</v>
      </c>
      <c r="G195" s="33">
        <f t="shared" si="73"/>
        <v>0.1008</v>
      </c>
      <c r="H195" s="33">
        <f t="shared" si="73"/>
        <v>0.1008</v>
      </c>
      <c r="I195" s="33">
        <f t="shared" si="73"/>
        <v>0.1008</v>
      </c>
      <c r="J195" s="33">
        <f t="shared" si="73"/>
        <v>0.1008</v>
      </c>
      <c r="K195" s="33">
        <f t="shared" si="73"/>
        <v>0.1008</v>
      </c>
      <c r="L195" s="33">
        <f t="shared" si="73"/>
        <v>0.1008</v>
      </c>
      <c r="M195" s="33">
        <f t="shared" si="73"/>
        <v>0.1008</v>
      </c>
      <c r="N195" s="21"/>
    </row>
    <row r="196" spans="1:14" s="20" customFormat="1" ht="10.199999999999999">
      <c r="A196" s="26" t="s">
        <v>17</v>
      </c>
      <c r="B196" s="21">
        <f t="shared" ref="B196:M196" si="74">B194*B195</f>
        <v>0</v>
      </c>
      <c r="C196" s="21">
        <f t="shared" si="74"/>
        <v>0</v>
      </c>
      <c r="D196" s="21">
        <f t="shared" si="74"/>
        <v>0</v>
      </c>
      <c r="E196" s="21">
        <f t="shared" si="74"/>
        <v>0</v>
      </c>
      <c r="F196" s="21">
        <f t="shared" si="74"/>
        <v>0</v>
      </c>
      <c r="G196" s="21">
        <f t="shared" si="74"/>
        <v>0</v>
      </c>
      <c r="H196" s="21">
        <f t="shared" si="74"/>
        <v>0</v>
      </c>
      <c r="I196" s="21">
        <f t="shared" si="74"/>
        <v>0</v>
      </c>
      <c r="J196" s="21">
        <f t="shared" si="74"/>
        <v>0</v>
      </c>
      <c r="K196" s="21">
        <f t="shared" si="74"/>
        <v>0</v>
      </c>
      <c r="L196" s="21">
        <f t="shared" si="74"/>
        <v>0</v>
      </c>
      <c r="M196" s="21">
        <f t="shared" si="74"/>
        <v>0</v>
      </c>
      <c r="N196" s="21">
        <f>SUM(B196:M196)</f>
        <v>0</v>
      </c>
    </row>
    <row r="197" spans="1:14" s="20" customFormat="1" ht="10.199999999999999">
      <c r="A197" s="26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4">
      <c r="A198" s="402" t="s">
        <v>239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>
      <c r="A199" s="27" t="s">
        <v>16</v>
      </c>
      <c r="B199" s="28">
        <f>'TSAS Demand Revenues (7)'!B198</f>
        <v>160000</v>
      </c>
      <c r="C199" s="28">
        <f>'TSAS Demand Revenues (7)'!C198</f>
        <v>160000</v>
      </c>
      <c r="D199" s="28">
        <f>'TSAS Demand Revenues (7)'!D198</f>
        <v>0</v>
      </c>
      <c r="E199" s="28">
        <f>'TSAS Demand Revenues (7)'!E198</f>
        <v>0</v>
      </c>
      <c r="F199" s="28">
        <f>'TSAS Demand Revenues (7)'!F198</f>
        <v>0</v>
      </c>
      <c r="G199" s="28">
        <f>'TSAS Demand Revenues (7)'!G198</f>
        <v>0</v>
      </c>
      <c r="H199" s="28">
        <f>'TSAS Demand Revenues (7)'!H198</f>
        <v>0</v>
      </c>
      <c r="I199" s="28">
        <f>'TSAS Demand Revenues (7)'!I198</f>
        <v>0</v>
      </c>
      <c r="J199" s="28">
        <f>'TSAS Demand Revenues (7)'!J198</f>
        <v>0</v>
      </c>
      <c r="K199" s="28">
        <f>'TSAS Demand Revenues (7)'!K198</f>
        <v>0</v>
      </c>
      <c r="L199" s="28">
        <f>'TSAS Demand Revenues (7)'!L198</f>
        <v>0</v>
      </c>
      <c r="M199" s="28">
        <f>'TSAS Demand Revenues (7)'!M198</f>
        <v>0</v>
      </c>
      <c r="N199" s="28">
        <f>SUM(B199:M199)</f>
        <v>320000</v>
      </c>
    </row>
    <row r="200" spans="1:14">
      <c r="A200" s="26" t="s">
        <v>20</v>
      </c>
      <c r="B200" s="272">
        <f>B195</f>
        <v>0.1008</v>
      </c>
      <c r="C200" s="272">
        <f t="shared" ref="C200:M200" si="75">C195</f>
        <v>0.1008</v>
      </c>
      <c r="D200" s="272">
        <f t="shared" si="75"/>
        <v>0.1008</v>
      </c>
      <c r="E200" s="272">
        <f t="shared" si="75"/>
        <v>0.1008</v>
      </c>
      <c r="F200" s="272">
        <f t="shared" si="75"/>
        <v>0.1008</v>
      </c>
      <c r="G200" s="272">
        <f t="shared" si="75"/>
        <v>0.1008</v>
      </c>
      <c r="H200" s="272">
        <f t="shared" si="75"/>
        <v>0.1008</v>
      </c>
      <c r="I200" s="272">
        <f t="shared" si="75"/>
        <v>0.1008</v>
      </c>
      <c r="J200" s="272">
        <f t="shared" si="75"/>
        <v>0.1008</v>
      </c>
      <c r="K200" s="272">
        <f t="shared" si="75"/>
        <v>0.1008</v>
      </c>
      <c r="L200" s="272">
        <f t="shared" si="75"/>
        <v>0.1008</v>
      </c>
      <c r="M200" s="272">
        <f t="shared" si="75"/>
        <v>0.1008</v>
      </c>
      <c r="N200" s="20"/>
    </row>
    <row r="201" spans="1:14">
      <c r="A201" s="26" t="s">
        <v>17</v>
      </c>
      <c r="B201" s="21">
        <f t="shared" ref="B201:M201" si="76">B199*B200</f>
        <v>16128</v>
      </c>
      <c r="C201" s="21">
        <f t="shared" si="76"/>
        <v>16128</v>
      </c>
      <c r="D201" s="21">
        <f t="shared" si="76"/>
        <v>0</v>
      </c>
      <c r="E201" s="21">
        <f t="shared" si="76"/>
        <v>0</v>
      </c>
      <c r="F201" s="21">
        <f t="shared" si="76"/>
        <v>0</v>
      </c>
      <c r="G201" s="21">
        <f t="shared" si="76"/>
        <v>0</v>
      </c>
      <c r="H201" s="21">
        <f t="shared" si="76"/>
        <v>0</v>
      </c>
      <c r="I201" s="21">
        <f t="shared" si="76"/>
        <v>0</v>
      </c>
      <c r="J201" s="21">
        <f t="shared" si="76"/>
        <v>0</v>
      </c>
      <c r="K201" s="21">
        <f t="shared" si="76"/>
        <v>0</v>
      </c>
      <c r="L201" s="21">
        <f t="shared" si="76"/>
        <v>0</v>
      </c>
      <c r="M201" s="21">
        <f t="shared" si="76"/>
        <v>0</v>
      </c>
      <c r="N201" s="21">
        <f>SUM(B201:M201)</f>
        <v>32256</v>
      </c>
    </row>
    <row r="202" spans="1:14">
      <c r="A202" s="26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</row>
    <row r="203" spans="1:14" s="20" customFormat="1" ht="10.199999999999999">
      <c r="A203" s="337"/>
      <c r="B203" s="21"/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8">
        <f>SUM(B203:M203)</f>
        <v>0</v>
      </c>
    </row>
    <row r="204" spans="1:14" s="20" customFormat="1" ht="10.199999999999999">
      <c r="A204" s="26" t="s">
        <v>20</v>
      </c>
      <c r="B204" s="272">
        <f>B200</f>
        <v>0.1008</v>
      </c>
      <c r="C204" s="272">
        <f t="shared" ref="C204:M204" si="77">C200</f>
        <v>0.1008</v>
      </c>
      <c r="D204" s="272">
        <f t="shared" si="77"/>
        <v>0.1008</v>
      </c>
      <c r="E204" s="272">
        <f t="shared" si="77"/>
        <v>0.1008</v>
      </c>
      <c r="F204" s="272">
        <f t="shared" si="77"/>
        <v>0.1008</v>
      </c>
      <c r="G204" s="272">
        <f t="shared" si="77"/>
        <v>0.1008</v>
      </c>
      <c r="H204" s="272">
        <f t="shared" si="77"/>
        <v>0.1008</v>
      </c>
      <c r="I204" s="272">
        <f t="shared" si="77"/>
        <v>0.1008</v>
      </c>
      <c r="J204" s="272">
        <f t="shared" si="77"/>
        <v>0.1008</v>
      </c>
      <c r="K204" s="272">
        <f t="shared" si="77"/>
        <v>0.1008</v>
      </c>
      <c r="L204" s="272">
        <f t="shared" si="77"/>
        <v>0.1008</v>
      </c>
      <c r="M204" s="272">
        <f t="shared" si="77"/>
        <v>0.1008</v>
      </c>
    </row>
    <row r="205" spans="1:14" s="20" customFormat="1" ht="10.199999999999999">
      <c r="A205" s="26" t="s">
        <v>17</v>
      </c>
      <c r="B205" s="21">
        <f t="shared" ref="B205:M205" si="78">B203*B204</f>
        <v>0</v>
      </c>
      <c r="C205" s="21">
        <f t="shared" si="78"/>
        <v>0</v>
      </c>
      <c r="D205" s="21">
        <f t="shared" si="78"/>
        <v>0</v>
      </c>
      <c r="E205" s="21">
        <f t="shared" si="78"/>
        <v>0</v>
      </c>
      <c r="F205" s="21">
        <f t="shared" si="78"/>
        <v>0</v>
      </c>
      <c r="G205" s="21">
        <f t="shared" si="78"/>
        <v>0</v>
      </c>
      <c r="H205" s="21">
        <f t="shared" si="78"/>
        <v>0</v>
      </c>
      <c r="I205" s="21">
        <f t="shared" si="78"/>
        <v>0</v>
      </c>
      <c r="J205" s="21">
        <f t="shared" si="78"/>
        <v>0</v>
      </c>
      <c r="K205" s="21">
        <f t="shared" si="78"/>
        <v>0</v>
      </c>
      <c r="L205" s="21">
        <f t="shared" si="78"/>
        <v>0</v>
      </c>
      <c r="M205" s="21">
        <f t="shared" si="78"/>
        <v>0</v>
      </c>
      <c r="N205" s="21">
        <f>SUM(B205:M205)</f>
        <v>0</v>
      </c>
    </row>
    <row r="206" spans="1:14">
      <c r="A206" s="26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>
      <c r="A207" s="26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s="20" customFormat="1" ht="10.199999999999999">
      <c r="A208" s="145" t="s">
        <v>25</v>
      </c>
      <c r="B208" s="144">
        <f>B146+B151+B156+B161+B166+B171+B191+B176+B196+B181+B186+B201+B205</f>
        <v>45030.720000000001</v>
      </c>
      <c r="C208" s="144">
        <f t="shared" ref="C208:M208" si="79">C146+C151+C156+C161+C166+C171+C191+C176+C196+C181+C186+C201+C205</f>
        <v>45030.720000000001</v>
      </c>
      <c r="D208" s="144">
        <f t="shared" si="79"/>
        <v>28902.720000000001</v>
      </c>
      <c r="E208" s="144">
        <f t="shared" si="79"/>
        <v>28902.720000000001</v>
      </c>
      <c r="F208" s="144">
        <f t="shared" si="79"/>
        <v>28902.720000000001</v>
      </c>
      <c r="G208" s="144">
        <f t="shared" si="79"/>
        <v>28902.720000000001</v>
      </c>
      <c r="H208" s="144">
        <f t="shared" si="79"/>
        <v>28902.720000000001</v>
      </c>
      <c r="I208" s="144">
        <f t="shared" si="79"/>
        <v>28902.720000000001</v>
      </c>
      <c r="J208" s="144">
        <f t="shared" si="79"/>
        <v>28902.720000000001</v>
      </c>
      <c r="K208" s="144">
        <f t="shared" si="79"/>
        <v>28902.720000000001</v>
      </c>
      <c r="L208" s="144">
        <f t="shared" si="79"/>
        <v>28801.919999999998</v>
      </c>
      <c r="M208" s="144">
        <f t="shared" si="79"/>
        <v>28801.919999999998</v>
      </c>
      <c r="N208" s="144">
        <f>SUM(B208:M208)</f>
        <v>378887.03999999992</v>
      </c>
    </row>
    <row r="209" spans="1:15" s="20" customFormat="1" ht="10.199999999999999">
      <c r="A209" s="145" t="str">
        <f>A139</f>
        <v>Total Monthly Demand</v>
      </c>
      <c r="B209" s="144">
        <f>B144+B149+B154+B159+B164+B189+B169+B174+B194+B179+B184+B199+B203</f>
        <v>458056</v>
      </c>
      <c r="C209" s="144">
        <f t="shared" ref="C209:M209" si="80">C144+C149+C154+C159+C164+C189+C169+C174+C194+C179+C184+C199+C203</f>
        <v>458056</v>
      </c>
      <c r="D209" s="144">
        <f t="shared" si="80"/>
        <v>298056</v>
      </c>
      <c r="E209" s="144">
        <f t="shared" si="80"/>
        <v>298056</v>
      </c>
      <c r="F209" s="144">
        <f t="shared" si="80"/>
        <v>298056</v>
      </c>
      <c r="G209" s="144">
        <f t="shared" si="80"/>
        <v>298056</v>
      </c>
      <c r="H209" s="144">
        <f t="shared" si="80"/>
        <v>298056</v>
      </c>
      <c r="I209" s="144">
        <f t="shared" si="80"/>
        <v>298056</v>
      </c>
      <c r="J209" s="144">
        <f t="shared" si="80"/>
        <v>298056</v>
      </c>
      <c r="K209" s="144">
        <f t="shared" si="80"/>
        <v>298056</v>
      </c>
      <c r="L209" s="144">
        <f t="shared" si="80"/>
        <v>297056</v>
      </c>
      <c r="M209" s="144">
        <f t="shared" si="80"/>
        <v>297056</v>
      </c>
      <c r="N209" s="144">
        <f>SUM(B209:M209)</f>
        <v>3894672</v>
      </c>
    </row>
    <row r="210" spans="1:15" s="20" customFormat="1" ht="10.199999999999999">
      <c r="A210" s="25">
        <f>+A140+1</f>
        <v>2017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5" s="20" customFormat="1" ht="13.2">
      <c r="A211" s="23" t="s">
        <v>19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5" s="20" customFormat="1" ht="10.199999999999999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</row>
    <row r="213" spans="1:15" s="20" customFormat="1" ht="10.199999999999999">
      <c r="A213" s="402" t="s">
        <v>359</v>
      </c>
    </row>
    <row r="214" spans="1:15" s="29" customFormat="1">
      <c r="A214" s="27" t="s">
        <v>16</v>
      </c>
      <c r="B214" s="28">
        <f>'TSAS Scheduling Revenue (1)'!B214</f>
        <v>5000</v>
      </c>
      <c r="C214" s="28">
        <f>'TSAS Scheduling Revenue (1)'!C214</f>
        <v>5000</v>
      </c>
      <c r="D214" s="28">
        <f>'TSAS Scheduling Revenue (1)'!D214</f>
        <v>5000</v>
      </c>
      <c r="E214" s="28">
        <f>'TSAS Scheduling Revenue (1)'!E214</f>
        <v>5000</v>
      </c>
      <c r="F214" s="28">
        <f>'TSAS Scheduling Revenue (1)'!F214</f>
        <v>5000</v>
      </c>
      <c r="G214" s="28">
        <f>'TSAS Scheduling Revenue (1)'!G214</f>
        <v>5000</v>
      </c>
      <c r="H214" s="28">
        <f>'TSAS Scheduling Revenue (1)'!H214</f>
        <v>5000</v>
      </c>
      <c r="I214" s="28">
        <f>'TSAS Scheduling Revenue (1)'!I214</f>
        <v>5000</v>
      </c>
      <c r="J214" s="28">
        <f>'TSAS Scheduling Revenue (1)'!J214</f>
        <v>5000</v>
      </c>
      <c r="K214" s="28">
        <f>'TSAS Scheduling Revenue (1)'!K214</f>
        <v>5000</v>
      </c>
      <c r="L214" s="28">
        <f>'TSAS Scheduling Revenue (1)'!L214</f>
        <v>5000</v>
      </c>
      <c r="M214" s="28">
        <f>'TSAS Scheduling Revenue (1)'!M214</f>
        <v>5000</v>
      </c>
      <c r="N214" s="28">
        <f>SUM(B214:M214)</f>
        <v>60000</v>
      </c>
      <c r="O214" s="22"/>
    </row>
    <row r="215" spans="1:15" s="20" customFormat="1">
      <c r="A215" s="26" t="s">
        <v>20</v>
      </c>
      <c r="B215" s="32">
        <f>'charges (1 &amp; 2)'!F20</f>
        <v>0.1008</v>
      </c>
      <c r="C215" s="32">
        <f t="shared" ref="C215:M215" si="81">+$B$14</f>
        <v>0.1008</v>
      </c>
      <c r="D215" s="32">
        <f t="shared" si="81"/>
        <v>0.1008</v>
      </c>
      <c r="E215" s="32">
        <f t="shared" si="81"/>
        <v>0.1008</v>
      </c>
      <c r="F215" s="32">
        <f t="shared" si="81"/>
        <v>0.1008</v>
      </c>
      <c r="G215" s="32">
        <f t="shared" si="81"/>
        <v>0.1008</v>
      </c>
      <c r="H215" s="32">
        <f t="shared" si="81"/>
        <v>0.1008</v>
      </c>
      <c r="I215" s="32">
        <f t="shared" si="81"/>
        <v>0.1008</v>
      </c>
      <c r="J215" s="32">
        <f t="shared" si="81"/>
        <v>0.1008</v>
      </c>
      <c r="K215" s="32">
        <f t="shared" si="81"/>
        <v>0.1008</v>
      </c>
      <c r="L215" s="32">
        <f t="shared" si="81"/>
        <v>0.1008</v>
      </c>
      <c r="M215" s="32">
        <f t="shared" si="81"/>
        <v>0.1008</v>
      </c>
      <c r="O215" s="22"/>
    </row>
    <row r="216" spans="1:15" s="20" customFormat="1">
      <c r="A216" s="26" t="s">
        <v>17</v>
      </c>
      <c r="B216" s="21">
        <f t="shared" ref="B216:M216" si="82">B214*B215</f>
        <v>504</v>
      </c>
      <c r="C216" s="21">
        <f t="shared" si="82"/>
        <v>504</v>
      </c>
      <c r="D216" s="21">
        <f t="shared" si="82"/>
        <v>504</v>
      </c>
      <c r="E216" s="21">
        <f t="shared" si="82"/>
        <v>504</v>
      </c>
      <c r="F216" s="21">
        <f t="shared" si="82"/>
        <v>504</v>
      </c>
      <c r="G216" s="21">
        <f t="shared" si="82"/>
        <v>504</v>
      </c>
      <c r="H216" s="21">
        <f t="shared" si="82"/>
        <v>504</v>
      </c>
      <c r="I216" s="21">
        <f t="shared" si="82"/>
        <v>504</v>
      </c>
      <c r="J216" s="21">
        <f t="shared" si="82"/>
        <v>504</v>
      </c>
      <c r="K216" s="21">
        <f t="shared" si="82"/>
        <v>504</v>
      </c>
      <c r="L216" s="21">
        <f t="shared" si="82"/>
        <v>504</v>
      </c>
      <c r="M216" s="21">
        <f t="shared" si="82"/>
        <v>504</v>
      </c>
      <c r="N216" s="21">
        <f>SUM(B216:M216)</f>
        <v>6048</v>
      </c>
      <c r="O216" s="22"/>
    </row>
    <row r="217" spans="1:15" s="20" customFormat="1" ht="6" customHeight="1">
      <c r="O217" s="22"/>
    </row>
    <row r="218" spans="1:15" s="20" customFormat="1">
      <c r="A218" s="26" t="s">
        <v>21</v>
      </c>
      <c r="O218" s="22"/>
    </row>
    <row r="219" spans="1:15" s="29" customFormat="1">
      <c r="A219" s="27" t="s">
        <v>16</v>
      </c>
      <c r="B219" s="28">
        <f>'TSAS Scheduling Revenue (1)'!B219</f>
        <v>0</v>
      </c>
      <c r="C219" s="28">
        <f>'TSAS Scheduling Revenue (1)'!C219</f>
        <v>0</v>
      </c>
      <c r="D219" s="28">
        <f>'TSAS Scheduling Revenue (1)'!D219</f>
        <v>0</v>
      </c>
      <c r="E219" s="28">
        <f>'TSAS Scheduling Revenue (1)'!E219</f>
        <v>0</v>
      </c>
      <c r="F219" s="28">
        <f>'TSAS Scheduling Revenue (1)'!F219</f>
        <v>0</v>
      </c>
      <c r="G219" s="28">
        <f>'TSAS Scheduling Revenue (1)'!G219</f>
        <v>0</v>
      </c>
      <c r="H219" s="28">
        <f>'TSAS Scheduling Revenue (1)'!H219</f>
        <v>0</v>
      </c>
      <c r="I219" s="28">
        <f>'TSAS Scheduling Revenue (1)'!I219</f>
        <v>0</v>
      </c>
      <c r="J219" s="28">
        <f>'TSAS Scheduling Revenue (1)'!J219</f>
        <v>0</v>
      </c>
      <c r="K219" s="28">
        <f>'TSAS Scheduling Revenue (1)'!K219</f>
        <v>0</v>
      </c>
      <c r="L219" s="28">
        <f>'TSAS Scheduling Revenue (1)'!L219</f>
        <v>0</v>
      </c>
      <c r="M219" s="28">
        <f>'TSAS Scheduling Revenue (1)'!M219</f>
        <v>0</v>
      </c>
      <c r="N219" s="28">
        <f>SUM(B219:M219)</f>
        <v>0</v>
      </c>
      <c r="O219" s="22"/>
    </row>
    <row r="220" spans="1:15" s="20" customFormat="1">
      <c r="A220" s="26" t="s">
        <v>20</v>
      </c>
      <c r="B220" s="32">
        <f>'charges (1 &amp; 2)'!F11</f>
        <v>0.1008</v>
      </c>
      <c r="C220" s="32">
        <f t="shared" ref="C220:M220" si="83">+$B$19</f>
        <v>0.1008</v>
      </c>
      <c r="D220" s="32">
        <f t="shared" si="83"/>
        <v>0.1008</v>
      </c>
      <c r="E220" s="32">
        <f t="shared" si="83"/>
        <v>0.1008</v>
      </c>
      <c r="F220" s="32">
        <f t="shared" si="83"/>
        <v>0.1008</v>
      </c>
      <c r="G220" s="32">
        <f t="shared" si="83"/>
        <v>0.1008</v>
      </c>
      <c r="H220" s="32">
        <f t="shared" si="83"/>
        <v>0.1008</v>
      </c>
      <c r="I220" s="32">
        <f t="shared" si="83"/>
        <v>0.1008</v>
      </c>
      <c r="J220" s="32">
        <f t="shared" si="83"/>
        <v>0.1008</v>
      </c>
      <c r="K220" s="32">
        <f t="shared" si="83"/>
        <v>0.1008</v>
      </c>
      <c r="L220" s="32">
        <f t="shared" si="83"/>
        <v>0.1008</v>
      </c>
      <c r="M220" s="32">
        <f t="shared" si="83"/>
        <v>0.1008</v>
      </c>
      <c r="O220" s="22"/>
    </row>
    <row r="221" spans="1:15" s="20" customFormat="1">
      <c r="A221" s="26" t="s">
        <v>17</v>
      </c>
      <c r="B221" s="21">
        <f t="shared" ref="B221:M221" si="84">B219*B220</f>
        <v>0</v>
      </c>
      <c r="C221" s="21">
        <f t="shared" si="84"/>
        <v>0</v>
      </c>
      <c r="D221" s="21">
        <f t="shared" si="84"/>
        <v>0</v>
      </c>
      <c r="E221" s="21">
        <f t="shared" si="84"/>
        <v>0</v>
      </c>
      <c r="F221" s="21">
        <f t="shared" si="84"/>
        <v>0</v>
      </c>
      <c r="G221" s="21">
        <f t="shared" si="84"/>
        <v>0</v>
      </c>
      <c r="H221" s="21">
        <f t="shared" si="84"/>
        <v>0</v>
      </c>
      <c r="I221" s="21">
        <f t="shared" si="84"/>
        <v>0</v>
      </c>
      <c r="J221" s="21">
        <f t="shared" si="84"/>
        <v>0</v>
      </c>
      <c r="K221" s="21">
        <f t="shared" si="84"/>
        <v>0</v>
      </c>
      <c r="L221" s="21">
        <f t="shared" si="84"/>
        <v>0</v>
      </c>
      <c r="M221" s="21">
        <f t="shared" si="84"/>
        <v>0</v>
      </c>
      <c r="N221" s="21">
        <f>SUM(B221:M221)</f>
        <v>0</v>
      </c>
      <c r="O221" s="22"/>
    </row>
    <row r="222" spans="1:15" s="20" customFormat="1" ht="6" customHeight="1">
      <c r="B222" s="21"/>
      <c r="O222" s="22"/>
    </row>
    <row r="223" spans="1:15" s="20" customFormat="1">
      <c r="A223" s="26" t="s">
        <v>22</v>
      </c>
      <c r="O223" s="22"/>
    </row>
    <row r="224" spans="1:15" s="29" customFormat="1">
      <c r="A224" s="27" t="s">
        <v>16</v>
      </c>
      <c r="B224" s="28">
        <f>'TSAS Scheduling Revenue (1)'!B224</f>
        <v>0</v>
      </c>
      <c r="C224" s="28">
        <f>'TSAS Scheduling Revenue (1)'!C224</f>
        <v>0</v>
      </c>
      <c r="D224" s="28">
        <f>'TSAS Scheduling Revenue (1)'!D224</f>
        <v>0</v>
      </c>
      <c r="E224" s="28">
        <f>'TSAS Scheduling Revenue (1)'!E224</f>
        <v>0</v>
      </c>
      <c r="F224" s="28">
        <f>'TSAS Scheduling Revenue (1)'!F224</f>
        <v>0</v>
      </c>
      <c r="G224" s="28">
        <f>'TSAS Scheduling Revenue (1)'!G224</f>
        <v>0</v>
      </c>
      <c r="H224" s="28">
        <f>'TSAS Scheduling Revenue (1)'!H224</f>
        <v>0</v>
      </c>
      <c r="I224" s="28">
        <f>'TSAS Scheduling Revenue (1)'!I224</f>
        <v>0</v>
      </c>
      <c r="J224" s="28">
        <f>'TSAS Scheduling Revenue (1)'!J224</f>
        <v>0</v>
      </c>
      <c r="K224" s="28">
        <f>'TSAS Scheduling Revenue (1)'!K224</f>
        <v>0</v>
      </c>
      <c r="L224" s="28">
        <f>'TSAS Scheduling Revenue (1)'!L224</f>
        <v>0</v>
      </c>
      <c r="M224" s="28">
        <f>'TSAS Scheduling Revenue (1)'!M224</f>
        <v>0</v>
      </c>
      <c r="N224" s="28">
        <f>SUM(B224:M224)</f>
        <v>0</v>
      </c>
      <c r="O224" s="22"/>
    </row>
    <row r="225" spans="1:15" s="20" customFormat="1">
      <c r="A225" s="26" t="s">
        <v>20</v>
      </c>
      <c r="B225" s="33">
        <f>'charges (1 &amp; 2)'!F23</f>
        <v>0.1008</v>
      </c>
      <c r="C225" s="33">
        <f t="shared" ref="C225:M225" si="85">+$B$24</f>
        <v>0.1008</v>
      </c>
      <c r="D225" s="33">
        <f t="shared" si="85"/>
        <v>0.1008</v>
      </c>
      <c r="E225" s="33">
        <f t="shared" si="85"/>
        <v>0.1008</v>
      </c>
      <c r="F225" s="33">
        <f t="shared" si="85"/>
        <v>0.1008</v>
      </c>
      <c r="G225" s="33">
        <f t="shared" si="85"/>
        <v>0.1008</v>
      </c>
      <c r="H225" s="33">
        <f t="shared" si="85"/>
        <v>0.1008</v>
      </c>
      <c r="I225" s="33">
        <f t="shared" si="85"/>
        <v>0.1008</v>
      </c>
      <c r="J225" s="33">
        <f t="shared" si="85"/>
        <v>0.1008</v>
      </c>
      <c r="K225" s="33">
        <f t="shared" si="85"/>
        <v>0.1008</v>
      </c>
      <c r="L225" s="33">
        <f t="shared" si="85"/>
        <v>0.1008</v>
      </c>
      <c r="M225" s="33">
        <f t="shared" si="85"/>
        <v>0.1008</v>
      </c>
      <c r="O225" s="22"/>
    </row>
    <row r="226" spans="1:15" s="20" customFormat="1">
      <c r="A226" s="26" t="s">
        <v>17</v>
      </c>
      <c r="B226" s="21">
        <f t="shared" ref="B226:M226" si="86">B224*B225</f>
        <v>0</v>
      </c>
      <c r="C226" s="21">
        <f t="shared" si="86"/>
        <v>0</v>
      </c>
      <c r="D226" s="21">
        <f t="shared" si="86"/>
        <v>0</v>
      </c>
      <c r="E226" s="21">
        <f t="shared" si="86"/>
        <v>0</v>
      </c>
      <c r="F226" s="21">
        <f t="shared" si="86"/>
        <v>0</v>
      </c>
      <c r="G226" s="21">
        <f t="shared" si="86"/>
        <v>0</v>
      </c>
      <c r="H226" s="21">
        <f t="shared" si="86"/>
        <v>0</v>
      </c>
      <c r="I226" s="21">
        <f t="shared" si="86"/>
        <v>0</v>
      </c>
      <c r="J226" s="21">
        <f t="shared" si="86"/>
        <v>0</v>
      </c>
      <c r="K226" s="21">
        <f t="shared" si="86"/>
        <v>0</v>
      </c>
      <c r="L226" s="21">
        <f t="shared" si="86"/>
        <v>0</v>
      </c>
      <c r="M226" s="21">
        <f t="shared" si="86"/>
        <v>0</v>
      </c>
      <c r="N226" s="21">
        <f>SUM(B226:M226)</f>
        <v>0</v>
      </c>
      <c r="O226" s="22"/>
    </row>
    <row r="227" spans="1:15" s="20" customFormat="1" ht="6.75" customHeight="1">
      <c r="B227" s="21"/>
      <c r="O227" s="22"/>
    </row>
    <row r="228" spans="1:15" s="20" customFormat="1" ht="10.199999999999999">
      <c r="A228" s="402" t="s">
        <v>23</v>
      </c>
      <c r="O228" s="29"/>
    </row>
    <row r="229" spans="1:15" s="29" customFormat="1" ht="10.199999999999999">
      <c r="A229" s="27" t="s">
        <v>16</v>
      </c>
      <c r="B229" s="28">
        <f>'TSAS Scheduling Revenue (1)'!B229</f>
        <v>37056</v>
      </c>
      <c r="C229" s="28">
        <f>'TSAS Scheduling Revenue (1)'!C229</f>
        <v>37056</v>
      </c>
      <c r="D229" s="28">
        <f>'TSAS Scheduling Revenue (1)'!D229</f>
        <v>37056</v>
      </c>
      <c r="E229" s="28">
        <f>'TSAS Scheduling Revenue (1)'!E229</f>
        <v>37056</v>
      </c>
      <c r="F229" s="28">
        <f>'TSAS Scheduling Revenue (1)'!F229</f>
        <v>37056</v>
      </c>
      <c r="G229" s="28">
        <f>'TSAS Scheduling Revenue (1)'!G229</f>
        <v>37056</v>
      </c>
      <c r="H229" s="28">
        <f>'TSAS Scheduling Revenue (1)'!H229</f>
        <v>37056</v>
      </c>
      <c r="I229" s="28">
        <f>'TSAS Scheduling Revenue (1)'!I229</f>
        <v>37056</v>
      </c>
      <c r="J229" s="28">
        <f>'TSAS Scheduling Revenue (1)'!J229</f>
        <v>37056</v>
      </c>
      <c r="K229" s="28">
        <f>'TSAS Scheduling Revenue (1)'!K229</f>
        <v>37056</v>
      </c>
      <c r="L229" s="28">
        <f>'TSAS Scheduling Revenue (1)'!L229</f>
        <v>37056</v>
      </c>
      <c r="M229" s="28">
        <f>'TSAS Scheduling Revenue (1)'!M229</f>
        <v>37056</v>
      </c>
      <c r="N229" s="28">
        <f>SUM(B229:M229)</f>
        <v>444672</v>
      </c>
    </row>
    <row r="230" spans="1:15" s="20" customFormat="1" ht="10.199999999999999">
      <c r="A230" s="26" t="s">
        <v>20</v>
      </c>
      <c r="B230" s="33">
        <f>'charges (1 &amp; 2)'!F14</f>
        <v>7.0000000000000007E-2</v>
      </c>
      <c r="C230" s="33">
        <f t="shared" ref="C230:M230" si="87">+$B$29</f>
        <v>7.0000000000000007E-2</v>
      </c>
      <c r="D230" s="33">
        <f t="shared" si="87"/>
        <v>7.0000000000000007E-2</v>
      </c>
      <c r="E230" s="33">
        <f t="shared" si="87"/>
        <v>7.0000000000000007E-2</v>
      </c>
      <c r="F230" s="33">
        <f t="shared" si="87"/>
        <v>7.0000000000000007E-2</v>
      </c>
      <c r="G230" s="33">
        <f t="shared" si="87"/>
        <v>7.0000000000000007E-2</v>
      </c>
      <c r="H230" s="33">
        <f t="shared" si="87"/>
        <v>7.0000000000000007E-2</v>
      </c>
      <c r="I230" s="33">
        <f t="shared" si="87"/>
        <v>7.0000000000000007E-2</v>
      </c>
      <c r="J230" s="33">
        <f t="shared" si="87"/>
        <v>7.0000000000000007E-2</v>
      </c>
      <c r="K230" s="33">
        <f t="shared" si="87"/>
        <v>7.0000000000000007E-2</v>
      </c>
      <c r="L230" s="33">
        <f t="shared" si="87"/>
        <v>7.0000000000000007E-2</v>
      </c>
      <c r="M230" s="33">
        <f t="shared" si="87"/>
        <v>7.0000000000000007E-2</v>
      </c>
    </row>
    <row r="231" spans="1:15" s="20" customFormat="1" ht="10.199999999999999">
      <c r="A231" s="26" t="s">
        <v>17</v>
      </c>
      <c r="B231" s="21">
        <f t="shared" ref="B231:M231" si="88">B229*B230</f>
        <v>2593.92</v>
      </c>
      <c r="C231" s="21">
        <f t="shared" si="88"/>
        <v>2593.92</v>
      </c>
      <c r="D231" s="21">
        <f t="shared" si="88"/>
        <v>2593.92</v>
      </c>
      <c r="E231" s="21">
        <f t="shared" si="88"/>
        <v>2593.92</v>
      </c>
      <c r="F231" s="21">
        <f t="shared" si="88"/>
        <v>2593.92</v>
      </c>
      <c r="G231" s="21">
        <f t="shared" si="88"/>
        <v>2593.92</v>
      </c>
      <c r="H231" s="21">
        <f t="shared" si="88"/>
        <v>2593.92</v>
      </c>
      <c r="I231" s="21">
        <f t="shared" si="88"/>
        <v>2593.92</v>
      </c>
      <c r="J231" s="21">
        <f t="shared" si="88"/>
        <v>2593.92</v>
      </c>
      <c r="K231" s="21">
        <f t="shared" si="88"/>
        <v>2593.92</v>
      </c>
      <c r="L231" s="21">
        <f t="shared" si="88"/>
        <v>2593.92</v>
      </c>
      <c r="M231" s="21">
        <f t="shared" si="88"/>
        <v>2593.92</v>
      </c>
      <c r="N231" s="21">
        <f>SUM(B231:M231)</f>
        <v>31127.039999999994</v>
      </c>
    </row>
    <row r="232" spans="1:15" s="20" customFormat="1" ht="6.75" customHeight="1">
      <c r="B232" s="21"/>
    </row>
    <row r="233" spans="1:15" s="20" customFormat="1" ht="10.199999999999999">
      <c r="A233" s="402" t="s">
        <v>24</v>
      </c>
    </row>
    <row r="234" spans="1:15" s="29" customFormat="1" ht="10.199999999999999">
      <c r="A234" s="27" t="s">
        <v>16</v>
      </c>
      <c r="B234" s="28">
        <f>'TSAS Scheduling Revenue (1)'!B234</f>
        <v>62000</v>
      </c>
      <c r="C234" s="28">
        <f>'TSAS Scheduling Revenue (1)'!C234</f>
        <v>62000</v>
      </c>
      <c r="D234" s="28">
        <f>'TSAS Scheduling Revenue (1)'!D234</f>
        <v>62000</v>
      </c>
      <c r="E234" s="28">
        <f>'TSAS Scheduling Revenue (1)'!E234</f>
        <v>62000</v>
      </c>
      <c r="F234" s="28">
        <f>'TSAS Scheduling Revenue (1)'!F234</f>
        <v>62000</v>
      </c>
      <c r="G234" s="28">
        <f>'TSAS Scheduling Revenue (1)'!G234</f>
        <v>62000</v>
      </c>
      <c r="H234" s="28">
        <f>'TSAS Scheduling Revenue (1)'!H234</f>
        <v>62000</v>
      </c>
      <c r="I234" s="28">
        <f>'TSAS Scheduling Revenue (1)'!I234</f>
        <v>62000</v>
      </c>
      <c r="J234" s="28">
        <f>'TSAS Scheduling Revenue (1)'!J234</f>
        <v>62000</v>
      </c>
      <c r="K234" s="28">
        <f>'TSAS Scheduling Revenue (1)'!K234</f>
        <v>62000</v>
      </c>
      <c r="L234" s="28">
        <f>'TSAS Scheduling Revenue (1)'!L234</f>
        <v>62000</v>
      </c>
      <c r="M234" s="28">
        <f>'TSAS Scheduling Revenue (1)'!M234</f>
        <v>62000</v>
      </c>
      <c r="N234" s="28">
        <f>SUM(B234:M234)</f>
        <v>744000</v>
      </c>
    </row>
    <row r="235" spans="1:15" s="20" customFormat="1" ht="10.199999999999999">
      <c r="A235" s="26" t="s">
        <v>20</v>
      </c>
      <c r="B235" s="33">
        <f>'charges (1 &amp; 2)'!F17</f>
        <v>0.1008</v>
      </c>
      <c r="C235" s="33">
        <f t="shared" ref="C235:M235" si="89">+$B$34</f>
        <v>0.1008</v>
      </c>
      <c r="D235" s="33">
        <f t="shared" si="89"/>
        <v>0.1008</v>
      </c>
      <c r="E235" s="33">
        <f t="shared" si="89"/>
        <v>0.1008</v>
      </c>
      <c r="F235" s="33">
        <f t="shared" si="89"/>
        <v>0.1008</v>
      </c>
      <c r="G235" s="33">
        <f t="shared" si="89"/>
        <v>0.1008</v>
      </c>
      <c r="H235" s="33">
        <f t="shared" si="89"/>
        <v>0.1008</v>
      </c>
      <c r="I235" s="33">
        <f t="shared" si="89"/>
        <v>0.1008</v>
      </c>
      <c r="J235" s="33">
        <f t="shared" si="89"/>
        <v>0.1008</v>
      </c>
      <c r="K235" s="33">
        <f t="shared" si="89"/>
        <v>0.1008</v>
      </c>
      <c r="L235" s="33">
        <f t="shared" si="89"/>
        <v>0.1008</v>
      </c>
      <c r="M235" s="33">
        <f t="shared" si="89"/>
        <v>0.1008</v>
      </c>
    </row>
    <row r="236" spans="1:15" s="20" customFormat="1" ht="10.199999999999999">
      <c r="A236" s="26" t="s">
        <v>17</v>
      </c>
      <c r="B236" s="21">
        <f t="shared" ref="B236:M236" si="90">B234*B235</f>
        <v>6249.6</v>
      </c>
      <c r="C236" s="21">
        <f t="shared" si="90"/>
        <v>6249.6</v>
      </c>
      <c r="D236" s="21">
        <f t="shared" si="90"/>
        <v>6249.6</v>
      </c>
      <c r="E236" s="21">
        <f t="shared" si="90"/>
        <v>6249.6</v>
      </c>
      <c r="F236" s="21">
        <f t="shared" si="90"/>
        <v>6249.6</v>
      </c>
      <c r="G236" s="21">
        <f t="shared" si="90"/>
        <v>6249.6</v>
      </c>
      <c r="H236" s="21">
        <f t="shared" si="90"/>
        <v>6249.6</v>
      </c>
      <c r="I236" s="21">
        <f t="shared" si="90"/>
        <v>6249.6</v>
      </c>
      <c r="J236" s="21">
        <f t="shared" si="90"/>
        <v>6249.6</v>
      </c>
      <c r="K236" s="21">
        <f t="shared" si="90"/>
        <v>6249.6</v>
      </c>
      <c r="L236" s="21">
        <f t="shared" si="90"/>
        <v>6249.6</v>
      </c>
      <c r="M236" s="21">
        <f t="shared" si="90"/>
        <v>6249.6</v>
      </c>
      <c r="N236" s="21">
        <f>SUM(B236:M236)</f>
        <v>74995.199999999997</v>
      </c>
    </row>
    <row r="237" spans="1:15" s="20" customFormat="1" ht="6" customHeight="1">
      <c r="A237" s="26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5" s="20" customFormat="1" ht="10.199999999999999">
      <c r="A238" s="402" t="s">
        <v>116</v>
      </c>
    </row>
    <row r="239" spans="1:15" s="20" customFormat="1" ht="10.199999999999999">
      <c r="A239" s="27" t="s">
        <v>16</v>
      </c>
      <c r="B239" s="28">
        <f>'TSAS Scheduling Revenue (1)'!B239</f>
        <v>40000</v>
      </c>
      <c r="C239" s="28">
        <f>'TSAS Scheduling Revenue (1)'!C239</f>
        <v>40000</v>
      </c>
      <c r="D239" s="28">
        <f>'TSAS Scheduling Revenue (1)'!D239</f>
        <v>40000</v>
      </c>
      <c r="E239" s="28">
        <f>'TSAS Scheduling Revenue (1)'!E239</f>
        <v>40000</v>
      </c>
      <c r="F239" s="28">
        <f>'TSAS Scheduling Revenue (1)'!F239</f>
        <v>40000</v>
      </c>
      <c r="G239" s="28">
        <f>'TSAS Scheduling Revenue (1)'!G239</f>
        <v>40000</v>
      </c>
      <c r="H239" s="28">
        <f>'TSAS Scheduling Revenue (1)'!H239</f>
        <v>40000</v>
      </c>
      <c r="I239" s="28">
        <f>'TSAS Scheduling Revenue (1)'!I239</f>
        <v>40000</v>
      </c>
      <c r="J239" s="28">
        <f>'TSAS Scheduling Revenue (1)'!J239</f>
        <v>40000</v>
      </c>
      <c r="K239" s="28">
        <f>'TSAS Scheduling Revenue (1)'!K239</f>
        <v>40000</v>
      </c>
      <c r="L239" s="28">
        <f>'TSAS Scheduling Revenue (1)'!L239</f>
        <v>40000</v>
      </c>
      <c r="M239" s="28">
        <f>'TSAS Scheduling Revenue (1)'!M239</f>
        <v>40000</v>
      </c>
      <c r="N239" s="28">
        <f>SUM(B239:M239)</f>
        <v>480000</v>
      </c>
    </row>
    <row r="240" spans="1:15" s="20" customFormat="1" ht="10.199999999999999">
      <c r="A240" s="26" t="s">
        <v>20</v>
      </c>
      <c r="B240" s="33">
        <f t="shared" ref="B240:M240" si="91">+$B$34</f>
        <v>0.1008</v>
      </c>
      <c r="C240" s="33">
        <f t="shared" si="91"/>
        <v>0.1008</v>
      </c>
      <c r="D240" s="33">
        <f t="shared" si="91"/>
        <v>0.1008</v>
      </c>
      <c r="E240" s="33">
        <f t="shared" si="91"/>
        <v>0.1008</v>
      </c>
      <c r="F240" s="33">
        <f t="shared" si="91"/>
        <v>0.1008</v>
      </c>
      <c r="G240" s="33">
        <f t="shared" si="91"/>
        <v>0.1008</v>
      </c>
      <c r="H240" s="33">
        <f t="shared" si="91"/>
        <v>0.1008</v>
      </c>
      <c r="I240" s="33">
        <f t="shared" si="91"/>
        <v>0.1008</v>
      </c>
      <c r="J240" s="33">
        <f t="shared" si="91"/>
        <v>0.1008</v>
      </c>
      <c r="K240" s="33">
        <f t="shared" si="91"/>
        <v>0.1008</v>
      </c>
      <c r="L240" s="33">
        <f t="shared" si="91"/>
        <v>0.1008</v>
      </c>
      <c r="M240" s="33">
        <f t="shared" si="91"/>
        <v>0.1008</v>
      </c>
    </row>
    <row r="241" spans="1:14" s="20" customFormat="1" ht="10.199999999999999">
      <c r="A241" s="26" t="s">
        <v>17</v>
      </c>
      <c r="B241" s="21">
        <f t="shared" ref="B241:M241" si="92">B239*B240</f>
        <v>4032</v>
      </c>
      <c r="C241" s="21">
        <f t="shared" si="92"/>
        <v>4032</v>
      </c>
      <c r="D241" s="21">
        <f t="shared" si="92"/>
        <v>4032</v>
      </c>
      <c r="E241" s="21">
        <f t="shared" si="92"/>
        <v>4032</v>
      </c>
      <c r="F241" s="21">
        <f t="shared" si="92"/>
        <v>4032</v>
      </c>
      <c r="G241" s="21">
        <f t="shared" si="92"/>
        <v>4032</v>
      </c>
      <c r="H241" s="21">
        <f t="shared" si="92"/>
        <v>4032</v>
      </c>
      <c r="I241" s="21">
        <f t="shared" si="92"/>
        <v>4032</v>
      </c>
      <c r="J241" s="21">
        <f t="shared" si="92"/>
        <v>4032</v>
      </c>
      <c r="K241" s="21">
        <f t="shared" si="92"/>
        <v>4032</v>
      </c>
      <c r="L241" s="21">
        <f t="shared" si="92"/>
        <v>4032</v>
      </c>
      <c r="M241" s="21">
        <f t="shared" si="92"/>
        <v>4032</v>
      </c>
      <c r="N241" s="21">
        <f>SUM(B241:M241)</f>
        <v>48384</v>
      </c>
    </row>
    <row r="242" spans="1:14" s="20" customFormat="1" ht="7.5" customHeight="1">
      <c r="A242" s="26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4" s="20" customFormat="1" ht="10.199999999999999">
      <c r="A243" s="402" t="s">
        <v>237</v>
      </c>
    </row>
    <row r="244" spans="1:14" s="20" customFormat="1" ht="10.199999999999999">
      <c r="A244" s="27" t="s">
        <v>16</v>
      </c>
      <c r="B244" s="28">
        <f>'TSAS Scheduling Revenue (1)'!B244</f>
        <v>3000</v>
      </c>
      <c r="C244" s="28">
        <f>'TSAS Scheduling Revenue (1)'!C244</f>
        <v>3000</v>
      </c>
      <c r="D244" s="28">
        <f>'TSAS Scheduling Revenue (1)'!D244</f>
        <v>3000</v>
      </c>
      <c r="E244" s="28">
        <f>'TSAS Scheduling Revenue (1)'!E244</f>
        <v>3000</v>
      </c>
      <c r="F244" s="28">
        <f>'TSAS Scheduling Revenue (1)'!F244</f>
        <v>3000</v>
      </c>
      <c r="G244" s="28">
        <f>'TSAS Scheduling Revenue (1)'!G244</f>
        <v>3000</v>
      </c>
      <c r="H244" s="28">
        <f>'TSAS Scheduling Revenue (1)'!H244</f>
        <v>3000</v>
      </c>
      <c r="I244" s="28">
        <f>'TSAS Scheduling Revenue (1)'!I244</f>
        <v>3000</v>
      </c>
      <c r="J244" s="28">
        <f>'TSAS Scheduling Revenue (1)'!J244</f>
        <v>3000</v>
      </c>
      <c r="K244" s="28">
        <f>'TSAS Scheduling Revenue (1)'!K244</f>
        <v>3000</v>
      </c>
      <c r="L244" s="28">
        <f>'TSAS Scheduling Revenue (1)'!L244</f>
        <v>3000</v>
      </c>
      <c r="M244" s="28">
        <f>'TSAS Scheduling Revenue (1)'!M244</f>
        <v>3000</v>
      </c>
      <c r="N244" s="28">
        <f>SUM(B244:M244)</f>
        <v>36000</v>
      </c>
    </row>
    <row r="245" spans="1:14" s="20" customFormat="1" ht="10.199999999999999">
      <c r="A245" s="26" t="s">
        <v>20</v>
      </c>
      <c r="B245" s="33">
        <f t="shared" ref="B245:M245" si="93">+$B$34</f>
        <v>0.1008</v>
      </c>
      <c r="C245" s="33">
        <f t="shared" si="93"/>
        <v>0.1008</v>
      </c>
      <c r="D245" s="33">
        <f t="shared" si="93"/>
        <v>0.1008</v>
      </c>
      <c r="E245" s="33">
        <f t="shared" si="93"/>
        <v>0.1008</v>
      </c>
      <c r="F245" s="33">
        <f t="shared" si="93"/>
        <v>0.1008</v>
      </c>
      <c r="G245" s="33">
        <f t="shared" si="93"/>
        <v>0.1008</v>
      </c>
      <c r="H245" s="33">
        <f t="shared" si="93"/>
        <v>0.1008</v>
      </c>
      <c r="I245" s="33">
        <f t="shared" si="93"/>
        <v>0.1008</v>
      </c>
      <c r="J245" s="33">
        <f t="shared" si="93"/>
        <v>0.1008</v>
      </c>
      <c r="K245" s="33">
        <f t="shared" si="93"/>
        <v>0.1008</v>
      </c>
      <c r="L245" s="33">
        <f t="shared" si="93"/>
        <v>0.1008</v>
      </c>
      <c r="M245" s="33">
        <f t="shared" si="93"/>
        <v>0.1008</v>
      </c>
    </row>
    <row r="246" spans="1:14" s="20" customFormat="1" ht="10.199999999999999">
      <c r="A246" s="26" t="s">
        <v>17</v>
      </c>
      <c r="B246" s="21">
        <f t="shared" ref="B246:M246" si="94">B244*B245</f>
        <v>302.39999999999998</v>
      </c>
      <c r="C246" s="21">
        <f t="shared" si="94"/>
        <v>302.39999999999998</v>
      </c>
      <c r="D246" s="21">
        <f t="shared" si="94"/>
        <v>302.39999999999998</v>
      </c>
      <c r="E246" s="21">
        <f t="shared" si="94"/>
        <v>302.39999999999998</v>
      </c>
      <c r="F246" s="21">
        <f t="shared" si="94"/>
        <v>302.39999999999998</v>
      </c>
      <c r="G246" s="21">
        <f t="shared" si="94"/>
        <v>302.39999999999998</v>
      </c>
      <c r="H246" s="21">
        <f t="shared" si="94"/>
        <v>302.39999999999998</v>
      </c>
      <c r="I246" s="21">
        <f t="shared" si="94"/>
        <v>302.39999999999998</v>
      </c>
      <c r="J246" s="21">
        <f t="shared" si="94"/>
        <v>302.39999999999998</v>
      </c>
      <c r="K246" s="21">
        <f t="shared" si="94"/>
        <v>302.39999999999998</v>
      </c>
      <c r="L246" s="21">
        <f t="shared" si="94"/>
        <v>302.39999999999998</v>
      </c>
      <c r="M246" s="21">
        <f t="shared" si="94"/>
        <v>302.39999999999998</v>
      </c>
      <c r="N246" s="21">
        <f>SUM(B246:M246)</f>
        <v>3628.8000000000006</v>
      </c>
    </row>
    <row r="247" spans="1:14" s="20" customFormat="1" ht="6.75" customHeight="1">
      <c r="A247" s="26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>
      <c r="A248" s="402" t="s">
        <v>179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>
      <c r="A249" s="27" t="s">
        <v>16</v>
      </c>
      <c r="B249" s="28">
        <f>'TSAS Scheduling Revenue (1)'!B249</f>
        <v>0</v>
      </c>
      <c r="C249" s="28">
        <f>'TSAS Scheduling Revenue (1)'!C249</f>
        <v>0</v>
      </c>
      <c r="D249" s="28">
        <f>'TSAS Scheduling Revenue (1)'!D249</f>
        <v>0</v>
      </c>
      <c r="E249" s="28">
        <f>'TSAS Scheduling Revenue (1)'!E249</f>
        <v>0</v>
      </c>
      <c r="F249" s="28">
        <f>'TSAS Scheduling Revenue (1)'!F249</f>
        <v>0</v>
      </c>
      <c r="G249" s="28">
        <f>'TSAS Scheduling Revenue (1)'!G249</f>
        <v>0</v>
      </c>
      <c r="H249" s="28">
        <f>'TSAS Scheduling Revenue (1)'!H249</f>
        <v>0</v>
      </c>
      <c r="I249" s="28">
        <f>'TSAS Scheduling Revenue (1)'!I249</f>
        <v>0</v>
      </c>
      <c r="J249" s="28">
        <f>'TSAS Scheduling Revenue (1)'!J249</f>
        <v>0</v>
      </c>
      <c r="K249" s="28">
        <f>'TSAS Scheduling Revenue (1)'!K249</f>
        <v>0</v>
      </c>
      <c r="L249" s="28">
        <f>'TSAS Scheduling Revenue (1)'!L249</f>
        <v>0</v>
      </c>
      <c r="M249" s="28">
        <f>'TSAS Scheduling Revenue (1)'!M249</f>
        <v>0</v>
      </c>
      <c r="N249" s="28">
        <f>SUM(B249:M249)</f>
        <v>0</v>
      </c>
    </row>
    <row r="250" spans="1:14">
      <c r="A250" s="26" t="s">
        <v>20</v>
      </c>
      <c r="B250" s="272">
        <f>B240</f>
        <v>0.1008</v>
      </c>
      <c r="C250" s="272">
        <f t="shared" ref="C250:M250" si="95">C240</f>
        <v>0.1008</v>
      </c>
      <c r="D250" s="272">
        <f t="shared" si="95"/>
        <v>0.1008</v>
      </c>
      <c r="E250" s="272">
        <f t="shared" si="95"/>
        <v>0.1008</v>
      </c>
      <c r="F250" s="272">
        <f t="shared" si="95"/>
        <v>0.1008</v>
      </c>
      <c r="G250" s="272">
        <f t="shared" si="95"/>
        <v>0.1008</v>
      </c>
      <c r="H250" s="272">
        <f t="shared" si="95"/>
        <v>0.1008</v>
      </c>
      <c r="I250" s="272">
        <f t="shared" si="95"/>
        <v>0.1008</v>
      </c>
      <c r="J250" s="272">
        <f t="shared" si="95"/>
        <v>0.1008</v>
      </c>
      <c r="K250" s="272">
        <f t="shared" si="95"/>
        <v>0.1008</v>
      </c>
      <c r="L250" s="272">
        <f t="shared" si="95"/>
        <v>0.1008</v>
      </c>
      <c r="M250" s="272">
        <f t="shared" si="95"/>
        <v>0.1008</v>
      </c>
      <c r="N250" s="20"/>
    </row>
    <row r="251" spans="1:14">
      <c r="A251" s="26" t="s">
        <v>17</v>
      </c>
      <c r="B251" s="21">
        <f t="shared" ref="B251:M251" si="96">B249*B250</f>
        <v>0</v>
      </c>
      <c r="C251" s="21">
        <f t="shared" si="96"/>
        <v>0</v>
      </c>
      <c r="D251" s="21">
        <f t="shared" si="96"/>
        <v>0</v>
      </c>
      <c r="E251" s="21">
        <f t="shared" si="96"/>
        <v>0</v>
      </c>
      <c r="F251" s="21">
        <f t="shared" si="96"/>
        <v>0</v>
      </c>
      <c r="G251" s="21">
        <f t="shared" si="96"/>
        <v>0</v>
      </c>
      <c r="H251" s="21">
        <f t="shared" si="96"/>
        <v>0</v>
      </c>
      <c r="I251" s="21">
        <f t="shared" si="96"/>
        <v>0</v>
      </c>
      <c r="J251" s="21">
        <f t="shared" si="96"/>
        <v>0</v>
      </c>
      <c r="K251" s="21">
        <f t="shared" si="96"/>
        <v>0</v>
      </c>
      <c r="L251" s="21">
        <f t="shared" si="96"/>
        <v>0</v>
      </c>
      <c r="M251" s="21">
        <f t="shared" si="96"/>
        <v>0</v>
      </c>
      <c r="N251" s="21">
        <f>SUM(B251:M251)</f>
        <v>0</v>
      </c>
    </row>
    <row r="252" spans="1:14">
      <c r="A252" s="26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</row>
    <row r="253" spans="1:14">
      <c r="A253" s="402" t="s">
        <v>117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>
      <c r="A254" s="27" t="s">
        <v>16</v>
      </c>
      <c r="B254" s="28">
        <f>'TSAS Scheduling Revenue (1)'!B254</f>
        <v>150000</v>
      </c>
      <c r="C254" s="28">
        <f>'TSAS Scheduling Revenue (1)'!C254</f>
        <v>150000</v>
      </c>
      <c r="D254" s="28">
        <f>'TSAS Scheduling Revenue (1)'!D254</f>
        <v>150000</v>
      </c>
      <c r="E254" s="28">
        <f>'TSAS Scheduling Revenue (1)'!E254</f>
        <v>150000</v>
      </c>
      <c r="F254" s="28">
        <f>'TSAS Scheduling Revenue (1)'!F254</f>
        <v>150000</v>
      </c>
      <c r="G254" s="28">
        <f>'TSAS Scheduling Revenue (1)'!G254</f>
        <v>150000</v>
      </c>
      <c r="H254" s="28">
        <f>'TSAS Scheduling Revenue (1)'!H254</f>
        <v>150000</v>
      </c>
      <c r="I254" s="28">
        <f>'TSAS Scheduling Revenue (1)'!I254</f>
        <v>150000</v>
      </c>
      <c r="J254" s="28">
        <f>'TSAS Scheduling Revenue (1)'!J254</f>
        <v>150000</v>
      </c>
      <c r="K254" s="28">
        <f>'TSAS Scheduling Revenue (1)'!K254</f>
        <v>150000</v>
      </c>
      <c r="L254" s="28">
        <f>'TSAS Scheduling Revenue (1)'!L254</f>
        <v>150000</v>
      </c>
      <c r="M254" s="28">
        <f>'TSAS Scheduling Revenue (1)'!M254</f>
        <v>150000</v>
      </c>
      <c r="N254" s="28">
        <f>SUM(B254:M254)</f>
        <v>1800000</v>
      </c>
    </row>
    <row r="255" spans="1:14">
      <c r="A255" s="26" t="s">
        <v>20</v>
      </c>
      <c r="B255" s="272">
        <f>B250</f>
        <v>0.1008</v>
      </c>
      <c r="C255" s="272">
        <f t="shared" ref="C255:M255" si="97">C250</f>
        <v>0.1008</v>
      </c>
      <c r="D255" s="272">
        <f t="shared" si="97"/>
        <v>0.1008</v>
      </c>
      <c r="E255" s="272">
        <f t="shared" si="97"/>
        <v>0.1008</v>
      </c>
      <c r="F255" s="272">
        <f t="shared" si="97"/>
        <v>0.1008</v>
      </c>
      <c r="G255" s="272">
        <f t="shared" si="97"/>
        <v>0.1008</v>
      </c>
      <c r="H255" s="272">
        <f t="shared" si="97"/>
        <v>0.1008</v>
      </c>
      <c r="I255" s="272">
        <f t="shared" si="97"/>
        <v>0.1008</v>
      </c>
      <c r="J255" s="272">
        <f t="shared" si="97"/>
        <v>0.1008</v>
      </c>
      <c r="K255" s="272">
        <f t="shared" si="97"/>
        <v>0.1008</v>
      </c>
      <c r="L255" s="272">
        <f t="shared" si="97"/>
        <v>0.1008</v>
      </c>
      <c r="M255" s="272">
        <f t="shared" si="97"/>
        <v>0.1008</v>
      </c>
      <c r="N255" s="20"/>
    </row>
    <row r="256" spans="1:14">
      <c r="A256" s="26" t="s">
        <v>17</v>
      </c>
      <c r="B256" s="21">
        <f t="shared" ref="B256:M256" si="98">B254*B255</f>
        <v>15120</v>
      </c>
      <c r="C256" s="21">
        <f t="shared" si="98"/>
        <v>15120</v>
      </c>
      <c r="D256" s="21">
        <f t="shared" si="98"/>
        <v>15120</v>
      </c>
      <c r="E256" s="21">
        <f t="shared" si="98"/>
        <v>15120</v>
      </c>
      <c r="F256" s="21">
        <f t="shared" si="98"/>
        <v>15120</v>
      </c>
      <c r="G256" s="21">
        <f t="shared" si="98"/>
        <v>15120</v>
      </c>
      <c r="H256" s="21">
        <f t="shared" si="98"/>
        <v>15120</v>
      </c>
      <c r="I256" s="21">
        <f t="shared" si="98"/>
        <v>15120</v>
      </c>
      <c r="J256" s="21">
        <f t="shared" si="98"/>
        <v>15120</v>
      </c>
      <c r="K256" s="21">
        <f t="shared" si="98"/>
        <v>15120</v>
      </c>
      <c r="L256" s="21">
        <f t="shared" si="98"/>
        <v>15120</v>
      </c>
      <c r="M256" s="21">
        <f t="shared" si="98"/>
        <v>15120</v>
      </c>
      <c r="N256" s="21">
        <f>SUM(B256:M256)</f>
        <v>181440</v>
      </c>
    </row>
    <row r="257" spans="1:14">
      <c r="A257" s="26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s="20" customFormat="1" ht="10.199999999999999">
      <c r="A258" s="402" t="s">
        <v>44</v>
      </c>
    </row>
    <row r="259" spans="1:14" s="20" customFormat="1" ht="10.199999999999999">
      <c r="A259" s="27" t="s">
        <v>16</v>
      </c>
      <c r="B259" s="28">
        <f>'TSAS Scheduling Revenue (1)'!B259</f>
        <v>0</v>
      </c>
      <c r="C259" s="28">
        <f>'TSAS Scheduling Revenue (1)'!C259</f>
        <v>0</v>
      </c>
      <c r="D259" s="28">
        <f>'TSAS Scheduling Revenue (1)'!D259</f>
        <v>0</v>
      </c>
      <c r="E259" s="28">
        <f>'TSAS Scheduling Revenue (1)'!E259</f>
        <v>0</v>
      </c>
      <c r="F259" s="28">
        <f>'TSAS Scheduling Revenue (1)'!F259</f>
        <v>0</v>
      </c>
      <c r="G259" s="28">
        <f>'TSAS Scheduling Revenue (1)'!G259</f>
        <v>0</v>
      </c>
      <c r="H259" s="28">
        <f>'TSAS Scheduling Revenue (1)'!H259</f>
        <v>0</v>
      </c>
      <c r="I259" s="28">
        <f>'TSAS Scheduling Revenue (1)'!I259</f>
        <v>0</v>
      </c>
      <c r="J259" s="28">
        <f>'TSAS Scheduling Revenue (1)'!J259</f>
        <v>0</v>
      </c>
      <c r="K259" s="28">
        <f>'TSAS Scheduling Revenue (1)'!K259</f>
        <v>0</v>
      </c>
      <c r="L259" s="28">
        <f>'TSAS Scheduling Revenue (1)'!L259</f>
        <v>0</v>
      </c>
      <c r="M259" s="28">
        <f>'TSAS Scheduling Revenue (1)'!M259</f>
        <v>0</v>
      </c>
      <c r="N259" s="28">
        <f>SUM(B259:M259)</f>
        <v>0</v>
      </c>
    </row>
    <row r="260" spans="1:14" s="20" customFormat="1" ht="10.199999999999999">
      <c r="A260" s="26" t="s">
        <v>20</v>
      </c>
      <c r="B260" s="33">
        <f t="shared" ref="B260:M260" si="99">+$B$34</f>
        <v>0.1008</v>
      </c>
      <c r="C260" s="33">
        <f t="shared" si="99"/>
        <v>0.1008</v>
      </c>
      <c r="D260" s="33">
        <f t="shared" si="99"/>
        <v>0.1008</v>
      </c>
      <c r="E260" s="33">
        <f t="shared" si="99"/>
        <v>0.1008</v>
      </c>
      <c r="F260" s="33">
        <f t="shared" si="99"/>
        <v>0.1008</v>
      </c>
      <c r="G260" s="33">
        <f t="shared" si="99"/>
        <v>0.1008</v>
      </c>
      <c r="H260" s="33">
        <f t="shared" si="99"/>
        <v>0.1008</v>
      </c>
      <c r="I260" s="33">
        <f t="shared" si="99"/>
        <v>0.1008</v>
      </c>
      <c r="J260" s="33">
        <f t="shared" si="99"/>
        <v>0.1008</v>
      </c>
      <c r="K260" s="33">
        <f t="shared" si="99"/>
        <v>0.1008</v>
      </c>
      <c r="L260" s="33">
        <f t="shared" si="99"/>
        <v>0.1008</v>
      </c>
      <c r="M260" s="33">
        <f t="shared" si="99"/>
        <v>0.1008</v>
      </c>
    </row>
    <row r="261" spans="1:14" s="20" customFormat="1" ht="10.199999999999999">
      <c r="A261" s="26" t="s">
        <v>17</v>
      </c>
      <c r="B261" s="21">
        <f t="shared" ref="B261:M261" si="100">B259*B260</f>
        <v>0</v>
      </c>
      <c r="C261" s="21">
        <f t="shared" si="100"/>
        <v>0</v>
      </c>
      <c r="D261" s="21">
        <f t="shared" si="100"/>
        <v>0</v>
      </c>
      <c r="E261" s="21">
        <f t="shared" si="100"/>
        <v>0</v>
      </c>
      <c r="F261" s="21">
        <f t="shared" si="100"/>
        <v>0</v>
      </c>
      <c r="G261" s="21">
        <f t="shared" si="100"/>
        <v>0</v>
      </c>
      <c r="H261" s="21">
        <f t="shared" si="100"/>
        <v>0</v>
      </c>
      <c r="I261" s="21">
        <f t="shared" si="100"/>
        <v>0</v>
      </c>
      <c r="J261" s="21">
        <f t="shared" si="100"/>
        <v>0</v>
      </c>
      <c r="K261" s="21">
        <f t="shared" si="100"/>
        <v>0</v>
      </c>
      <c r="L261" s="21">
        <f t="shared" si="100"/>
        <v>0</v>
      </c>
      <c r="M261" s="21">
        <f t="shared" si="100"/>
        <v>0</v>
      </c>
      <c r="N261" s="21">
        <f>SUM(B261:M261)</f>
        <v>0</v>
      </c>
    </row>
    <row r="262" spans="1:14" s="20" customFormat="1" ht="10.199999999999999">
      <c r="A262" s="26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 s="20" customFormat="1" ht="10.199999999999999">
      <c r="A263" s="26" t="s">
        <v>171</v>
      </c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</row>
    <row r="264" spans="1:14" s="20" customFormat="1" ht="10.199999999999999">
      <c r="A264" s="27" t="s">
        <v>16</v>
      </c>
      <c r="B264" s="21">
        <f>'TSAS Scheduling Revenue (1)'!B264</f>
        <v>0</v>
      </c>
      <c r="C264" s="21">
        <f>'TSAS Scheduling Revenue (1)'!C264</f>
        <v>0</v>
      </c>
      <c r="D264" s="21">
        <f>'TSAS Scheduling Revenue (1)'!D264</f>
        <v>0</v>
      </c>
      <c r="E264" s="21">
        <f>'TSAS Scheduling Revenue (1)'!E264</f>
        <v>0</v>
      </c>
      <c r="F264" s="21">
        <f>'TSAS Scheduling Revenue (1)'!F264</f>
        <v>0</v>
      </c>
      <c r="G264" s="21">
        <f>'TSAS Scheduling Revenue (1)'!G264</f>
        <v>0</v>
      </c>
      <c r="H264" s="21">
        <f>'TSAS Scheduling Revenue (1)'!H264</f>
        <v>0</v>
      </c>
      <c r="I264" s="21">
        <f>'TSAS Scheduling Revenue (1)'!I264</f>
        <v>0</v>
      </c>
      <c r="J264" s="21">
        <f>'TSAS Scheduling Revenue (1)'!J264</f>
        <v>0</v>
      </c>
      <c r="K264" s="21">
        <f>'TSAS Scheduling Revenue (1)'!K264</f>
        <v>0</v>
      </c>
      <c r="L264" s="21">
        <f>'TSAS Scheduling Revenue (1)'!L264</f>
        <v>0</v>
      </c>
      <c r="M264" s="21">
        <f>'TSAS Scheduling Revenue (1)'!M264</f>
        <v>0</v>
      </c>
      <c r="N264" s="28">
        <f>SUM(B264:M264)</f>
        <v>0</v>
      </c>
    </row>
    <row r="265" spans="1:14" s="20" customFormat="1" ht="10.199999999999999">
      <c r="A265" s="26" t="s">
        <v>20</v>
      </c>
      <c r="B265" s="33">
        <f>B260</f>
        <v>0.1008</v>
      </c>
      <c r="C265" s="33">
        <f t="shared" ref="C265:M265" si="101">C260</f>
        <v>0.1008</v>
      </c>
      <c r="D265" s="33">
        <f t="shared" si="101"/>
        <v>0.1008</v>
      </c>
      <c r="E265" s="33">
        <f t="shared" si="101"/>
        <v>0.1008</v>
      </c>
      <c r="F265" s="33">
        <f t="shared" si="101"/>
        <v>0.1008</v>
      </c>
      <c r="G265" s="33">
        <f t="shared" si="101"/>
        <v>0.1008</v>
      </c>
      <c r="H265" s="33">
        <f t="shared" si="101"/>
        <v>0.1008</v>
      </c>
      <c r="I265" s="33">
        <f t="shared" si="101"/>
        <v>0.1008</v>
      </c>
      <c r="J265" s="33">
        <f t="shared" si="101"/>
        <v>0.1008</v>
      </c>
      <c r="K265" s="33">
        <f t="shared" si="101"/>
        <v>0.1008</v>
      </c>
      <c r="L265" s="33">
        <f t="shared" si="101"/>
        <v>0.1008</v>
      </c>
      <c r="M265" s="33">
        <f t="shared" si="101"/>
        <v>0.1008</v>
      </c>
    </row>
    <row r="266" spans="1:14" s="20" customFormat="1" ht="10.199999999999999">
      <c r="A266" s="26" t="s">
        <v>17</v>
      </c>
      <c r="B266" s="21">
        <f t="shared" ref="B266:M266" si="102">B264*B265</f>
        <v>0</v>
      </c>
      <c r="C266" s="21">
        <f t="shared" si="102"/>
        <v>0</v>
      </c>
      <c r="D266" s="21">
        <f t="shared" si="102"/>
        <v>0</v>
      </c>
      <c r="E266" s="21">
        <f t="shared" si="102"/>
        <v>0</v>
      </c>
      <c r="F266" s="21">
        <f t="shared" si="102"/>
        <v>0</v>
      </c>
      <c r="G266" s="21">
        <f t="shared" si="102"/>
        <v>0</v>
      </c>
      <c r="H266" s="21">
        <f t="shared" si="102"/>
        <v>0</v>
      </c>
      <c r="I266" s="21">
        <f t="shared" si="102"/>
        <v>0</v>
      </c>
      <c r="J266" s="21">
        <f t="shared" si="102"/>
        <v>0</v>
      </c>
      <c r="K266" s="21">
        <f t="shared" si="102"/>
        <v>0</v>
      </c>
      <c r="L266" s="21">
        <f t="shared" si="102"/>
        <v>0</v>
      </c>
      <c r="M266" s="21">
        <f t="shared" si="102"/>
        <v>0</v>
      </c>
      <c r="N266" s="21">
        <f>SUM(B266:M266)</f>
        <v>0</v>
      </c>
    </row>
    <row r="267" spans="1:14" s="20" customFormat="1" ht="10.199999999999999">
      <c r="A267" s="26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</row>
    <row r="268" spans="1:14" s="20" customFormat="1" ht="10.199999999999999">
      <c r="A268" s="145" t="s">
        <v>25</v>
      </c>
      <c r="B268" s="144">
        <f>B216+B221+B226+B231+B236+B241+B261+B246+B266+B251+B256</f>
        <v>28801.919999999998</v>
      </c>
      <c r="C268" s="144">
        <f>C216+C221+C226+C231+C236+C241+C261+C246+C266+C251+C256</f>
        <v>28801.919999999998</v>
      </c>
      <c r="D268" s="144">
        <f t="shared" ref="D268:M268" si="103">D216+D221+D226+D231+D236+D241+D261+D246+D266+D251+D256</f>
        <v>28801.919999999998</v>
      </c>
      <c r="E268" s="144">
        <f t="shared" si="103"/>
        <v>28801.919999999998</v>
      </c>
      <c r="F268" s="144">
        <f t="shared" si="103"/>
        <v>28801.919999999998</v>
      </c>
      <c r="G268" s="144">
        <f t="shared" si="103"/>
        <v>28801.919999999998</v>
      </c>
      <c r="H268" s="144">
        <f t="shared" si="103"/>
        <v>28801.919999999998</v>
      </c>
      <c r="I268" s="144">
        <f t="shared" si="103"/>
        <v>28801.919999999998</v>
      </c>
      <c r="J268" s="144">
        <f t="shared" si="103"/>
        <v>28801.919999999998</v>
      </c>
      <c r="K268" s="144">
        <f t="shared" si="103"/>
        <v>28801.919999999998</v>
      </c>
      <c r="L268" s="144">
        <f t="shared" si="103"/>
        <v>28801.919999999998</v>
      </c>
      <c r="M268" s="144">
        <f t="shared" si="103"/>
        <v>28801.919999999998</v>
      </c>
      <c r="N268" s="144">
        <f>SUM(B268:M268)</f>
        <v>345623.03999999986</v>
      </c>
    </row>
    <row r="269" spans="1:14">
      <c r="A269" s="147" t="str">
        <f>A209</f>
        <v>Total Monthly Demand</v>
      </c>
      <c r="B269" s="146">
        <f>B214+B219+B224+B229+B234+B259+B244+B239+B264+B249+B254</f>
        <v>297056</v>
      </c>
      <c r="C269" s="146">
        <f>C214+C219+C224+C229+C234+C259+C244+C239+C264+C249+C254</f>
        <v>297056</v>
      </c>
      <c r="D269" s="146">
        <f t="shared" ref="D269:M269" si="104">D214+D219+D224+D229+D234+D259+D244+D239+D264+D249+D254</f>
        <v>297056</v>
      </c>
      <c r="E269" s="146">
        <f t="shared" si="104"/>
        <v>297056</v>
      </c>
      <c r="F269" s="146">
        <f t="shared" si="104"/>
        <v>297056</v>
      </c>
      <c r="G269" s="146">
        <f t="shared" si="104"/>
        <v>297056</v>
      </c>
      <c r="H269" s="146">
        <f t="shared" si="104"/>
        <v>297056</v>
      </c>
      <c r="I269" s="146">
        <f t="shared" si="104"/>
        <v>297056</v>
      </c>
      <c r="J269" s="146">
        <f t="shared" si="104"/>
        <v>297056</v>
      </c>
      <c r="K269" s="146">
        <f t="shared" si="104"/>
        <v>297056</v>
      </c>
      <c r="L269" s="146">
        <f t="shared" si="104"/>
        <v>297056</v>
      </c>
      <c r="M269" s="146">
        <f t="shared" si="104"/>
        <v>297056</v>
      </c>
      <c r="N269" s="144">
        <f>SUM(B269:M269)</f>
        <v>3564672</v>
      </c>
    </row>
    <row r="270" spans="1:14">
      <c r="A270" s="25">
        <f>+A210+1</f>
        <v>2018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</row>
    <row r="271" spans="1:14" ht="13.2">
      <c r="A271" s="23" t="s">
        <v>19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ht="5.25" customHeight="1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>
      <c r="A273" s="402" t="s">
        <v>359</v>
      </c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>
      <c r="A274" s="27" t="s">
        <v>16</v>
      </c>
      <c r="B274" s="28">
        <f>'TSAS Scheduling Revenue (1)'!B274</f>
        <v>5000</v>
      </c>
      <c r="C274" s="28">
        <f>'TSAS Scheduling Revenue (1)'!C274</f>
        <v>5000</v>
      </c>
      <c r="D274" s="28">
        <f>'TSAS Scheduling Revenue (1)'!D274</f>
        <v>5000</v>
      </c>
      <c r="E274" s="28">
        <f>'TSAS Scheduling Revenue (1)'!E274</f>
        <v>5000</v>
      </c>
      <c r="F274" s="28">
        <f>'TSAS Scheduling Revenue (1)'!F274</f>
        <v>5000</v>
      </c>
      <c r="G274" s="28">
        <f>'TSAS Scheduling Revenue (1)'!G274</f>
        <v>5000</v>
      </c>
      <c r="H274" s="28">
        <f>'TSAS Scheduling Revenue (1)'!H274</f>
        <v>5000</v>
      </c>
      <c r="I274" s="28">
        <f>'TSAS Scheduling Revenue (1)'!I274</f>
        <v>5000</v>
      </c>
      <c r="J274" s="28">
        <f>'TSAS Scheduling Revenue (1)'!J274</f>
        <v>5000</v>
      </c>
      <c r="K274" s="28">
        <f>'TSAS Scheduling Revenue (1)'!K274</f>
        <v>5000</v>
      </c>
      <c r="L274" s="28">
        <f>'TSAS Scheduling Revenue (1)'!L274</f>
        <v>5000</v>
      </c>
      <c r="M274" s="28">
        <f>'TSAS Scheduling Revenue (1)'!M274</f>
        <v>5000</v>
      </c>
      <c r="N274" s="28">
        <f>SUM(B274:M274)</f>
        <v>60000</v>
      </c>
    </row>
    <row r="275" spans="1:14">
      <c r="A275" s="26" t="s">
        <v>20</v>
      </c>
      <c r="B275" s="32">
        <f>'charges (1 &amp; 2)'!G20</f>
        <v>0.1008</v>
      </c>
      <c r="C275" s="32">
        <f t="shared" ref="C275:M275" si="105">+$B$14</f>
        <v>0.1008</v>
      </c>
      <c r="D275" s="32">
        <f t="shared" si="105"/>
        <v>0.1008</v>
      </c>
      <c r="E275" s="32">
        <f t="shared" si="105"/>
        <v>0.1008</v>
      </c>
      <c r="F275" s="32">
        <f t="shared" si="105"/>
        <v>0.1008</v>
      </c>
      <c r="G275" s="32">
        <f t="shared" si="105"/>
        <v>0.1008</v>
      </c>
      <c r="H275" s="32">
        <f t="shared" si="105"/>
        <v>0.1008</v>
      </c>
      <c r="I275" s="32">
        <f t="shared" si="105"/>
        <v>0.1008</v>
      </c>
      <c r="J275" s="32">
        <f t="shared" si="105"/>
        <v>0.1008</v>
      </c>
      <c r="K275" s="32">
        <f t="shared" si="105"/>
        <v>0.1008</v>
      </c>
      <c r="L275" s="32">
        <f t="shared" si="105"/>
        <v>0.1008</v>
      </c>
      <c r="M275" s="32">
        <f t="shared" si="105"/>
        <v>0.1008</v>
      </c>
      <c r="N275" s="20"/>
    </row>
    <row r="276" spans="1:14">
      <c r="A276" s="26" t="s">
        <v>17</v>
      </c>
      <c r="B276" s="21">
        <f t="shared" ref="B276:M276" si="106">B274*B275</f>
        <v>504</v>
      </c>
      <c r="C276" s="21">
        <f t="shared" si="106"/>
        <v>504</v>
      </c>
      <c r="D276" s="21">
        <f t="shared" si="106"/>
        <v>504</v>
      </c>
      <c r="E276" s="21">
        <f t="shared" si="106"/>
        <v>504</v>
      </c>
      <c r="F276" s="21">
        <f t="shared" si="106"/>
        <v>504</v>
      </c>
      <c r="G276" s="21">
        <f t="shared" si="106"/>
        <v>504</v>
      </c>
      <c r="H276" s="21">
        <f t="shared" si="106"/>
        <v>504</v>
      </c>
      <c r="I276" s="21">
        <f t="shared" si="106"/>
        <v>504</v>
      </c>
      <c r="J276" s="21">
        <f t="shared" si="106"/>
        <v>504</v>
      </c>
      <c r="K276" s="21">
        <f t="shared" si="106"/>
        <v>504</v>
      </c>
      <c r="L276" s="21">
        <f t="shared" si="106"/>
        <v>504</v>
      </c>
      <c r="M276" s="21">
        <f t="shared" si="106"/>
        <v>504</v>
      </c>
      <c r="N276" s="21">
        <f>SUM(B276:M276)</f>
        <v>6048</v>
      </c>
    </row>
    <row r="277" spans="1:14" ht="5.2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ht="11.25" customHeight="1">
      <c r="A278" s="26" t="s">
        <v>21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ht="11.25" customHeight="1">
      <c r="A279" s="27" t="s">
        <v>16</v>
      </c>
      <c r="B279" s="28">
        <f>'TSAS Scheduling Revenue (1)'!B279</f>
        <v>0</v>
      </c>
      <c r="C279" s="28">
        <f>'TSAS Scheduling Revenue (1)'!C279</f>
        <v>0</v>
      </c>
      <c r="D279" s="28">
        <f>'TSAS Scheduling Revenue (1)'!D279</f>
        <v>0</v>
      </c>
      <c r="E279" s="28">
        <f>'TSAS Scheduling Revenue (1)'!E279</f>
        <v>0</v>
      </c>
      <c r="F279" s="28">
        <f>'TSAS Scheduling Revenue (1)'!F279</f>
        <v>0</v>
      </c>
      <c r="G279" s="28">
        <f>'TSAS Scheduling Revenue (1)'!G279</f>
        <v>0</v>
      </c>
      <c r="H279" s="28">
        <f>'TSAS Scheduling Revenue (1)'!H279</f>
        <v>0</v>
      </c>
      <c r="I279" s="28">
        <f>'TSAS Scheduling Revenue (1)'!I279</f>
        <v>0</v>
      </c>
      <c r="J279" s="28">
        <f>'TSAS Scheduling Revenue (1)'!J279</f>
        <v>0</v>
      </c>
      <c r="K279" s="28">
        <f>'TSAS Scheduling Revenue (1)'!K279</f>
        <v>0</v>
      </c>
      <c r="L279" s="28">
        <f>'TSAS Scheduling Revenue (1)'!L279</f>
        <v>0</v>
      </c>
      <c r="M279" s="28">
        <f>'TSAS Scheduling Revenue (1)'!M279</f>
        <v>0</v>
      </c>
      <c r="N279" s="28">
        <f>SUM(B279:M279)</f>
        <v>0</v>
      </c>
    </row>
    <row r="280" spans="1:14" ht="11.25" customHeight="1">
      <c r="A280" s="26" t="s">
        <v>20</v>
      </c>
      <c r="B280" s="32">
        <f>'charges (1 &amp; 2)'!G11</f>
        <v>0.1008</v>
      </c>
      <c r="C280" s="32">
        <f t="shared" ref="C280:M280" si="107">+$B$19</f>
        <v>0.1008</v>
      </c>
      <c r="D280" s="32">
        <f t="shared" si="107"/>
        <v>0.1008</v>
      </c>
      <c r="E280" s="32">
        <f t="shared" si="107"/>
        <v>0.1008</v>
      </c>
      <c r="F280" s="32">
        <f t="shared" si="107"/>
        <v>0.1008</v>
      </c>
      <c r="G280" s="32">
        <f t="shared" si="107"/>
        <v>0.1008</v>
      </c>
      <c r="H280" s="32">
        <f t="shared" si="107"/>
        <v>0.1008</v>
      </c>
      <c r="I280" s="32">
        <f t="shared" si="107"/>
        <v>0.1008</v>
      </c>
      <c r="J280" s="32">
        <f t="shared" si="107"/>
        <v>0.1008</v>
      </c>
      <c r="K280" s="32">
        <f t="shared" si="107"/>
        <v>0.1008</v>
      </c>
      <c r="L280" s="32">
        <f t="shared" si="107"/>
        <v>0.1008</v>
      </c>
      <c r="M280" s="32">
        <f t="shared" si="107"/>
        <v>0.1008</v>
      </c>
      <c r="N280" s="20"/>
    </row>
    <row r="281" spans="1:14" ht="10.5" customHeight="1">
      <c r="A281" s="26" t="s">
        <v>17</v>
      </c>
      <c r="B281" s="21">
        <f t="shared" ref="B281:M281" si="108">B279*B280</f>
        <v>0</v>
      </c>
      <c r="C281" s="21">
        <f t="shared" si="108"/>
        <v>0</v>
      </c>
      <c r="D281" s="21">
        <f t="shared" si="108"/>
        <v>0</v>
      </c>
      <c r="E281" s="21">
        <f t="shared" si="108"/>
        <v>0</v>
      </c>
      <c r="F281" s="21">
        <f t="shared" si="108"/>
        <v>0</v>
      </c>
      <c r="G281" s="21">
        <f t="shared" si="108"/>
        <v>0</v>
      </c>
      <c r="H281" s="21">
        <f t="shared" si="108"/>
        <v>0</v>
      </c>
      <c r="I281" s="21">
        <f t="shared" si="108"/>
        <v>0</v>
      </c>
      <c r="J281" s="21">
        <f t="shared" si="108"/>
        <v>0</v>
      </c>
      <c r="K281" s="21">
        <f t="shared" si="108"/>
        <v>0</v>
      </c>
      <c r="L281" s="21">
        <f t="shared" si="108"/>
        <v>0</v>
      </c>
      <c r="M281" s="21">
        <f t="shared" si="108"/>
        <v>0</v>
      </c>
      <c r="N281" s="21">
        <f>SUM(B281:M281)</f>
        <v>0</v>
      </c>
    </row>
    <row r="282" spans="1:14" ht="5.25" customHeight="1">
      <c r="A282" s="20"/>
      <c r="B282" s="21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 ht="9.75" customHeight="1">
      <c r="A283" s="26" t="s">
        <v>22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>
      <c r="A284" s="27" t="s">
        <v>16</v>
      </c>
      <c r="B284" s="28">
        <f>'TSAS Scheduling Revenue (1)'!B284</f>
        <v>0</v>
      </c>
      <c r="C284" s="28">
        <f>'TSAS Scheduling Revenue (1)'!C284</f>
        <v>0</v>
      </c>
      <c r="D284" s="28">
        <f>'TSAS Scheduling Revenue (1)'!D284</f>
        <v>0</v>
      </c>
      <c r="E284" s="28">
        <f>'TSAS Scheduling Revenue (1)'!E284</f>
        <v>0</v>
      </c>
      <c r="F284" s="28">
        <f>'TSAS Scheduling Revenue (1)'!F284</f>
        <v>0</v>
      </c>
      <c r="G284" s="28">
        <f>'TSAS Scheduling Revenue (1)'!G284</f>
        <v>0</v>
      </c>
      <c r="H284" s="28">
        <f>'TSAS Scheduling Revenue (1)'!H284</f>
        <v>0</v>
      </c>
      <c r="I284" s="28">
        <f>'TSAS Scheduling Revenue (1)'!I284</f>
        <v>0</v>
      </c>
      <c r="J284" s="28">
        <f>'TSAS Scheduling Revenue (1)'!J284</f>
        <v>0</v>
      </c>
      <c r="K284" s="28">
        <f>'TSAS Scheduling Revenue (1)'!K284</f>
        <v>0</v>
      </c>
      <c r="L284" s="28">
        <f>'TSAS Scheduling Revenue (1)'!L284</f>
        <v>0</v>
      </c>
      <c r="M284" s="28">
        <f>'TSAS Scheduling Revenue (1)'!M284</f>
        <v>0</v>
      </c>
      <c r="N284" s="28">
        <f>SUM(B284:M284)</f>
        <v>0</v>
      </c>
    </row>
    <row r="285" spans="1:14">
      <c r="A285" s="26" t="s">
        <v>20</v>
      </c>
      <c r="B285" s="33">
        <f>'charges (1 &amp; 2)'!G23</f>
        <v>0.1008</v>
      </c>
      <c r="C285" s="33">
        <f t="shared" ref="C285:M285" si="109">+$B$24</f>
        <v>0.1008</v>
      </c>
      <c r="D285" s="33">
        <f t="shared" si="109"/>
        <v>0.1008</v>
      </c>
      <c r="E285" s="33">
        <f t="shared" si="109"/>
        <v>0.1008</v>
      </c>
      <c r="F285" s="33">
        <f t="shared" si="109"/>
        <v>0.1008</v>
      </c>
      <c r="G285" s="33">
        <f t="shared" si="109"/>
        <v>0.1008</v>
      </c>
      <c r="H285" s="33">
        <f t="shared" si="109"/>
        <v>0.1008</v>
      </c>
      <c r="I285" s="33">
        <f t="shared" si="109"/>
        <v>0.1008</v>
      </c>
      <c r="J285" s="33">
        <f t="shared" si="109"/>
        <v>0.1008</v>
      </c>
      <c r="K285" s="33">
        <f t="shared" si="109"/>
        <v>0.1008</v>
      </c>
      <c r="L285" s="33">
        <f t="shared" si="109"/>
        <v>0.1008</v>
      </c>
      <c r="M285" s="33">
        <f t="shared" si="109"/>
        <v>0.1008</v>
      </c>
      <c r="N285" s="20"/>
    </row>
    <row r="286" spans="1:14" ht="10.5" customHeight="1">
      <c r="A286" s="26" t="s">
        <v>17</v>
      </c>
      <c r="B286" s="21">
        <f t="shared" ref="B286:M286" si="110">B284*B285</f>
        <v>0</v>
      </c>
      <c r="C286" s="21">
        <f t="shared" si="110"/>
        <v>0</v>
      </c>
      <c r="D286" s="21">
        <f t="shared" si="110"/>
        <v>0</v>
      </c>
      <c r="E286" s="21">
        <f t="shared" si="110"/>
        <v>0</v>
      </c>
      <c r="F286" s="21">
        <f t="shared" si="110"/>
        <v>0</v>
      </c>
      <c r="G286" s="21">
        <f t="shared" si="110"/>
        <v>0</v>
      </c>
      <c r="H286" s="21">
        <f t="shared" si="110"/>
        <v>0</v>
      </c>
      <c r="I286" s="21">
        <f t="shared" si="110"/>
        <v>0</v>
      </c>
      <c r="J286" s="21">
        <f t="shared" si="110"/>
        <v>0</v>
      </c>
      <c r="K286" s="21">
        <f t="shared" si="110"/>
        <v>0</v>
      </c>
      <c r="L286" s="21">
        <f t="shared" si="110"/>
        <v>0</v>
      </c>
      <c r="M286" s="21">
        <f t="shared" si="110"/>
        <v>0</v>
      </c>
      <c r="N286" s="21">
        <f>SUM(B286:M286)</f>
        <v>0</v>
      </c>
    </row>
    <row r="287" spans="1:14" ht="6.75" customHeight="1">
      <c r="A287" s="20"/>
      <c r="B287" s="21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>
      <c r="A288" s="402" t="s">
        <v>23</v>
      </c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10.5" customHeight="1">
      <c r="A289" s="27" t="s">
        <v>16</v>
      </c>
      <c r="B289" s="28">
        <f>'TSAS Scheduling Revenue (1)'!B289</f>
        <v>37056</v>
      </c>
      <c r="C289" s="28">
        <f>'TSAS Scheduling Revenue (1)'!C289</f>
        <v>37056</v>
      </c>
      <c r="D289" s="28">
        <f>'TSAS Scheduling Revenue (1)'!D289</f>
        <v>37056</v>
      </c>
      <c r="E289" s="28">
        <f>'TSAS Scheduling Revenue (1)'!E289</f>
        <v>37056</v>
      </c>
      <c r="F289" s="28">
        <f>'TSAS Scheduling Revenue (1)'!F289</f>
        <v>37056</v>
      </c>
      <c r="G289" s="28">
        <f>'TSAS Scheduling Revenue (1)'!G289</f>
        <v>37056</v>
      </c>
      <c r="H289" s="28">
        <f>'TSAS Scheduling Revenue (1)'!H289</f>
        <v>37056</v>
      </c>
      <c r="I289" s="28">
        <f>'TSAS Scheduling Revenue (1)'!I289</f>
        <v>37056</v>
      </c>
      <c r="J289" s="28">
        <f>'TSAS Scheduling Revenue (1)'!J289</f>
        <v>37056</v>
      </c>
      <c r="K289" s="28">
        <f>'TSAS Scheduling Revenue (1)'!K289</f>
        <v>37056</v>
      </c>
      <c r="L289" s="28">
        <f>'TSAS Scheduling Revenue (1)'!L289</f>
        <v>37056</v>
      </c>
      <c r="M289" s="28">
        <f>'TSAS Scheduling Revenue (1)'!M289</f>
        <v>37056</v>
      </c>
      <c r="N289" s="28">
        <f>SUM(B289:M289)</f>
        <v>444672</v>
      </c>
    </row>
    <row r="290" spans="1:14" ht="11.25" customHeight="1">
      <c r="A290" s="26" t="s">
        <v>20</v>
      </c>
      <c r="B290" s="33">
        <f>'charges (1 &amp; 2)'!G14</f>
        <v>7.0000000000000007E-2</v>
      </c>
      <c r="C290" s="33">
        <f t="shared" ref="C290:M290" si="111">+$B$29</f>
        <v>7.0000000000000007E-2</v>
      </c>
      <c r="D290" s="33">
        <f t="shared" si="111"/>
        <v>7.0000000000000007E-2</v>
      </c>
      <c r="E290" s="33">
        <f t="shared" si="111"/>
        <v>7.0000000000000007E-2</v>
      </c>
      <c r="F290" s="33">
        <f t="shared" si="111"/>
        <v>7.0000000000000007E-2</v>
      </c>
      <c r="G290" s="33">
        <f t="shared" si="111"/>
        <v>7.0000000000000007E-2</v>
      </c>
      <c r="H290" s="33">
        <f t="shared" si="111"/>
        <v>7.0000000000000007E-2</v>
      </c>
      <c r="I290" s="33">
        <f t="shared" si="111"/>
        <v>7.0000000000000007E-2</v>
      </c>
      <c r="J290" s="33">
        <f t="shared" si="111"/>
        <v>7.0000000000000007E-2</v>
      </c>
      <c r="K290" s="33">
        <f t="shared" si="111"/>
        <v>7.0000000000000007E-2</v>
      </c>
      <c r="L290" s="33">
        <f t="shared" si="111"/>
        <v>7.0000000000000007E-2</v>
      </c>
      <c r="M290" s="33">
        <f t="shared" si="111"/>
        <v>7.0000000000000007E-2</v>
      </c>
      <c r="N290" s="20"/>
    </row>
    <row r="291" spans="1:14" ht="9.75" customHeight="1">
      <c r="A291" s="26" t="s">
        <v>17</v>
      </c>
      <c r="B291" s="21">
        <f t="shared" ref="B291:M291" si="112">B289*B290</f>
        <v>2593.92</v>
      </c>
      <c r="C291" s="21">
        <f t="shared" si="112"/>
        <v>2593.92</v>
      </c>
      <c r="D291" s="21">
        <f t="shared" si="112"/>
        <v>2593.92</v>
      </c>
      <c r="E291" s="21">
        <f t="shared" si="112"/>
        <v>2593.92</v>
      </c>
      <c r="F291" s="21">
        <f t="shared" si="112"/>
        <v>2593.92</v>
      </c>
      <c r="G291" s="21">
        <f t="shared" si="112"/>
        <v>2593.92</v>
      </c>
      <c r="H291" s="21">
        <f t="shared" si="112"/>
        <v>2593.92</v>
      </c>
      <c r="I291" s="21">
        <f t="shared" si="112"/>
        <v>2593.92</v>
      </c>
      <c r="J291" s="21">
        <f t="shared" si="112"/>
        <v>2593.92</v>
      </c>
      <c r="K291" s="21">
        <f t="shared" si="112"/>
        <v>2593.92</v>
      </c>
      <c r="L291" s="21">
        <f t="shared" si="112"/>
        <v>2593.92</v>
      </c>
      <c r="M291" s="21">
        <f t="shared" si="112"/>
        <v>2593.92</v>
      </c>
      <c r="N291" s="21">
        <f>SUM(B291:M291)</f>
        <v>31127.039999999994</v>
      </c>
    </row>
    <row r="292" spans="1:14" ht="6" customHeight="1">
      <c r="A292" s="20"/>
      <c r="B292" s="2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ht="10.5" customHeight="1">
      <c r="A293" s="402" t="s">
        <v>24</v>
      </c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11.25" customHeight="1">
      <c r="A294" s="27" t="s">
        <v>16</v>
      </c>
      <c r="B294" s="28">
        <f>'TSAS Scheduling Revenue (1)'!B294</f>
        <v>62000</v>
      </c>
      <c r="C294" s="28">
        <f>'TSAS Scheduling Revenue (1)'!C294</f>
        <v>62000</v>
      </c>
      <c r="D294" s="28">
        <f>'TSAS Scheduling Revenue (1)'!D294</f>
        <v>62000</v>
      </c>
      <c r="E294" s="28">
        <f>'TSAS Scheduling Revenue (1)'!E294</f>
        <v>62000</v>
      </c>
      <c r="F294" s="28">
        <f>'TSAS Scheduling Revenue (1)'!F294</f>
        <v>62000</v>
      </c>
      <c r="G294" s="28">
        <f>'TSAS Scheduling Revenue (1)'!G294</f>
        <v>62000</v>
      </c>
      <c r="H294" s="28">
        <f>'TSAS Scheduling Revenue (1)'!H294</f>
        <v>62000</v>
      </c>
      <c r="I294" s="28">
        <f>'TSAS Scheduling Revenue (1)'!I294</f>
        <v>62000</v>
      </c>
      <c r="J294" s="28">
        <f>'TSAS Scheduling Revenue (1)'!J294</f>
        <v>62000</v>
      </c>
      <c r="K294" s="28">
        <f>'TSAS Scheduling Revenue (1)'!K294</f>
        <v>62000</v>
      </c>
      <c r="L294" s="28">
        <f>'TSAS Scheduling Revenue (1)'!L294</f>
        <v>62000</v>
      </c>
      <c r="M294" s="28">
        <f>'TSAS Scheduling Revenue (1)'!M294</f>
        <v>62000</v>
      </c>
      <c r="N294" s="28">
        <f>SUM(B294:M294)</f>
        <v>744000</v>
      </c>
    </row>
    <row r="295" spans="1:14" ht="12" customHeight="1">
      <c r="A295" s="26" t="s">
        <v>20</v>
      </c>
      <c r="B295" s="33">
        <f>'charges (1 &amp; 2)'!G17</f>
        <v>0.1008</v>
      </c>
      <c r="C295" s="33">
        <f t="shared" ref="C295:M295" si="113">+$B$34</f>
        <v>0.1008</v>
      </c>
      <c r="D295" s="33">
        <f t="shared" si="113"/>
        <v>0.1008</v>
      </c>
      <c r="E295" s="33">
        <f t="shared" si="113"/>
        <v>0.1008</v>
      </c>
      <c r="F295" s="33">
        <f t="shared" si="113"/>
        <v>0.1008</v>
      </c>
      <c r="G295" s="33">
        <f t="shared" si="113"/>
        <v>0.1008</v>
      </c>
      <c r="H295" s="33">
        <f t="shared" si="113"/>
        <v>0.1008</v>
      </c>
      <c r="I295" s="33">
        <f t="shared" si="113"/>
        <v>0.1008</v>
      </c>
      <c r="J295" s="33">
        <f t="shared" si="113"/>
        <v>0.1008</v>
      </c>
      <c r="K295" s="33">
        <f t="shared" si="113"/>
        <v>0.1008</v>
      </c>
      <c r="L295" s="33">
        <f t="shared" si="113"/>
        <v>0.1008</v>
      </c>
      <c r="M295" s="33">
        <f t="shared" si="113"/>
        <v>0.1008</v>
      </c>
      <c r="N295" s="20"/>
    </row>
    <row r="296" spans="1:14" ht="11.25" customHeight="1">
      <c r="A296" s="26" t="s">
        <v>17</v>
      </c>
      <c r="B296" s="21">
        <f t="shared" ref="B296:M296" si="114">B294*B295</f>
        <v>6249.6</v>
      </c>
      <c r="C296" s="21">
        <f t="shared" si="114"/>
        <v>6249.6</v>
      </c>
      <c r="D296" s="21">
        <f t="shared" si="114"/>
        <v>6249.6</v>
      </c>
      <c r="E296" s="21">
        <f t="shared" si="114"/>
        <v>6249.6</v>
      </c>
      <c r="F296" s="21">
        <f t="shared" si="114"/>
        <v>6249.6</v>
      </c>
      <c r="G296" s="21">
        <f t="shared" si="114"/>
        <v>6249.6</v>
      </c>
      <c r="H296" s="21">
        <f t="shared" si="114"/>
        <v>6249.6</v>
      </c>
      <c r="I296" s="21">
        <f t="shared" si="114"/>
        <v>6249.6</v>
      </c>
      <c r="J296" s="21">
        <f t="shared" si="114"/>
        <v>6249.6</v>
      </c>
      <c r="K296" s="21">
        <f t="shared" si="114"/>
        <v>6249.6</v>
      </c>
      <c r="L296" s="21">
        <f t="shared" si="114"/>
        <v>6249.6</v>
      </c>
      <c r="M296" s="21">
        <f t="shared" si="114"/>
        <v>6249.6</v>
      </c>
      <c r="N296" s="21">
        <f>SUM(B296:M296)</f>
        <v>74995.199999999997</v>
      </c>
    </row>
    <row r="297" spans="1:14" ht="4.5" customHeight="1">
      <c r="A297" s="26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</row>
    <row r="298" spans="1:14" ht="10.5" customHeight="1">
      <c r="A298" s="402" t="s">
        <v>116</v>
      </c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ht="10.5" customHeight="1">
      <c r="A299" s="27" t="s">
        <v>16</v>
      </c>
      <c r="B299" s="28">
        <f>'TSAS Scheduling Revenue (1)'!B299</f>
        <v>40000</v>
      </c>
      <c r="C299" s="28">
        <f>'TSAS Scheduling Revenue (1)'!C299</f>
        <v>40000</v>
      </c>
      <c r="D299" s="28">
        <f>'TSAS Scheduling Revenue (1)'!D299</f>
        <v>40000</v>
      </c>
      <c r="E299" s="28">
        <f>'TSAS Scheduling Revenue (1)'!E299</f>
        <v>40000</v>
      </c>
      <c r="F299" s="28">
        <f>'TSAS Scheduling Revenue (1)'!F299</f>
        <v>40000</v>
      </c>
      <c r="G299" s="28">
        <f>'TSAS Scheduling Revenue (1)'!G299</f>
        <v>40000</v>
      </c>
      <c r="H299" s="28">
        <f>'TSAS Scheduling Revenue (1)'!H299</f>
        <v>40000</v>
      </c>
      <c r="I299" s="28">
        <f>'TSAS Scheduling Revenue (1)'!I299</f>
        <v>40000</v>
      </c>
      <c r="J299" s="28">
        <f>'TSAS Scheduling Revenue (1)'!J299</f>
        <v>40000</v>
      </c>
      <c r="K299" s="28">
        <f>'TSAS Scheduling Revenue (1)'!K299</f>
        <v>40000</v>
      </c>
      <c r="L299" s="28">
        <f>'TSAS Scheduling Revenue (1)'!L299</f>
        <v>40000</v>
      </c>
      <c r="M299" s="28">
        <f>'TSAS Scheduling Revenue (1)'!M299</f>
        <v>40000</v>
      </c>
      <c r="N299" s="28">
        <f>SUM(B299:M299)</f>
        <v>480000</v>
      </c>
    </row>
    <row r="300" spans="1:14" ht="10.5" customHeight="1">
      <c r="A300" s="26" t="s">
        <v>20</v>
      </c>
      <c r="B300" s="33">
        <f>B295</f>
        <v>0.1008</v>
      </c>
      <c r="C300" s="33">
        <f>C295</f>
        <v>0.1008</v>
      </c>
      <c r="D300" s="33">
        <f t="shared" ref="D300:M300" si="115">C300</f>
        <v>0.1008</v>
      </c>
      <c r="E300" s="33">
        <f t="shared" si="115"/>
        <v>0.1008</v>
      </c>
      <c r="F300" s="33">
        <f t="shared" si="115"/>
        <v>0.1008</v>
      </c>
      <c r="G300" s="33">
        <f t="shared" si="115"/>
        <v>0.1008</v>
      </c>
      <c r="H300" s="33">
        <f t="shared" si="115"/>
        <v>0.1008</v>
      </c>
      <c r="I300" s="33">
        <f t="shared" si="115"/>
        <v>0.1008</v>
      </c>
      <c r="J300" s="33">
        <f t="shared" si="115"/>
        <v>0.1008</v>
      </c>
      <c r="K300" s="33">
        <f t="shared" si="115"/>
        <v>0.1008</v>
      </c>
      <c r="L300" s="33">
        <f t="shared" si="115"/>
        <v>0.1008</v>
      </c>
      <c r="M300" s="33">
        <f t="shared" si="115"/>
        <v>0.1008</v>
      </c>
      <c r="N300" s="20"/>
    </row>
    <row r="301" spans="1:14" ht="11.25" customHeight="1">
      <c r="A301" s="26" t="s">
        <v>17</v>
      </c>
      <c r="B301" s="21">
        <f t="shared" ref="B301:M301" si="116">B299*B300</f>
        <v>4032</v>
      </c>
      <c r="C301" s="21">
        <f t="shared" si="116"/>
        <v>4032</v>
      </c>
      <c r="D301" s="21">
        <f t="shared" si="116"/>
        <v>4032</v>
      </c>
      <c r="E301" s="21">
        <f t="shared" si="116"/>
        <v>4032</v>
      </c>
      <c r="F301" s="21">
        <f t="shared" si="116"/>
        <v>4032</v>
      </c>
      <c r="G301" s="21">
        <f t="shared" si="116"/>
        <v>4032</v>
      </c>
      <c r="H301" s="21">
        <f t="shared" si="116"/>
        <v>4032</v>
      </c>
      <c r="I301" s="21">
        <f t="shared" si="116"/>
        <v>4032</v>
      </c>
      <c r="J301" s="21">
        <f t="shared" si="116"/>
        <v>4032</v>
      </c>
      <c r="K301" s="21">
        <f t="shared" si="116"/>
        <v>4032</v>
      </c>
      <c r="L301" s="21">
        <f t="shared" si="116"/>
        <v>4032</v>
      </c>
      <c r="M301" s="21">
        <f t="shared" si="116"/>
        <v>4032</v>
      </c>
      <c r="N301" s="21">
        <f>SUM(B301:M301)</f>
        <v>48384</v>
      </c>
    </row>
    <row r="302" spans="1:14" ht="6" customHeight="1">
      <c r="A302" s="26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>
      <c r="A303" s="402" t="s">
        <v>237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>
      <c r="A304" s="27" t="s">
        <v>16</v>
      </c>
      <c r="B304" s="28">
        <f>'TSAS Scheduling Revenue (1)'!B304</f>
        <v>3000</v>
      </c>
      <c r="C304" s="28">
        <f>'TSAS Scheduling Revenue (1)'!C304</f>
        <v>3000</v>
      </c>
      <c r="D304" s="28">
        <f>'TSAS Scheduling Revenue (1)'!D304</f>
        <v>3000</v>
      </c>
      <c r="E304" s="28">
        <f>'TSAS Scheduling Revenue (1)'!E304</f>
        <v>3000</v>
      </c>
      <c r="F304" s="28">
        <f>'TSAS Scheduling Revenue (1)'!F304</f>
        <v>3000</v>
      </c>
      <c r="G304" s="28">
        <f>'TSAS Scheduling Revenue (1)'!G304</f>
        <v>3000</v>
      </c>
      <c r="H304" s="28">
        <f>'TSAS Scheduling Revenue (1)'!H304</f>
        <v>3000</v>
      </c>
      <c r="I304" s="28">
        <f>'TSAS Scheduling Revenue (1)'!I304</f>
        <v>3000</v>
      </c>
      <c r="J304" s="28">
        <f>'TSAS Scheduling Revenue (1)'!J304</f>
        <v>3000</v>
      </c>
      <c r="K304" s="28">
        <f>'TSAS Scheduling Revenue (1)'!K304</f>
        <v>3000</v>
      </c>
      <c r="L304" s="28">
        <f>'TSAS Scheduling Revenue (1)'!L304</f>
        <v>3000</v>
      </c>
      <c r="M304" s="28">
        <f>'TSAS Scheduling Revenue (1)'!M304</f>
        <v>3000</v>
      </c>
      <c r="N304" s="28">
        <f>SUM(B304:M304)</f>
        <v>36000</v>
      </c>
    </row>
    <row r="305" spans="1:14">
      <c r="A305" s="26" t="s">
        <v>20</v>
      </c>
      <c r="B305" s="33">
        <f>B300</f>
        <v>0.1008</v>
      </c>
      <c r="C305" s="33">
        <f>C300</f>
        <v>0.1008</v>
      </c>
      <c r="D305" s="33">
        <f t="shared" ref="D305:M305" si="117">C305</f>
        <v>0.1008</v>
      </c>
      <c r="E305" s="33">
        <f t="shared" si="117"/>
        <v>0.1008</v>
      </c>
      <c r="F305" s="33">
        <f t="shared" si="117"/>
        <v>0.1008</v>
      </c>
      <c r="G305" s="33">
        <f t="shared" si="117"/>
        <v>0.1008</v>
      </c>
      <c r="H305" s="33">
        <f t="shared" si="117"/>
        <v>0.1008</v>
      </c>
      <c r="I305" s="33">
        <f t="shared" si="117"/>
        <v>0.1008</v>
      </c>
      <c r="J305" s="33">
        <f t="shared" si="117"/>
        <v>0.1008</v>
      </c>
      <c r="K305" s="33">
        <f t="shared" si="117"/>
        <v>0.1008</v>
      </c>
      <c r="L305" s="33">
        <f t="shared" si="117"/>
        <v>0.1008</v>
      </c>
      <c r="M305" s="33">
        <f t="shared" si="117"/>
        <v>0.1008</v>
      </c>
      <c r="N305" s="20"/>
    </row>
    <row r="306" spans="1:14">
      <c r="A306" s="26" t="s">
        <v>17</v>
      </c>
      <c r="B306" s="21">
        <f t="shared" ref="B306:M306" si="118">B304*B305</f>
        <v>302.39999999999998</v>
      </c>
      <c r="C306" s="21">
        <f t="shared" si="118"/>
        <v>302.39999999999998</v>
      </c>
      <c r="D306" s="21">
        <f t="shared" si="118"/>
        <v>302.39999999999998</v>
      </c>
      <c r="E306" s="21">
        <f t="shared" si="118"/>
        <v>302.39999999999998</v>
      </c>
      <c r="F306" s="21">
        <f t="shared" si="118"/>
        <v>302.39999999999998</v>
      </c>
      <c r="G306" s="21">
        <f t="shared" si="118"/>
        <v>302.39999999999998</v>
      </c>
      <c r="H306" s="21">
        <f t="shared" si="118"/>
        <v>302.39999999999998</v>
      </c>
      <c r="I306" s="21">
        <f t="shared" si="118"/>
        <v>302.39999999999998</v>
      </c>
      <c r="J306" s="21">
        <f t="shared" si="118"/>
        <v>302.39999999999998</v>
      </c>
      <c r="K306" s="21">
        <f t="shared" si="118"/>
        <v>302.39999999999998</v>
      </c>
      <c r="L306" s="21">
        <f t="shared" si="118"/>
        <v>302.39999999999998</v>
      </c>
      <c r="M306" s="21">
        <f t="shared" si="118"/>
        <v>302.39999999999998</v>
      </c>
      <c r="N306" s="21">
        <f>SUM(B306:M306)</f>
        <v>3628.8000000000006</v>
      </c>
    </row>
    <row r="307" spans="1:14" ht="6" customHeight="1">
      <c r="A307" s="26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</row>
    <row r="308" spans="1:14">
      <c r="A308" s="402" t="s">
        <v>179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>
      <c r="A309" s="27" t="s">
        <v>16</v>
      </c>
      <c r="B309" s="28">
        <f>'TSAS Scheduling Revenue (1)'!B309</f>
        <v>0</v>
      </c>
      <c r="C309" s="28">
        <f>'TSAS Scheduling Revenue (1)'!C309</f>
        <v>0</v>
      </c>
      <c r="D309" s="28">
        <f>'TSAS Scheduling Revenue (1)'!D309</f>
        <v>0</v>
      </c>
      <c r="E309" s="28">
        <f>'TSAS Scheduling Revenue (1)'!E309</f>
        <v>0</v>
      </c>
      <c r="F309" s="28">
        <f>'TSAS Scheduling Revenue (1)'!F309</f>
        <v>0</v>
      </c>
      <c r="G309" s="28">
        <f>'TSAS Scheduling Revenue (1)'!G309</f>
        <v>0</v>
      </c>
      <c r="H309" s="28">
        <f>'TSAS Scheduling Revenue (1)'!H309</f>
        <v>0</v>
      </c>
      <c r="I309" s="28">
        <f>'TSAS Scheduling Revenue (1)'!I309</f>
        <v>0</v>
      </c>
      <c r="J309" s="28">
        <f>'TSAS Scheduling Revenue (1)'!J309</f>
        <v>0</v>
      </c>
      <c r="K309" s="28">
        <f>'TSAS Scheduling Revenue (1)'!K309</f>
        <v>0</v>
      </c>
      <c r="L309" s="28">
        <f>'TSAS Scheduling Revenue (1)'!L309</f>
        <v>0</v>
      </c>
      <c r="M309" s="28">
        <f>'TSAS Scheduling Revenue (1)'!M309</f>
        <v>0</v>
      </c>
      <c r="N309" s="28">
        <f>SUM(B309:M309)</f>
        <v>0</v>
      </c>
    </row>
    <row r="310" spans="1:14">
      <c r="A310" s="26" t="s">
        <v>20</v>
      </c>
      <c r="B310" s="33">
        <f>B300</f>
        <v>0.1008</v>
      </c>
      <c r="C310" s="33">
        <f t="shared" ref="C310:M310" si="119">C300</f>
        <v>0.1008</v>
      </c>
      <c r="D310" s="33">
        <f t="shared" si="119"/>
        <v>0.1008</v>
      </c>
      <c r="E310" s="33">
        <f t="shared" si="119"/>
        <v>0.1008</v>
      </c>
      <c r="F310" s="33">
        <f t="shared" si="119"/>
        <v>0.1008</v>
      </c>
      <c r="G310" s="33">
        <f t="shared" si="119"/>
        <v>0.1008</v>
      </c>
      <c r="H310" s="33">
        <f t="shared" si="119"/>
        <v>0.1008</v>
      </c>
      <c r="I310" s="33">
        <f t="shared" si="119"/>
        <v>0.1008</v>
      </c>
      <c r="J310" s="33">
        <f t="shared" si="119"/>
        <v>0.1008</v>
      </c>
      <c r="K310" s="33">
        <f t="shared" si="119"/>
        <v>0.1008</v>
      </c>
      <c r="L310" s="33">
        <f t="shared" si="119"/>
        <v>0.1008</v>
      </c>
      <c r="M310" s="33">
        <f t="shared" si="119"/>
        <v>0.1008</v>
      </c>
      <c r="N310" s="20"/>
    </row>
    <row r="311" spans="1:14">
      <c r="A311" s="26" t="s">
        <v>17</v>
      </c>
      <c r="B311" s="21">
        <f t="shared" ref="B311:M311" si="120">B309*B310</f>
        <v>0</v>
      </c>
      <c r="C311" s="21">
        <f t="shared" si="120"/>
        <v>0</v>
      </c>
      <c r="D311" s="21">
        <f t="shared" si="120"/>
        <v>0</v>
      </c>
      <c r="E311" s="21">
        <f t="shared" si="120"/>
        <v>0</v>
      </c>
      <c r="F311" s="21">
        <f t="shared" si="120"/>
        <v>0</v>
      </c>
      <c r="G311" s="21">
        <f t="shared" si="120"/>
        <v>0</v>
      </c>
      <c r="H311" s="21">
        <f t="shared" si="120"/>
        <v>0</v>
      </c>
      <c r="I311" s="21">
        <f t="shared" si="120"/>
        <v>0</v>
      </c>
      <c r="J311" s="21">
        <f t="shared" si="120"/>
        <v>0</v>
      </c>
      <c r="K311" s="21">
        <f t="shared" si="120"/>
        <v>0</v>
      </c>
      <c r="L311" s="21">
        <f t="shared" si="120"/>
        <v>0</v>
      </c>
      <c r="M311" s="21">
        <f t="shared" si="120"/>
        <v>0</v>
      </c>
      <c r="N311" s="21">
        <f>SUM(B311:M311)</f>
        <v>0</v>
      </c>
    </row>
    <row r="312" spans="1:14" ht="7.5" customHeight="1">
      <c r="A312" s="26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</row>
    <row r="313" spans="1:14" ht="11.25" customHeight="1">
      <c r="A313" s="402" t="s">
        <v>117</v>
      </c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ht="11.25" customHeight="1">
      <c r="A314" s="27" t="s">
        <v>16</v>
      </c>
      <c r="B314" s="28">
        <f>'TSAS Scheduling Revenue (1)'!B319</f>
        <v>150000</v>
      </c>
      <c r="C314" s="28">
        <f>'TSAS Scheduling Revenue (1)'!C319</f>
        <v>100000</v>
      </c>
      <c r="D314" s="28">
        <f>'TSAS Scheduling Revenue (1)'!D319</f>
        <v>100000</v>
      </c>
      <c r="E314" s="28">
        <f>'TSAS Scheduling Revenue (1)'!E319</f>
        <v>100000</v>
      </c>
      <c r="F314" s="28">
        <f>'TSAS Scheduling Revenue (1)'!F319</f>
        <v>100000</v>
      </c>
      <c r="G314" s="28">
        <f>'TSAS Scheduling Revenue (1)'!G319</f>
        <v>100000</v>
      </c>
      <c r="H314" s="28">
        <f>'TSAS Scheduling Revenue (1)'!H319</f>
        <v>100000</v>
      </c>
      <c r="I314" s="28">
        <f>'TSAS Scheduling Revenue (1)'!I319</f>
        <v>100000</v>
      </c>
      <c r="J314" s="28">
        <f>'TSAS Scheduling Revenue (1)'!J319</f>
        <v>100000</v>
      </c>
      <c r="K314" s="28">
        <f>'TSAS Scheduling Revenue (1)'!K319</f>
        <v>100000</v>
      </c>
      <c r="L314" s="28">
        <f>'TSAS Scheduling Revenue (1)'!L319</f>
        <v>100000</v>
      </c>
      <c r="M314" s="28">
        <f>'TSAS Scheduling Revenue (1)'!M319</f>
        <v>100000</v>
      </c>
      <c r="N314" s="28">
        <f>SUM(B314:M314)</f>
        <v>1250000</v>
      </c>
    </row>
    <row r="315" spans="1:14">
      <c r="A315" s="26" t="s">
        <v>20</v>
      </c>
      <c r="B315" s="33">
        <f t="shared" ref="B315:M315" si="121">+$B$34</f>
        <v>0.1008</v>
      </c>
      <c r="C315" s="33">
        <f t="shared" si="121"/>
        <v>0.1008</v>
      </c>
      <c r="D315" s="33">
        <f t="shared" si="121"/>
        <v>0.1008</v>
      </c>
      <c r="E315" s="33">
        <f t="shared" si="121"/>
        <v>0.1008</v>
      </c>
      <c r="F315" s="33">
        <f t="shared" si="121"/>
        <v>0.1008</v>
      </c>
      <c r="G315" s="33">
        <f t="shared" si="121"/>
        <v>0.1008</v>
      </c>
      <c r="H315" s="33">
        <f t="shared" si="121"/>
        <v>0.1008</v>
      </c>
      <c r="I315" s="33">
        <f t="shared" si="121"/>
        <v>0.1008</v>
      </c>
      <c r="J315" s="33">
        <f t="shared" si="121"/>
        <v>0.1008</v>
      </c>
      <c r="K315" s="33">
        <f t="shared" si="121"/>
        <v>0.1008</v>
      </c>
      <c r="L315" s="33">
        <f t="shared" si="121"/>
        <v>0.1008</v>
      </c>
      <c r="M315" s="33">
        <f t="shared" si="121"/>
        <v>0.1008</v>
      </c>
      <c r="N315" s="20"/>
    </row>
    <row r="316" spans="1:14">
      <c r="A316" s="26" t="s">
        <v>17</v>
      </c>
      <c r="B316" s="21">
        <f t="shared" ref="B316:M316" si="122">B314*B315</f>
        <v>15120</v>
      </c>
      <c r="C316" s="21">
        <f t="shared" si="122"/>
        <v>10080</v>
      </c>
      <c r="D316" s="21">
        <f t="shared" si="122"/>
        <v>10080</v>
      </c>
      <c r="E316" s="21">
        <f t="shared" si="122"/>
        <v>10080</v>
      </c>
      <c r="F316" s="21">
        <f t="shared" si="122"/>
        <v>10080</v>
      </c>
      <c r="G316" s="21">
        <f t="shared" si="122"/>
        <v>10080</v>
      </c>
      <c r="H316" s="21">
        <f t="shared" si="122"/>
        <v>10080</v>
      </c>
      <c r="I316" s="21">
        <f t="shared" si="122"/>
        <v>10080</v>
      </c>
      <c r="J316" s="21">
        <f t="shared" si="122"/>
        <v>10080</v>
      </c>
      <c r="K316" s="21">
        <f t="shared" si="122"/>
        <v>10080</v>
      </c>
      <c r="L316" s="21">
        <f t="shared" si="122"/>
        <v>10080</v>
      </c>
      <c r="M316" s="21">
        <f t="shared" si="122"/>
        <v>10080</v>
      </c>
      <c r="N316" s="21">
        <f>SUM(B316:M316)</f>
        <v>126000</v>
      </c>
    </row>
    <row r="317" spans="1:14">
      <c r="A317" s="26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</row>
    <row r="318" spans="1:14">
      <c r="A318" s="402" t="s">
        <v>284</v>
      </c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8"/>
    </row>
    <row r="319" spans="1:14">
      <c r="A319" s="27" t="s">
        <v>16</v>
      </c>
      <c r="B319" s="21">
        <f>'TSAS Demand Revenues (7)'!B312</f>
        <v>0</v>
      </c>
      <c r="C319" s="21">
        <f>'TSAS Demand Revenues (7)'!C312</f>
        <v>0</v>
      </c>
      <c r="D319" s="21">
        <f>'TSAS Demand Revenues (7)'!D312</f>
        <v>0</v>
      </c>
      <c r="E319" s="21">
        <f>'TSAS Demand Revenues (7)'!E312</f>
        <v>0</v>
      </c>
      <c r="F319" s="21">
        <f>'TSAS Demand Revenues (7)'!F312</f>
        <v>0</v>
      </c>
      <c r="G319" s="21">
        <f>'TSAS Demand Revenues (7)'!G312</f>
        <v>0</v>
      </c>
      <c r="H319" s="21">
        <f>'TSAS Demand Revenues (7)'!H312</f>
        <v>0</v>
      </c>
      <c r="I319" s="21">
        <f>'TSAS Demand Revenues (7)'!I312</f>
        <v>0</v>
      </c>
      <c r="J319" s="21">
        <f>'TSAS Demand Revenues (7)'!J312</f>
        <v>0</v>
      </c>
      <c r="K319" s="21">
        <f>'TSAS Demand Revenues (7)'!K312</f>
        <v>0</v>
      </c>
      <c r="L319" s="21">
        <f>'TSAS Demand Revenues (7)'!L312</f>
        <v>0</v>
      </c>
      <c r="M319" s="21">
        <f>'TSAS Demand Revenues (7)'!M312</f>
        <v>0</v>
      </c>
      <c r="N319" s="28">
        <f>SUM(B319:M319)</f>
        <v>0</v>
      </c>
    </row>
    <row r="320" spans="1:14">
      <c r="A320" s="26" t="s">
        <v>20</v>
      </c>
      <c r="B320" s="33">
        <f>B315</f>
        <v>0.1008</v>
      </c>
      <c r="C320" s="33">
        <f t="shared" ref="C320:M320" si="123">C315</f>
        <v>0.1008</v>
      </c>
      <c r="D320" s="33">
        <f t="shared" si="123"/>
        <v>0.1008</v>
      </c>
      <c r="E320" s="33">
        <f t="shared" si="123"/>
        <v>0.1008</v>
      </c>
      <c r="F320" s="33">
        <f t="shared" si="123"/>
        <v>0.1008</v>
      </c>
      <c r="G320" s="33">
        <f t="shared" si="123"/>
        <v>0.1008</v>
      </c>
      <c r="H320" s="33">
        <f t="shared" si="123"/>
        <v>0.1008</v>
      </c>
      <c r="I320" s="33">
        <f t="shared" si="123"/>
        <v>0.1008</v>
      </c>
      <c r="J320" s="33">
        <f t="shared" si="123"/>
        <v>0.1008</v>
      </c>
      <c r="K320" s="33">
        <f t="shared" si="123"/>
        <v>0.1008</v>
      </c>
      <c r="L320" s="33">
        <f t="shared" si="123"/>
        <v>0.1008</v>
      </c>
      <c r="M320" s="33">
        <f t="shared" si="123"/>
        <v>0.1008</v>
      </c>
      <c r="N320" s="20"/>
    </row>
    <row r="321" spans="1:14">
      <c r="A321" s="26" t="s">
        <v>17</v>
      </c>
      <c r="B321" s="21">
        <f t="shared" ref="B321:M321" si="124">B319*B320</f>
        <v>0</v>
      </c>
      <c r="C321" s="21">
        <f t="shared" si="124"/>
        <v>0</v>
      </c>
      <c r="D321" s="21">
        <f t="shared" si="124"/>
        <v>0</v>
      </c>
      <c r="E321" s="21">
        <f t="shared" si="124"/>
        <v>0</v>
      </c>
      <c r="F321" s="21">
        <f t="shared" si="124"/>
        <v>0</v>
      </c>
      <c r="G321" s="21">
        <f t="shared" si="124"/>
        <v>0</v>
      </c>
      <c r="H321" s="21">
        <f t="shared" si="124"/>
        <v>0</v>
      </c>
      <c r="I321" s="21">
        <f t="shared" si="124"/>
        <v>0</v>
      </c>
      <c r="J321" s="21">
        <f t="shared" si="124"/>
        <v>0</v>
      </c>
      <c r="K321" s="21">
        <f t="shared" si="124"/>
        <v>0</v>
      </c>
      <c r="L321" s="21">
        <f t="shared" si="124"/>
        <v>0</v>
      </c>
      <c r="M321" s="21">
        <f t="shared" si="124"/>
        <v>0</v>
      </c>
      <c r="N321" s="21">
        <f>SUM(B321:M321)</f>
        <v>0</v>
      </c>
    </row>
    <row r="322" spans="1:14" ht="8.25" customHeight="1">
      <c r="A322" s="26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</row>
    <row r="323" spans="1:14">
      <c r="A323" s="145" t="s">
        <v>25</v>
      </c>
      <c r="B323" s="144">
        <f>B276+B281+B286+B291+B296+B301+B311+B306+B316+B321</f>
        <v>28801.919999999998</v>
      </c>
      <c r="C323" s="144">
        <f t="shared" ref="C323:M323" si="125">C276+C281+C286+C291+C296+C301+C311+C306+C316+C321</f>
        <v>23761.919999999998</v>
      </c>
      <c r="D323" s="144">
        <f t="shared" si="125"/>
        <v>23761.919999999998</v>
      </c>
      <c r="E323" s="144">
        <f t="shared" si="125"/>
        <v>23761.919999999998</v>
      </c>
      <c r="F323" s="144">
        <f t="shared" si="125"/>
        <v>23761.919999999998</v>
      </c>
      <c r="G323" s="144">
        <f t="shared" si="125"/>
        <v>23761.919999999998</v>
      </c>
      <c r="H323" s="144">
        <f t="shared" si="125"/>
        <v>23761.919999999998</v>
      </c>
      <c r="I323" s="144">
        <f t="shared" si="125"/>
        <v>23761.919999999998</v>
      </c>
      <c r="J323" s="144">
        <f t="shared" si="125"/>
        <v>23761.919999999998</v>
      </c>
      <c r="K323" s="144">
        <f t="shared" si="125"/>
        <v>23761.919999999998</v>
      </c>
      <c r="L323" s="144">
        <f t="shared" si="125"/>
        <v>23761.919999999998</v>
      </c>
      <c r="M323" s="144">
        <f t="shared" si="125"/>
        <v>23761.919999999998</v>
      </c>
      <c r="N323" s="144">
        <f>SUM(B323:M323)</f>
        <v>290183.03999999992</v>
      </c>
    </row>
    <row r="324" spans="1:14">
      <c r="A324" s="147" t="str">
        <f>A269</f>
        <v>Total Monthly Demand</v>
      </c>
      <c r="B324" s="146">
        <f>B274+B279+B284+B289+B294+B299+B304+B309+B314+B319</f>
        <v>297056</v>
      </c>
      <c r="C324" s="146">
        <f t="shared" ref="C324:M324" si="126">C274+C279+C284+C289+C294+C299+C304+C309+C314+C319</f>
        <v>247056</v>
      </c>
      <c r="D324" s="146">
        <f t="shared" si="126"/>
        <v>247056</v>
      </c>
      <c r="E324" s="146">
        <f t="shared" si="126"/>
        <v>247056</v>
      </c>
      <c r="F324" s="146">
        <f t="shared" si="126"/>
        <v>247056</v>
      </c>
      <c r="G324" s="146">
        <f t="shared" si="126"/>
        <v>247056</v>
      </c>
      <c r="H324" s="146">
        <f t="shared" si="126"/>
        <v>247056</v>
      </c>
      <c r="I324" s="146">
        <f t="shared" si="126"/>
        <v>247056</v>
      </c>
      <c r="J324" s="146">
        <f t="shared" si="126"/>
        <v>247056</v>
      </c>
      <c r="K324" s="146">
        <f t="shared" si="126"/>
        <v>247056</v>
      </c>
      <c r="L324" s="146">
        <f t="shared" si="126"/>
        <v>247056</v>
      </c>
      <c r="M324" s="146">
        <f t="shared" si="126"/>
        <v>247056</v>
      </c>
      <c r="N324" s="144">
        <f>SUM(B324:M324)</f>
        <v>3014672</v>
      </c>
    </row>
    <row r="325" spans="1:14">
      <c r="A325" s="25">
        <f>A270+1</f>
        <v>2019</v>
      </c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</row>
    <row r="326" spans="1:14" ht="13.2">
      <c r="A326" s="23" t="s">
        <v>19</v>
      </c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</row>
    <row r="327" spans="1:14" ht="5.25" customHeight="1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</row>
    <row r="328" spans="1:14">
      <c r="A328" s="402" t="s">
        <v>359</v>
      </c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>
      <c r="A329" s="27" t="s">
        <v>16</v>
      </c>
      <c r="B329" s="28">
        <f>'TSAS Demand Revenues (7)'!B327</f>
        <v>5000</v>
      </c>
      <c r="C329" s="28">
        <f>'TSAS Demand Revenues (7)'!C327</f>
        <v>5000</v>
      </c>
      <c r="D329" s="28">
        <f>'TSAS Demand Revenues (7)'!D327</f>
        <v>5000</v>
      </c>
      <c r="E329" s="28">
        <f>'TSAS Demand Revenues (7)'!E327</f>
        <v>5000</v>
      </c>
      <c r="F329" s="28">
        <f>'TSAS Demand Revenues (7)'!F327</f>
        <v>5000</v>
      </c>
      <c r="G329" s="28">
        <f>'TSAS Demand Revenues (7)'!G327</f>
        <v>5000</v>
      </c>
      <c r="H329" s="28">
        <f>'TSAS Demand Revenues (7)'!H327</f>
        <v>5000</v>
      </c>
      <c r="I329" s="28">
        <f>'TSAS Demand Revenues (7)'!I327</f>
        <v>5000</v>
      </c>
      <c r="J329" s="28">
        <f>'TSAS Demand Revenues (7)'!J327</f>
        <v>5000</v>
      </c>
      <c r="K329" s="28">
        <f>'TSAS Demand Revenues (7)'!K327</f>
        <v>5000</v>
      </c>
      <c r="L329" s="28">
        <f>'TSAS Demand Revenues (7)'!L327</f>
        <v>5000</v>
      </c>
      <c r="M329" s="28">
        <f>'TSAS Demand Revenues (7)'!M327</f>
        <v>5000</v>
      </c>
      <c r="N329" s="28">
        <f>SUM(B329:M329)</f>
        <v>60000</v>
      </c>
    </row>
    <row r="330" spans="1:14">
      <c r="A330" s="26" t="s">
        <v>20</v>
      </c>
      <c r="B330" s="32">
        <f t="shared" ref="B330:M330" si="127">+$B$14</f>
        <v>0.1008</v>
      </c>
      <c r="C330" s="32">
        <f t="shared" si="127"/>
        <v>0.1008</v>
      </c>
      <c r="D330" s="32">
        <f t="shared" si="127"/>
        <v>0.1008</v>
      </c>
      <c r="E330" s="32">
        <f t="shared" si="127"/>
        <v>0.1008</v>
      </c>
      <c r="F330" s="32">
        <f t="shared" si="127"/>
        <v>0.1008</v>
      </c>
      <c r="G330" s="32">
        <f t="shared" si="127"/>
        <v>0.1008</v>
      </c>
      <c r="H330" s="32">
        <f t="shared" si="127"/>
        <v>0.1008</v>
      </c>
      <c r="I330" s="32">
        <f t="shared" si="127"/>
        <v>0.1008</v>
      </c>
      <c r="J330" s="32">
        <f t="shared" si="127"/>
        <v>0.1008</v>
      </c>
      <c r="K330" s="32">
        <f t="shared" si="127"/>
        <v>0.1008</v>
      </c>
      <c r="L330" s="32">
        <f t="shared" si="127"/>
        <v>0.1008</v>
      </c>
      <c r="M330" s="32">
        <f t="shared" si="127"/>
        <v>0.1008</v>
      </c>
      <c r="N330" s="20"/>
    </row>
    <row r="331" spans="1:14">
      <c r="A331" s="26" t="s">
        <v>17</v>
      </c>
      <c r="B331" s="21">
        <f t="shared" ref="B331:M331" si="128">B329*B330</f>
        <v>504</v>
      </c>
      <c r="C331" s="21">
        <f t="shared" si="128"/>
        <v>504</v>
      </c>
      <c r="D331" s="21">
        <f t="shared" si="128"/>
        <v>504</v>
      </c>
      <c r="E331" s="21">
        <f t="shared" si="128"/>
        <v>504</v>
      </c>
      <c r="F331" s="21">
        <f t="shared" si="128"/>
        <v>504</v>
      </c>
      <c r="G331" s="21">
        <f t="shared" si="128"/>
        <v>504</v>
      </c>
      <c r="H331" s="21">
        <f t="shared" si="128"/>
        <v>504</v>
      </c>
      <c r="I331" s="21">
        <f t="shared" si="128"/>
        <v>504</v>
      </c>
      <c r="J331" s="21">
        <f t="shared" si="128"/>
        <v>504</v>
      </c>
      <c r="K331" s="21">
        <f t="shared" si="128"/>
        <v>504</v>
      </c>
      <c r="L331" s="21">
        <f t="shared" si="128"/>
        <v>504</v>
      </c>
      <c r="M331" s="21">
        <f t="shared" si="128"/>
        <v>504</v>
      </c>
      <c r="N331" s="21">
        <f>SUM(B331:M331)</f>
        <v>6048</v>
      </c>
    </row>
    <row r="332" spans="1:14" ht="5.2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 ht="11.25" customHeight="1">
      <c r="A333" s="26" t="s">
        <v>21</v>
      </c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 ht="11.25" customHeight="1">
      <c r="A334" s="27" t="s">
        <v>16</v>
      </c>
      <c r="B334" s="28">
        <f>'TSAS Demand Revenues (7)'!B332</f>
        <v>0</v>
      </c>
      <c r="C334" s="28">
        <f>'TSAS Demand Revenues (7)'!C332</f>
        <v>0</v>
      </c>
      <c r="D334" s="28">
        <f>'TSAS Demand Revenues (7)'!D332</f>
        <v>0</v>
      </c>
      <c r="E334" s="28">
        <f>'TSAS Demand Revenues (7)'!E332</f>
        <v>0</v>
      </c>
      <c r="F334" s="28">
        <f>'TSAS Demand Revenues (7)'!F332</f>
        <v>0</v>
      </c>
      <c r="G334" s="28">
        <f>'TSAS Demand Revenues (7)'!G332</f>
        <v>0</v>
      </c>
      <c r="H334" s="28">
        <f>'TSAS Demand Revenues (7)'!H332</f>
        <v>0</v>
      </c>
      <c r="I334" s="28">
        <f>'TSAS Demand Revenues (7)'!I332</f>
        <v>0</v>
      </c>
      <c r="J334" s="28">
        <f>'TSAS Demand Revenues (7)'!J332</f>
        <v>0</v>
      </c>
      <c r="K334" s="28">
        <f>'TSAS Demand Revenues (7)'!K332</f>
        <v>0</v>
      </c>
      <c r="L334" s="28">
        <f>'TSAS Demand Revenues (7)'!L332</f>
        <v>0</v>
      </c>
      <c r="M334" s="28">
        <f>'TSAS Demand Revenues (7)'!M332</f>
        <v>0</v>
      </c>
      <c r="N334" s="28">
        <f>SUM(B334:M334)</f>
        <v>0</v>
      </c>
    </row>
    <row r="335" spans="1:14" ht="11.25" customHeight="1">
      <c r="A335" s="26" t="s">
        <v>20</v>
      </c>
      <c r="B335" s="32">
        <f t="shared" ref="B335:M335" si="129">+$B$19</f>
        <v>0.1008</v>
      </c>
      <c r="C335" s="32">
        <f t="shared" si="129"/>
        <v>0.1008</v>
      </c>
      <c r="D335" s="32">
        <f t="shared" si="129"/>
        <v>0.1008</v>
      </c>
      <c r="E335" s="32">
        <f t="shared" si="129"/>
        <v>0.1008</v>
      </c>
      <c r="F335" s="32">
        <f t="shared" si="129"/>
        <v>0.1008</v>
      </c>
      <c r="G335" s="32">
        <f t="shared" si="129"/>
        <v>0.1008</v>
      </c>
      <c r="H335" s="32">
        <f t="shared" si="129"/>
        <v>0.1008</v>
      </c>
      <c r="I335" s="32">
        <f t="shared" si="129"/>
        <v>0.1008</v>
      </c>
      <c r="J335" s="32">
        <f t="shared" si="129"/>
        <v>0.1008</v>
      </c>
      <c r="K335" s="32">
        <f t="shared" si="129"/>
        <v>0.1008</v>
      </c>
      <c r="L335" s="32">
        <f t="shared" si="129"/>
        <v>0.1008</v>
      </c>
      <c r="M335" s="32">
        <f t="shared" si="129"/>
        <v>0.1008</v>
      </c>
      <c r="N335" s="20"/>
    </row>
    <row r="336" spans="1:14" ht="10.5" customHeight="1">
      <c r="A336" s="26" t="s">
        <v>17</v>
      </c>
      <c r="B336" s="21">
        <f t="shared" ref="B336:M336" si="130">B334*B335</f>
        <v>0</v>
      </c>
      <c r="C336" s="21">
        <f t="shared" si="130"/>
        <v>0</v>
      </c>
      <c r="D336" s="21">
        <f t="shared" si="130"/>
        <v>0</v>
      </c>
      <c r="E336" s="21">
        <f t="shared" si="130"/>
        <v>0</v>
      </c>
      <c r="F336" s="21">
        <f t="shared" si="130"/>
        <v>0</v>
      </c>
      <c r="G336" s="21">
        <f t="shared" si="130"/>
        <v>0</v>
      </c>
      <c r="H336" s="21">
        <f t="shared" si="130"/>
        <v>0</v>
      </c>
      <c r="I336" s="21">
        <f t="shared" si="130"/>
        <v>0</v>
      </c>
      <c r="J336" s="21">
        <f t="shared" si="130"/>
        <v>0</v>
      </c>
      <c r="K336" s="21">
        <f t="shared" si="130"/>
        <v>0</v>
      </c>
      <c r="L336" s="21">
        <f t="shared" si="130"/>
        <v>0</v>
      </c>
      <c r="M336" s="21">
        <f t="shared" si="130"/>
        <v>0</v>
      </c>
      <c r="N336" s="21">
        <f>SUM(B336:M336)</f>
        <v>0</v>
      </c>
    </row>
    <row r="337" spans="1:14" ht="5.25" customHeight="1">
      <c r="A337" s="20"/>
      <c r="B337" s="21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 ht="9.75" customHeight="1">
      <c r="A338" s="26" t="s">
        <v>22</v>
      </c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>
      <c r="A339" s="27" t="s">
        <v>16</v>
      </c>
      <c r="B339" s="28">
        <f>'TSAS Demand Revenues (7)'!B337</f>
        <v>0</v>
      </c>
      <c r="C339" s="28">
        <f>'TSAS Demand Revenues (7)'!C337</f>
        <v>0</v>
      </c>
      <c r="D339" s="28">
        <f>'TSAS Demand Revenues (7)'!D337</f>
        <v>0</v>
      </c>
      <c r="E339" s="28">
        <f>'TSAS Demand Revenues (7)'!E337</f>
        <v>0</v>
      </c>
      <c r="F339" s="28">
        <f>'TSAS Demand Revenues (7)'!F337</f>
        <v>0</v>
      </c>
      <c r="G339" s="28">
        <f>'TSAS Demand Revenues (7)'!G337</f>
        <v>0</v>
      </c>
      <c r="H339" s="28">
        <f>'TSAS Demand Revenues (7)'!H337</f>
        <v>0</v>
      </c>
      <c r="I339" s="28">
        <f>'TSAS Demand Revenues (7)'!I337</f>
        <v>0</v>
      </c>
      <c r="J339" s="28">
        <f>'TSAS Demand Revenues (7)'!J337</f>
        <v>0</v>
      </c>
      <c r="K339" s="28">
        <f>'TSAS Demand Revenues (7)'!K337</f>
        <v>0</v>
      </c>
      <c r="L339" s="28">
        <f>'TSAS Demand Revenues (7)'!L337</f>
        <v>0</v>
      </c>
      <c r="M339" s="28">
        <f>'TSAS Demand Revenues (7)'!M337</f>
        <v>0</v>
      </c>
      <c r="N339" s="28">
        <f>SUM(B339:M339)</f>
        <v>0</v>
      </c>
    </row>
    <row r="340" spans="1:14">
      <c r="A340" s="26" t="s">
        <v>20</v>
      </c>
      <c r="B340" s="33">
        <f t="shared" ref="B340:M340" si="131">+$B$24</f>
        <v>0.1008</v>
      </c>
      <c r="C340" s="33">
        <f t="shared" si="131"/>
        <v>0.1008</v>
      </c>
      <c r="D340" s="33">
        <f t="shared" si="131"/>
        <v>0.1008</v>
      </c>
      <c r="E340" s="33">
        <f t="shared" si="131"/>
        <v>0.1008</v>
      </c>
      <c r="F340" s="33">
        <f t="shared" si="131"/>
        <v>0.1008</v>
      </c>
      <c r="G340" s="33">
        <f t="shared" si="131"/>
        <v>0.1008</v>
      </c>
      <c r="H340" s="33">
        <f t="shared" si="131"/>
        <v>0.1008</v>
      </c>
      <c r="I340" s="33">
        <f t="shared" si="131"/>
        <v>0.1008</v>
      </c>
      <c r="J340" s="33">
        <f t="shared" si="131"/>
        <v>0.1008</v>
      </c>
      <c r="K340" s="33">
        <f t="shared" si="131"/>
        <v>0.1008</v>
      </c>
      <c r="L340" s="33">
        <f t="shared" si="131"/>
        <v>0.1008</v>
      </c>
      <c r="M340" s="33">
        <f t="shared" si="131"/>
        <v>0.1008</v>
      </c>
      <c r="N340" s="20"/>
    </row>
    <row r="341" spans="1:14" ht="10.5" customHeight="1">
      <c r="A341" s="26" t="s">
        <v>17</v>
      </c>
      <c r="B341" s="21">
        <f t="shared" ref="B341:M341" si="132">B339*B340</f>
        <v>0</v>
      </c>
      <c r="C341" s="21">
        <f t="shared" si="132"/>
        <v>0</v>
      </c>
      <c r="D341" s="21">
        <f t="shared" si="132"/>
        <v>0</v>
      </c>
      <c r="E341" s="21">
        <f t="shared" si="132"/>
        <v>0</v>
      </c>
      <c r="F341" s="21">
        <f t="shared" si="132"/>
        <v>0</v>
      </c>
      <c r="G341" s="21">
        <f t="shared" si="132"/>
        <v>0</v>
      </c>
      <c r="H341" s="21">
        <f t="shared" si="132"/>
        <v>0</v>
      </c>
      <c r="I341" s="21">
        <f t="shared" si="132"/>
        <v>0</v>
      </c>
      <c r="J341" s="21">
        <f t="shared" si="132"/>
        <v>0</v>
      </c>
      <c r="K341" s="21">
        <f t="shared" si="132"/>
        <v>0</v>
      </c>
      <c r="L341" s="21">
        <f t="shared" si="132"/>
        <v>0</v>
      </c>
      <c r="M341" s="21">
        <f t="shared" si="132"/>
        <v>0</v>
      </c>
      <c r="N341" s="21">
        <f>SUM(B341:M341)</f>
        <v>0</v>
      </c>
    </row>
    <row r="342" spans="1:14" ht="6.75" customHeight="1">
      <c r="A342" s="20"/>
      <c r="B342" s="21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>
      <c r="A343" s="402" t="s">
        <v>23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 ht="10.5" customHeight="1">
      <c r="A344" s="27" t="s">
        <v>16</v>
      </c>
      <c r="B344" s="28">
        <f>'TSAS Demand Revenues (7)'!B342</f>
        <v>37056</v>
      </c>
      <c r="C344" s="28">
        <f>'TSAS Demand Revenues (7)'!C342</f>
        <v>37056</v>
      </c>
      <c r="D344" s="28">
        <f>'TSAS Demand Revenues (7)'!D342</f>
        <v>37056</v>
      </c>
      <c r="E344" s="28">
        <f>'TSAS Demand Revenues (7)'!E342</f>
        <v>37056</v>
      </c>
      <c r="F344" s="28">
        <f>'TSAS Demand Revenues (7)'!F342</f>
        <v>37056</v>
      </c>
      <c r="G344" s="28">
        <f>'TSAS Demand Revenues (7)'!G342</f>
        <v>37056</v>
      </c>
      <c r="H344" s="28">
        <f>'TSAS Demand Revenues (7)'!H342</f>
        <v>37056</v>
      </c>
      <c r="I344" s="28">
        <f>'TSAS Demand Revenues (7)'!I342</f>
        <v>37056</v>
      </c>
      <c r="J344" s="28">
        <f>'TSAS Demand Revenues (7)'!J342</f>
        <v>37056</v>
      </c>
      <c r="K344" s="28">
        <f>'TSAS Demand Revenues (7)'!K342</f>
        <v>37056</v>
      </c>
      <c r="L344" s="28">
        <f>'TSAS Demand Revenues (7)'!L342</f>
        <v>37056</v>
      </c>
      <c r="M344" s="28">
        <f>'TSAS Demand Revenues (7)'!M342</f>
        <v>37056</v>
      </c>
      <c r="N344" s="28">
        <f>SUM(B344:M344)</f>
        <v>444672</v>
      </c>
    </row>
    <row r="345" spans="1:14" ht="11.25" customHeight="1">
      <c r="A345" s="26" t="s">
        <v>20</v>
      </c>
      <c r="B345" s="33">
        <f t="shared" ref="B345:M345" si="133">+$B$29</f>
        <v>7.0000000000000007E-2</v>
      </c>
      <c r="C345" s="33">
        <f t="shared" si="133"/>
        <v>7.0000000000000007E-2</v>
      </c>
      <c r="D345" s="33">
        <f t="shared" si="133"/>
        <v>7.0000000000000007E-2</v>
      </c>
      <c r="E345" s="33">
        <f t="shared" si="133"/>
        <v>7.0000000000000007E-2</v>
      </c>
      <c r="F345" s="33">
        <f t="shared" si="133"/>
        <v>7.0000000000000007E-2</v>
      </c>
      <c r="G345" s="33">
        <f t="shared" si="133"/>
        <v>7.0000000000000007E-2</v>
      </c>
      <c r="H345" s="33">
        <f t="shared" si="133"/>
        <v>7.0000000000000007E-2</v>
      </c>
      <c r="I345" s="33">
        <f t="shared" si="133"/>
        <v>7.0000000000000007E-2</v>
      </c>
      <c r="J345" s="33">
        <f t="shared" si="133"/>
        <v>7.0000000000000007E-2</v>
      </c>
      <c r="K345" s="33">
        <f t="shared" si="133"/>
        <v>7.0000000000000007E-2</v>
      </c>
      <c r="L345" s="33">
        <f t="shared" si="133"/>
        <v>7.0000000000000007E-2</v>
      </c>
      <c r="M345" s="33">
        <f t="shared" si="133"/>
        <v>7.0000000000000007E-2</v>
      </c>
      <c r="N345" s="20"/>
    </row>
    <row r="346" spans="1:14" ht="9.75" customHeight="1">
      <c r="A346" s="26" t="s">
        <v>17</v>
      </c>
      <c r="B346" s="21">
        <f t="shared" ref="B346:M346" si="134">B344*B345</f>
        <v>2593.92</v>
      </c>
      <c r="C346" s="21">
        <f t="shared" si="134"/>
        <v>2593.92</v>
      </c>
      <c r="D346" s="21">
        <f t="shared" si="134"/>
        <v>2593.92</v>
      </c>
      <c r="E346" s="21">
        <f t="shared" si="134"/>
        <v>2593.92</v>
      </c>
      <c r="F346" s="21">
        <f t="shared" si="134"/>
        <v>2593.92</v>
      </c>
      <c r="G346" s="21">
        <f t="shared" si="134"/>
        <v>2593.92</v>
      </c>
      <c r="H346" s="21">
        <f t="shared" si="134"/>
        <v>2593.92</v>
      </c>
      <c r="I346" s="21">
        <f t="shared" si="134"/>
        <v>2593.92</v>
      </c>
      <c r="J346" s="21">
        <f t="shared" si="134"/>
        <v>2593.92</v>
      </c>
      <c r="K346" s="21">
        <f t="shared" si="134"/>
        <v>2593.92</v>
      </c>
      <c r="L346" s="21">
        <f t="shared" si="134"/>
        <v>2593.92</v>
      </c>
      <c r="M346" s="21">
        <f t="shared" si="134"/>
        <v>2593.92</v>
      </c>
      <c r="N346" s="21">
        <f>SUM(B346:M346)</f>
        <v>31127.039999999994</v>
      </c>
    </row>
    <row r="347" spans="1:14" ht="6" customHeight="1">
      <c r="A347" s="20"/>
      <c r="B347" s="21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 ht="10.5" customHeight="1">
      <c r="A348" s="402" t="s">
        <v>24</v>
      </c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 ht="11.25" customHeight="1">
      <c r="A349" s="27" t="s">
        <v>16</v>
      </c>
      <c r="B349" s="28">
        <f>'TSAS Demand Revenues (7)'!B347</f>
        <v>62000</v>
      </c>
      <c r="C349" s="28">
        <f>'TSAS Demand Revenues (7)'!C347</f>
        <v>62000</v>
      </c>
      <c r="D349" s="28">
        <f>'TSAS Demand Revenues (7)'!D347</f>
        <v>62000</v>
      </c>
      <c r="E349" s="28">
        <f>'TSAS Demand Revenues (7)'!E347</f>
        <v>62000</v>
      </c>
      <c r="F349" s="28">
        <f>'TSAS Demand Revenues (7)'!F347</f>
        <v>62000</v>
      </c>
      <c r="G349" s="28">
        <f>'TSAS Demand Revenues (7)'!G347</f>
        <v>62000</v>
      </c>
      <c r="H349" s="28">
        <f>'TSAS Demand Revenues (7)'!H347</f>
        <v>62000</v>
      </c>
      <c r="I349" s="28">
        <f>'TSAS Demand Revenues (7)'!I347</f>
        <v>62000</v>
      </c>
      <c r="J349" s="28">
        <f>'TSAS Demand Revenues (7)'!J347</f>
        <v>62000</v>
      </c>
      <c r="K349" s="28">
        <f>'TSAS Demand Revenues (7)'!K347</f>
        <v>62000</v>
      </c>
      <c r="L349" s="28">
        <f>'TSAS Demand Revenues (7)'!L347</f>
        <v>62000</v>
      </c>
      <c r="M349" s="28">
        <f>'TSAS Demand Revenues (7)'!M347</f>
        <v>62000</v>
      </c>
      <c r="N349" s="28">
        <f>SUM(B349:M349)</f>
        <v>744000</v>
      </c>
    </row>
    <row r="350" spans="1:14" ht="12" customHeight="1">
      <c r="A350" s="26" t="s">
        <v>20</v>
      </c>
      <c r="B350" s="33">
        <f t="shared" ref="B350:M350" si="135">+$B$34</f>
        <v>0.1008</v>
      </c>
      <c r="C350" s="33">
        <f t="shared" si="135"/>
        <v>0.1008</v>
      </c>
      <c r="D350" s="33">
        <f t="shared" si="135"/>
        <v>0.1008</v>
      </c>
      <c r="E350" s="33">
        <f t="shared" si="135"/>
        <v>0.1008</v>
      </c>
      <c r="F350" s="33">
        <f t="shared" si="135"/>
        <v>0.1008</v>
      </c>
      <c r="G350" s="33">
        <f t="shared" si="135"/>
        <v>0.1008</v>
      </c>
      <c r="H350" s="33">
        <f t="shared" si="135"/>
        <v>0.1008</v>
      </c>
      <c r="I350" s="33">
        <f t="shared" si="135"/>
        <v>0.1008</v>
      </c>
      <c r="J350" s="33">
        <f t="shared" si="135"/>
        <v>0.1008</v>
      </c>
      <c r="K350" s="33">
        <f t="shared" si="135"/>
        <v>0.1008</v>
      </c>
      <c r="L350" s="33">
        <f t="shared" si="135"/>
        <v>0.1008</v>
      </c>
      <c r="M350" s="33">
        <f t="shared" si="135"/>
        <v>0.1008</v>
      </c>
      <c r="N350" s="20"/>
    </row>
    <row r="351" spans="1:14" ht="11.25" customHeight="1">
      <c r="A351" s="26" t="s">
        <v>17</v>
      </c>
      <c r="B351" s="21">
        <f t="shared" ref="B351:M351" si="136">B349*B350</f>
        <v>6249.6</v>
      </c>
      <c r="C351" s="21">
        <f t="shared" si="136"/>
        <v>6249.6</v>
      </c>
      <c r="D351" s="21">
        <f t="shared" si="136"/>
        <v>6249.6</v>
      </c>
      <c r="E351" s="21">
        <f t="shared" si="136"/>
        <v>6249.6</v>
      </c>
      <c r="F351" s="21">
        <f t="shared" si="136"/>
        <v>6249.6</v>
      </c>
      <c r="G351" s="21">
        <f t="shared" si="136"/>
        <v>6249.6</v>
      </c>
      <c r="H351" s="21">
        <f t="shared" si="136"/>
        <v>6249.6</v>
      </c>
      <c r="I351" s="21">
        <f t="shared" si="136"/>
        <v>6249.6</v>
      </c>
      <c r="J351" s="21">
        <f t="shared" si="136"/>
        <v>6249.6</v>
      </c>
      <c r="K351" s="21">
        <f t="shared" si="136"/>
        <v>6249.6</v>
      </c>
      <c r="L351" s="21">
        <f t="shared" si="136"/>
        <v>6249.6</v>
      </c>
      <c r="M351" s="21">
        <f t="shared" si="136"/>
        <v>6249.6</v>
      </c>
      <c r="N351" s="21">
        <f>SUM(B351:M351)</f>
        <v>74995.199999999997</v>
      </c>
    </row>
    <row r="352" spans="1:14" ht="4.5" customHeight="1">
      <c r="A352" s="26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</row>
    <row r="353" spans="1:14" ht="10.5" customHeight="1">
      <c r="A353" s="402" t="s">
        <v>116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 ht="10.5" customHeight="1">
      <c r="A354" s="27" t="s">
        <v>16</v>
      </c>
      <c r="B354" s="28">
        <f>'TSAS Demand Revenues (7)'!B352</f>
        <v>40000</v>
      </c>
      <c r="C354" s="28">
        <f>'TSAS Demand Revenues (7)'!C352</f>
        <v>40000</v>
      </c>
      <c r="D354" s="28">
        <f>'TSAS Demand Revenues (7)'!D352</f>
        <v>40000</v>
      </c>
      <c r="E354" s="28">
        <f>'TSAS Demand Revenues (7)'!E352</f>
        <v>40000</v>
      </c>
      <c r="F354" s="28">
        <f>'TSAS Demand Revenues (7)'!F352</f>
        <v>40000</v>
      </c>
      <c r="G354" s="28">
        <f>'TSAS Demand Revenues (7)'!G352</f>
        <v>40000</v>
      </c>
      <c r="H354" s="28">
        <f>'TSAS Demand Revenues (7)'!H352</f>
        <v>40000</v>
      </c>
      <c r="I354" s="28">
        <f>'TSAS Demand Revenues (7)'!I352</f>
        <v>40000</v>
      </c>
      <c r="J354" s="28">
        <f>'TSAS Demand Revenues (7)'!J352</f>
        <v>40000</v>
      </c>
      <c r="K354" s="28">
        <f>'TSAS Demand Revenues (7)'!K352</f>
        <v>40000</v>
      </c>
      <c r="L354" s="28">
        <f>'TSAS Demand Revenues (7)'!L352</f>
        <v>40000</v>
      </c>
      <c r="M354" s="28">
        <f>'TSAS Demand Revenues (7)'!M352</f>
        <v>40000</v>
      </c>
      <c r="N354" s="28">
        <f>SUM(B354:M354)</f>
        <v>480000</v>
      </c>
    </row>
    <row r="355" spans="1:14" ht="10.5" customHeight="1">
      <c r="A355" s="26" t="s">
        <v>20</v>
      </c>
      <c r="B355" s="33">
        <f>B350</f>
        <v>0.1008</v>
      </c>
      <c r="C355" s="33">
        <f>C350</f>
        <v>0.1008</v>
      </c>
      <c r="D355" s="33">
        <f t="shared" ref="D355" si="137">C355</f>
        <v>0.1008</v>
      </c>
      <c r="E355" s="33">
        <f t="shared" ref="E355" si="138">D355</f>
        <v>0.1008</v>
      </c>
      <c r="F355" s="33">
        <f t="shared" ref="F355" si="139">E355</f>
        <v>0.1008</v>
      </c>
      <c r="G355" s="33">
        <f t="shared" ref="G355" si="140">F355</f>
        <v>0.1008</v>
      </c>
      <c r="H355" s="33">
        <f t="shared" ref="H355" si="141">G355</f>
        <v>0.1008</v>
      </c>
      <c r="I355" s="33">
        <f t="shared" ref="I355" si="142">H355</f>
        <v>0.1008</v>
      </c>
      <c r="J355" s="33">
        <f t="shared" ref="J355" si="143">I355</f>
        <v>0.1008</v>
      </c>
      <c r="K355" s="33">
        <f t="shared" ref="K355" si="144">J355</f>
        <v>0.1008</v>
      </c>
      <c r="L355" s="33">
        <f t="shared" ref="L355" si="145">K355</f>
        <v>0.1008</v>
      </c>
      <c r="M355" s="33">
        <f t="shared" ref="M355" si="146">L355</f>
        <v>0.1008</v>
      </c>
      <c r="N355" s="20"/>
    </row>
    <row r="356" spans="1:14" ht="11.25" customHeight="1">
      <c r="A356" s="26" t="s">
        <v>17</v>
      </c>
      <c r="B356" s="21">
        <f t="shared" ref="B356:M356" si="147">B354*B355</f>
        <v>4032</v>
      </c>
      <c r="C356" s="21">
        <f t="shared" si="147"/>
        <v>4032</v>
      </c>
      <c r="D356" s="21">
        <f t="shared" si="147"/>
        <v>4032</v>
      </c>
      <c r="E356" s="21">
        <f t="shared" si="147"/>
        <v>4032</v>
      </c>
      <c r="F356" s="21">
        <f t="shared" si="147"/>
        <v>4032</v>
      </c>
      <c r="G356" s="21">
        <f t="shared" si="147"/>
        <v>4032</v>
      </c>
      <c r="H356" s="21">
        <f t="shared" si="147"/>
        <v>4032</v>
      </c>
      <c r="I356" s="21">
        <f t="shared" si="147"/>
        <v>4032</v>
      </c>
      <c r="J356" s="21">
        <f t="shared" si="147"/>
        <v>4032</v>
      </c>
      <c r="K356" s="21">
        <f t="shared" si="147"/>
        <v>4032</v>
      </c>
      <c r="L356" s="21">
        <f t="shared" si="147"/>
        <v>4032</v>
      </c>
      <c r="M356" s="21">
        <f t="shared" si="147"/>
        <v>4032</v>
      </c>
      <c r="N356" s="21">
        <f>SUM(B356:M356)</f>
        <v>48384</v>
      </c>
    </row>
    <row r="357" spans="1:14" ht="6" customHeight="1">
      <c r="A357" s="26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</row>
    <row r="358" spans="1:14">
      <c r="A358" s="402" t="s">
        <v>237</v>
      </c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>
      <c r="A359" s="27" t="s">
        <v>16</v>
      </c>
      <c r="B359" s="28">
        <f>'TSAS Demand Revenues (7)'!B357</f>
        <v>3000</v>
      </c>
      <c r="C359" s="28">
        <f>'TSAS Demand Revenues (7)'!C357</f>
        <v>3000</v>
      </c>
      <c r="D359" s="28">
        <f>'TSAS Demand Revenues (7)'!D357</f>
        <v>3000</v>
      </c>
      <c r="E359" s="28">
        <f>'TSAS Demand Revenues (7)'!E357</f>
        <v>3000</v>
      </c>
      <c r="F359" s="28">
        <f>'TSAS Demand Revenues (7)'!F357</f>
        <v>3000</v>
      </c>
      <c r="G359" s="28">
        <f>'TSAS Demand Revenues (7)'!G357</f>
        <v>3000</v>
      </c>
      <c r="H359" s="28">
        <f>'TSAS Demand Revenues (7)'!H357</f>
        <v>3000</v>
      </c>
      <c r="I359" s="28">
        <f>'TSAS Demand Revenues (7)'!I357</f>
        <v>3000</v>
      </c>
      <c r="J359" s="28">
        <f>'TSAS Demand Revenues (7)'!J357</f>
        <v>3000</v>
      </c>
      <c r="K359" s="28">
        <f>'TSAS Demand Revenues (7)'!K357</f>
        <v>3000</v>
      </c>
      <c r="L359" s="28">
        <f>'TSAS Demand Revenues (7)'!L357</f>
        <v>3000</v>
      </c>
      <c r="M359" s="28">
        <f>'TSAS Demand Revenues (7)'!M357</f>
        <v>3000</v>
      </c>
      <c r="N359" s="28">
        <f>SUM(B359:M359)</f>
        <v>36000</v>
      </c>
    </row>
    <row r="360" spans="1:14">
      <c r="A360" s="26" t="s">
        <v>20</v>
      </c>
      <c r="B360" s="33">
        <f>B355</f>
        <v>0.1008</v>
      </c>
      <c r="C360" s="33">
        <f>C355</f>
        <v>0.1008</v>
      </c>
      <c r="D360" s="33">
        <f t="shared" ref="D360" si="148">C360</f>
        <v>0.1008</v>
      </c>
      <c r="E360" s="33">
        <f t="shared" ref="E360" si="149">D360</f>
        <v>0.1008</v>
      </c>
      <c r="F360" s="33">
        <f t="shared" ref="F360" si="150">E360</f>
        <v>0.1008</v>
      </c>
      <c r="G360" s="33">
        <f t="shared" ref="G360" si="151">F360</f>
        <v>0.1008</v>
      </c>
      <c r="H360" s="33">
        <f t="shared" ref="H360" si="152">G360</f>
        <v>0.1008</v>
      </c>
      <c r="I360" s="33">
        <f t="shared" ref="I360" si="153">H360</f>
        <v>0.1008</v>
      </c>
      <c r="J360" s="33">
        <f t="shared" ref="J360" si="154">I360</f>
        <v>0.1008</v>
      </c>
      <c r="K360" s="33">
        <f t="shared" ref="K360" si="155">J360</f>
        <v>0.1008</v>
      </c>
      <c r="L360" s="33">
        <f t="shared" ref="L360" si="156">K360</f>
        <v>0.1008</v>
      </c>
      <c r="M360" s="33">
        <f t="shared" ref="M360" si="157">L360</f>
        <v>0.1008</v>
      </c>
      <c r="N360" s="20"/>
    </row>
    <row r="361" spans="1:14">
      <c r="A361" s="26" t="s">
        <v>17</v>
      </c>
      <c r="B361" s="21">
        <f t="shared" ref="B361:M361" si="158">B359*B360</f>
        <v>302.39999999999998</v>
      </c>
      <c r="C361" s="21">
        <f t="shared" si="158"/>
        <v>302.39999999999998</v>
      </c>
      <c r="D361" s="21">
        <f t="shared" si="158"/>
        <v>302.39999999999998</v>
      </c>
      <c r="E361" s="21">
        <f t="shared" si="158"/>
        <v>302.39999999999998</v>
      </c>
      <c r="F361" s="21">
        <f t="shared" si="158"/>
        <v>302.39999999999998</v>
      </c>
      <c r="G361" s="21">
        <f t="shared" si="158"/>
        <v>302.39999999999998</v>
      </c>
      <c r="H361" s="21">
        <f t="shared" si="158"/>
        <v>302.39999999999998</v>
      </c>
      <c r="I361" s="21">
        <f t="shared" si="158"/>
        <v>302.39999999999998</v>
      </c>
      <c r="J361" s="21">
        <f t="shared" si="158"/>
        <v>302.39999999999998</v>
      </c>
      <c r="K361" s="21">
        <f t="shared" si="158"/>
        <v>302.39999999999998</v>
      </c>
      <c r="L361" s="21">
        <f t="shared" si="158"/>
        <v>302.39999999999998</v>
      </c>
      <c r="M361" s="21">
        <f t="shared" si="158"/>
        <v>302.39999999999998</v>
      </c>
      <c r="N361" s="21">
        <f>SUM(B361:M361)</f>
        <v>3628.8000000000006</v>
      </c>
    </row>
    <row r="362" spans="1:14" ht="6" customHeight="1">
      <c r="A362" s="26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</row>
    <row r="363" spans="1:14">
      <c r="A363" s="402" t="s">
        <v>179</v>
      </c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>
      <c r="A364" s="27" t="s">
        <v>16</v>
      </c>
      <c r="B364" s="28">
        <f>'TSAS Demand Revenues (7)'!B362</f>
        <v>0</v>
      </c>
      <c r="C364" s="28">
        <f>'TSAS Demand Revenues (7)'!C362</f>
        <v>0</v>
      </c>
      <c r="D364" s="28">
        <f>'TSAS Demand Revenues (7)'!D362</f>
        <v>0</v>
      </c>
      <c r="E364" s="28">
        <f>'TSAS Demand Revenues (7)'!E362</f>
        <v>0</v>
      </c>
      <c r="F364" s="28">
        <f>'TSAS Demand Revenues (7)'!F362</f>
        <v>0</v>
      </c>
      <c r="G364" s="28">
        <f>'TSAS Demand Revenues (7)'!G362</f>
        <v>0</v>
      </c>
      <c r="H364" s="28">
        <f>'TSAS Demand Revenues (7)'!H362</f>
        <v>0</v>
      </c>
      <c r="I364" s="28">
        <f>'TSAS Demand Revenues (7)'!I362</f>
        <v>0</v>
      </c>
      <c r="J364" s="28">
        <f>'TSAS Demand Revenues (7)'!J362</f>
        <v>0</v>
      </c>
      <c r="K364" s="28">
        <f>'TSAS Demand Revenues (7)'!K362</f>
        <v>0</v>
      </c>
      <c r="L364" s="28">
        <f>'TSAS Demand Revenues (7)'!L362</f>
        <v>0</v>
      </c>
      <c r="M364" s="28">
        <f>'TSAS Demand Revenues (7)'!M362</f>
        <v>0</v>
      </c>
      <c r="N364" s="28">
        <f>SUM(B364:M364)</f>
        <v>0</v>
      </c>
    </row>
    <row r="365" spans="1:14">
      <c r="A365" s="26" t="s">
        <v>20</v>
      </c>
      <c r="B365" s="33">
        <f>B355</f>
        <v>0.1008</v>
      </c>
      <c r="C365" s="33">
        <f t="shared" ref="C365:M365" si="159">C355</f>
        <v>0.1008</v>
      </c>
      <c r="D365" s="33">
        <f t="shared" si="159"/>
        <v>0.1008</v>
      </c>
      <c r="E365" s="33">
        <f t="shared" si="159"/>
        <v>0.1008</v>
      </c>
      <c r="F365" s="33">
        <f t="shared" si="159"/>
        <v>0.1008</v>
      </c>
      <c r="G365" s="33">
        <f t="shared" si="159"/>
        <v>0.1008</v>
      </c>
      <c r="H365" s="33">
        <f t="shared" si="159"/>
        <v>0.1008</v>
      </c>
      <c r="I365" s="33">
        <f t="shared" si="159"/>
        <v>0.1008</v>
      </c>
      <c r="J365" s="33">
        <f t="shared" si="159"/>
        <v>0.1008</v>
      </c>
      <c r="K365" s="33">
        <f t="shared" si="159"/>
        <v>0.1008</v>
      </c>
      <c r="L365" s="33">
        <f t="shared" si="159"/>
        <v>0.1008</v>
      </c>
      <c r="M365" s="33">
        <f t="shared" si="159"/>
        <v>0.1008</v>
      </c>
      <c r="N365" s="20"/>
    </row>
    <row r="366" spans="1:14">
      <c r="A366" s="26" t="s">
        <v>17</v>
      </c>
      <c r="B366" s="21">
        <f t="shared" ref="B366:M366" si="160">B364*B365</f>
        <v>0</v>
      </c>
      <c r="C366" s="21">
        <f t="shared" si="160"/>
        <v>0</v>
      </c>
      <c r="D366" s="21">
        <f t="shared" si="160"/>
        <v>0</v>
      </c>
      <c r="E366" s="21">
        <f t="shared" si="160"/>
        <v>0</v>
      </c>
      <c r="F366" s="21">
        <f t="shared" si="160"/>
        <v>0</v>
      </c>
      <c r="G366" s="21">
        <f t="shared" si="160"/>
        <v>0</v>
      </c>
      <c r="H366" s="21">
        <f t="shared" si="160"/>
        <v>0</v>
      </c>
      <c r="I366" s="21">
        <f t="shared" si="160"/>
        <v>0</v>
      </c>
      <c r="J366" s="21">
        <f t="shared" si="160"/>
        <v>0</v>
      </c>
      <c r="K366" s="21">
        <f t="shared" si="160"/>
        <v>0</v>
      </c>
      <c r="L366" s="21">
        <f t="shared" si="160"/>
        <v>0</v>
      </c>
      <c r="M366" s="21">
        <f t="shared" si="160"/>
        <v>0</v>
      </c>
      <c r="N366" s="21">
        <f>SUM(B366:M366)</f>
        <v>0</v>
      </c>
    </row>
    <row r="367" spans="1:14" ht="7.5" customHeight="1">
      <c r="A367" s="26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</row>
    <row r="368" spans="1:14" ht="11.25" customHeight="1">
      <c r="A368" s="402" t="s">
        <v>117</v>
      </c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 ht="11.25" customHeight="1">
      <c r="A369" s="27" t="s">
        <v>16</v>
      </c>
      <c r="B369" s="28">
        <f>'TSAS Demand Revenues (7)'!B372</f>
        <v>100000</v>
      </c>
      <c r="C369" s="28">
        <f>'TSAS Demand Revenues (7)'!C372</f>
        <v>100000</v>
      </c>
      <c r="D369" s="28">
        <f>'TSAS Demand Revenues (7)'!D372</f>
        <v>100000</v>
      </c>
      <c r="E369" s="28">
        <f>'TSAS Demand Revenues (7)'!E372</f>
        <v>100000</v>
      </c>
      <c r="F369" s="28">
        <f>'TSAS Demand Revenues (7)'!F372</f>
        <v>100000</v>
      </c>
      <c r="G369" s="28">
        <f>'TSAS Demand Revenues (7)'!G372</f>
        <v>100000</v>
      </c>
      <c r="H369" s="28">
        <f>'TSAS Demand Revenues (7)'!H372</f>
        <v>100000</v>
      </c>
      <c r="I369" s="28">
        <f>'TSAS Demand Revenues (7)'!I372</f>
        <v>100000</v>
      </c>
      <c r="J369" s="28">
        <f>'TSAS Demand Revenues (7)'!J372</f>
        <v>100000</v>
      </c>
      <c r="K369" s="28">
        <f>'TSAS Demand Revenues (7)'!K372</f>
        <v>100000</v>
      </c>
      <c r="L369" s="28">
        <f>'TSAS Demand Revenues (7)'!L372</f>
        <v>100000</v>
      </c>
      <c r="M369" s="28">
        <f>'TSAS Demand Revenues (7)'!M372</f>
        <v>100000</v>
      </c>
      <c r="N369" s="28">
        <f>SUM(B369:M369)</f>
        <v>1200000</v>
      </c>
    </row>
    <row r="370" spans="1:14">
      <c r="A370" s="26" t="s">
        <v>20</v>
      </c>
      <c r="B370" s="33">
        <f t="shared" ref="B370:M370" si="161">+$B$34</f>
        <v>0.1008</v>
      </c>
      <c r="C370" s="33">
        <f t="shared" si="161"/>
        <v>0.1008</v>
      </c>
      <c r="D370" s="33">
        <f t="shared" si="161"/>
        <v>0.1008</v>
      </c>
      <c r="E370" s="33">
        <f t="shared" si="161"/>
        <v>0.1008</v>
      </c>
      <c r="F370" s="33">
        <f t="shared" si="161"/>
        <v>0.1008</v>
      </c>
      <c r="G370" s="33">
        <f t="shared" si="161"/>
        <v>0.1008</v>
      </c>
      <c r="H370" s="33">
        <f t="shared" si="161"/>
        <v>0.1008</v>
      </c>
      <c r="I370" s="33">
        <f t="shared" si="161"/>
        <v>0.1008</v>
      </c>
      <c r="J370" s="33">
        <f t="shared" si="161"/>
        <v>0.1008</v>
      </c>
      <c r="K370" s="33">
        <f t="shared" si="161"/>
        <v>0.1008</v>
      </c>
      <c r="L370" s="33">
        <f t="shared" si="161"/>
        <v>0.1008</v>
      </c>
      <c r="M370" s="33">
        <f t="shared" si="161"/>
        <v>0.1008</v>
      </c>
      <c r="N370" s="20"/>
    </row>
    <row r="371" spans="1:14">
      <c r="A371" s="26" t="s">
        <v>17</v>
      </c>
      <c r="B371" s="21">
        <f t="shared" ref="B371:M371" si="162">B369*B370</f>
        <v>10080</v>
      </c>
      <c r="C371" s="21">
        <f t="shared" si="162"/>
        <v>10080</v>
      </c>
      <c r="D371" s="21">
        <f t="shared" si="162"/>
        <v>10080</v>
      </c>
      <c r="E371" s="21">
        <f t="shared" si="162"/>
        <v>10080</v>
      </c>
      <c r="F371" s="21">
        <f t="shared" si="162"/>
        <v>10080</v>
      </c>
      <c r="G371" s="21">
        <f t="shared" si="162"/>
        <v>10080</v>
      </c>
      <c r="H371" s="21">
        <f t="shared" si="162"/>
        <v>10080</v>
      </c>
      <c r="I371" s="21">
        <f t="shared" si="162"/>
        <v>10080</v>
      </c>
      <c r="J371" s="21">
        <f t="shared" si="162"/>
        <v>10080</v>
      </c>
      <c r="K371" s="21">
        <f t="shared" si="162"/>
        <v>10080</v>
      </c>
      <c r="L371" s="21">
        <f t="shared" si="162"/>
        <v>10080</v>
      </c>
      <c r="M371" s="21">
        <f t="shared" si="162"/>
        <v>10080</v>
      </c>
      <c r="N371" s="21">
        <f>SUM(B371:M371)</f>
        <v>120960</v>
      </c>
    </row>
    <row r="372" spans="1:14">
      <c r="A372" s="26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</row>
    <row r="373" spans="1:14">
      <c r="A373" s="402" t="s">
        <v>285</v>
      </c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8"/>
    </row>
    <row r="374" spans="1:14">
      <c r="A374" s="27" t="s">
        <v>16</v>
      </c>
      <c r="B374" s="21">
        <f>'TSAS Demand Revenues (7)'!B367</f>
        <v>0</v>
      </c>
      <c r="C374" s="21">
        <f>'TSAS Demand Revenues (7)'!C367</f>
        <v>0</v>
      </c>
      <c r="D374" s="21">
        <f>'TSAS Demand Revenues (7)'!D367</f>
        <v>0</v>
      </c>
      <c r="E374" s="21">
        <f>'TSAS Demand Revenues (7)'!E367</f>
        <v>0</v>
      </c>
      <c r="F374" s="21">
        <f>'TSAS Demand Revenues (7)'!F367</f>
        <v>0</v>
      </c>
      <c r="G374" s="21">
        <f>'TSAS Demand Revenues (7)'!G367</f>
        <v>0</v>
      </c>
      <c r="H374" s="21">
        <f>'TSAS Demand Revenues (7)'!H367</f>
        <v>0</v>
      </c>
      <c r="I374" s="21">
        <f>'TSAS Demand Revenues (7)'!I367</f>
        <v>0</v>
      </c>
      <c r="J374" s="21">
        <f>'TSAS Demand Revenues (7)'!J367</f>
        <v>0</v>
      </c>
      <c r="K374" s="21">
        <f>'TSAS Demand Revenues (7)'!K367</f>
        <v>0</v>
      </c>
      <c r="L374" s="21">
        <f>'TSAS Demand Revenues (7)'!L367</f>
        <v>0</v>
      </c>
      <c r="M374" s="21">
        <f>'TSAS Demand Revenues (7)'!M367</f>
        <v>0</v>
      </c>
      <c r="N374" s="28">
        <f>SUM(B374:M374)</f>
        <v>0</v>
      </c>
    </row>
    <row r="375" spans="1:14">
      <c r="A375" s="26" t="s">
        <v>20</v>
      </c>
      <c r="B375" s="33">
        <f>B370</f>
        <v>0.1008</v>
      </c>
      <c r="C375" s="33">
        <f t="shared" ref="C375:M375" si="163">C370</f>
        <v>0.1008</v>
      </c>
      <c r="D375" s="33">
        <f t="shared" si="163"/>
        <v>0.1008</v>
      </c>
      <c r="E375" s="33">
        <f t="shared" si="163"/>
        <v>0.1008</v>
      </c>
      <c r="F375" s="33">
        <f t="shared" si="163"/>
        <v>0.1008</v>
      </c>
      <c r="G375" s="33">
        <f t="shared" si="163"/>
        <v>0.1008</v>
      </c>
      <c r="H375" s="33">
        <f t="shared" si="163"/>
        <v>0.1008</v>
      </c>
      <c r="I375" s="33">
        <f t="shared" si="163"/>
        <v>0.1008</v>
      </c>
      <c r="J375" s="33">
        <f t="shared" si="163"/>
        <v>0.1008</v>
      </c>
      <c r="K375" s="33">
        <f t="shared" si="163"/>
        <v>0.1008</v>
      </c>
      <c r="L375" s="33">
        <f t="shared" si="163"/>
        <v>0.1008</v>
      </c>
      <c r="M375" s="33">
        <f t="shared" si="163"/>
        <v>0.1008</v>
      </c>
      <c r="N375" s="20"/>
    </row>
    <row r="376" spans="1:14">
      <c r="A376" s="26" t="s">
        <v>17</v>
      </c>
      <c r="B376" s="21">
        <f t="shared" ref="B376:M376" si="164">B374*B375</f>
        <v>0</v>
      </c>
      <c r="C376" s="21">
        <f t="shared" si="164"/>
        <v>0</v>
      </c>
      <c r="D376" s="21">
        <f t="shared" si="164"/>
        <v>0</v>
      </c>
      <c r="E376" s="21">
        <f t="shared" si="164"/>
        <v>0</v>
      </c>
      <c r="F376" s="21">
        <f t="shared" si="164"/>
        <v>0</v>
      </c>
      <c r="G376" s="21">
        <f t="shared" si="164"/>
        <v>0</v>
      </c>
      <c r="H376" s="21">
        <f t="shared" si="164"/>
        <v>0</v>
      </c>
      <c r="I376" s="21">
        <f t="shared" si="164"/>
        <v>0</v>
      </c>
      <c r="J376" s="21">
        <f t="shared" si="164"/>
        <v>0</v>
      </c>
      <c r="K376" s="21">
        <f t="shared" si="164"/>
        <v>0</v>
      </c>
      <c r="L376" s="21">
        <f t="shared" si="164"/>
        <v>0</v>
      </c>
      <c r="M376" s="21">
        <f t="shared" si="164"/>
        <v>0</v>
      </c>
      <c r="N376" s="21">
        <f>SUM(B376:M376)</f>
        <v>0</v>
      </c>
    </row>
    <row r="377" spans="1:14" ht="8.25" customHeight="1">
      <c r="A377" s="26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</row>
    <row r="378" spans="1:14">
      <c r="A378" s="145" t="s">
        <v>25</v>
      </c>
      <c r="B378" s="144">
        <f>B331+B336+B341+B346+B351+B356+B366+B361+B371+B376</f>
        <v>23761.919999999998</v>
      </c>
      <c r="C378" s="144">
        <f t="shared" ref="C378:M378" si="165">C331+C336+C341+C346+C351+C356+C366+C361+C371+C376</f>
        <v>23761.919999999998</v>
      </c>
      <c r="D378" s="144">
        <f t="shared" si="165"/>
        <v>23761.919999999998</v>
      </c>
      <c r="E378" s="144">
        <f t="shared" si="165"/>
        <v>23761.919999999998</v>
      </c>
      <c r="F378" s="144">
        <f t="shared" si="165"/>
        <v>23761.919999999998</v>
      </c>
      <c r="G378" s="144">
        <f t="shared" si="165"/>
        <v>23761.919999999998</v>
      </c>
      <c r="H378" s="144">
        <f t="shared" si="165"/>
        <v>23761.919999999998</v>
      </c>
      <c r="I378" s="144">
        <f t="shared" si="165"/>
        <v>23761.919999999998</v>
      </c>
      <c r="J378" s="144">
        <f t="shared" si="165"/>
        <v>23761.919999999998</v>
      </c>
      <c r="K378" s="144">
        <f t="shared" si="165"/>
        <v>23761.919999999998</v>
      </c>
      <c r="L378" s="144">
        <f t="shared" si="165"/>
        <v>23761.919999999998</v>
      </c>
      <c r="M378" s="144">
        <f t="shared" si="165"/>
        <v>23761.919999999998</v>
      </c>
      <c r="N378" s="144">
        <f>SUM(B378:M378)</f>
        <v>285143.03999999992</v>
      </c>
    </row>
    <row r="379" spans="1:14">
      <c r="A379" s="147" t="str">
        <f>A324</f>
        <v>Total Monthly Demand</v>
      </c>
      <c r="B379" s="146">
        <f>B329+B334+B339+B344+B349+B354+B359+B364+B369+B374</f>
        <v>247056</v>
      </c>
      <c r="C379" s="146">
        <f t="shared" ref="C379:M379" si="166">C329+C334+C339+C344+C349+C354+C359+C364+C369+C374</f>
        <v>247056</v>
      </c>
      <c r="D379" s="146">
        <f t="shared" si="166"/>
        <v>247056</v>
      </c>
      <c r="E379" s="146">
        <f t="shared" si="166"/>
        <v>247056</v>
      </c>
      <c r="F379" s="146">
        <f t="shared" si="166"/>
        <v>247056</v>
      </c>
      <c r="G379" s="146">
        <f t="shared" si="166"/>
        <v>247056</v>
      </c>
      <c r="H379" s="146">
        <f t="shared" si="166"/>
        <v>247056</v>
      </c>
      <c r="I379" s="146">
        <f t="shared" si="166"/>
        <v>247056</v>
      </c>
      <c r="J379" s="146">
        <f t="shared" si="166"/>
        <v>247056</v>
      </c>
      <c r="K379" s="146">
        <f t="shared" si="166"/>
        <v>247056</v>
      </c>
      <c r="L379" s="146">
        <f t="shared" si="166"/>
        <v>247056</v>
      </c>
      <c r="M379" s="146">
        <f t="shared" si="166"/>
        <v>247056</v>
      </c>
      <c r="N379" s="144">
        <f>SUM(B379:M379)</f>
        <v>2964672</v>
      </c>
    </row>
    <row r="380" spans="1:14">
      <c r="A380" s="25">
        <f>A325+1</f>
        <v>2020</v>
      </c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</row>
    <row r="381" spans="1:14" ht="13.2">
      <c r="A381" s="23" t="s">
        <v>19</v>
      </c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</row>
    <row r="382" spans="1:14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</row>
    <row r="383" spans="1:14">
      <c r="A383" s="402" t="s">
        <v>359</v>
      </c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>
      <c r="A384" s="27" t="s">
        <v>16</v>
      </c>
      <c r="B384" s="28">
        <f>'TSAS Demand Revenues (7)'!B382</f>
        <v>5000</v>
      </c>
      <c r="C384" s="28">
        <f>'TSAS Demand Revenues (7)'!C382</f>
        <v>5000</v>
      </c>
      <c r="D384" s="28">
        <f>'TSAS Demand Revenues (7)'!D382</f>
        <v>5000</v>
      </c>
      <c r="E384" s="28">
        <f>'TSAS Demand Revenues (7)'!E382</f>
        <v>5000</v>
      </c>
      <c r="F384" s="28">
        <f>'TSAS Demand Revenues (7)'!F382</f>
        <v>5000</v>
      </c>
      <c r="G384" s="28">
        <f>'TSAS Demand Revenues (7)'!G382</f>
        <v>5000</v>
      </c>
      <c r="H384" s="28">
        <f>'TSAS Demand Revenues (7)'!H382</f>
        <v>5000</v>
      </c>
      <c r="I384" s="28">
        <f>'TSAS Demand Revenues (7)'!I382</f>
        <v>5000</v>
      </c>
      <c r="J384" s="28">
        <f>'TSAS Demand Revenues (7)'!J382</f>
        <v>5000</v>
      </c>
      <c r="K384" s="28">
        <f>'TSAS Demand Revenues (7)'!K382</f>
        <v>5000</v>
      </c>
      <c r="L384" s="28">
        <f>'TSAS Demand Revenues (7)'!L382</f>
        <v>5000</v>
      </c>
      <c r="M384" s="28">
        <f>'TSAS Demand Revenues (7)'!M382</f>
        <v>5000</v>
      </c>
      <c r="N384" s="28">
        <f>SUM(B384:M384)</f>
        <v>60000</v>
      </c>
    </row>
    <row r="385" spans="1:14">
      <c r="A385" s="26" t="s">
        <v>20</v>
      </c>
      <c r="B385" s="32">
        <f t="shared" ref="B385:M385" si="167">+$B$14</f>
        <v>0.1008</v>
      </c>
      <c r="C385" s="32">
        <f t="shared" si="167"/>
        <v>0.1008</v>
      </c>
      <c r="D385" s="32">
        <f t="shared" si="167"/>
        <v>0.1008</v>
      </c>
      <c r="E385" s="32">
        <f t="shared" si="167"/>
        <v>0.1008</v>
      </c>
      <c r="F385" s="32">
        <f t="shared" si="167"/>
        <v>0.1008</v>
      </c>
      <c r="G385" s="32">
        <f t="shared" si="167"/>
        <v>0.1008</v>
      </c>
      <c r="H385" s="32">
        <f t="shared" si="167"/>
        <v>0.1008</v>
      </c>
      <c r="I385" s="32">
        <f t="shared" si="167"/>
        <v>0.1008</v>
      </c>
      <c r="J385" s="32">
        <f t="shared" si="167"/>
        <v>0.1008</v>
      </c>
      <c r="K385" s="32">
        <f t="shared" si="167"/>
        <v>0.1008</v>
      </c>
      <c r="L385" s="32">
        <f t="shared" si="167"/>
        <v>0.1008</v>
      </c>
      <c r="M385" s="32">
        <f t="shared" si="167"/>
        <v>0.1008</v>
      </c>
      <c r="N385" s="20"/>
    </row>
    <row r="386" spans="1:14">
      <c r="A386" s="26" t="s">
        <v>17</v>
      </c>
      <c r="B386" s="21">
        <f t="shared" ref="B386:M386" si="168">B384*B385</f>
        <v>504</v>
      </c>
      <c r="C386" s="21">
        <f t="shared" si="168"/>
        <v>504</v>
      </c>
      <c r="D386" s="21">
        <f t="shared" si="168"/>
        <v>504</v>
      </c>
      <c r="E386" s="21">
        <f t="shared" si="168"/>
        <v>504</v>
      </c>
      <c r="F386" s="21">
        <f t="shared" si="168"/>
        <v>504</v>
      </c>
      <c r="G386" s="21">
        <f t="shared" si="168"/>
        <v>504</v>
      </c>
      <c r="H386" s="21">
        <f t="shared" si="168"/>
        <v>504</v>
      </c>
      <c r="I386" s="21">
        <f t="shared" si="168"/>
        <v>504</v>
      </c>
      <c r="J386" s="21">
        <f t="shared" si="168"/>
        <v>504</v>
      </c>
      <c r="K386" s="21">
        <f t="shared" si="168"/>
        <v>504</v>
      </c>
      <c r="L386" s="21">
        <f t="shared" si="168"/>
        <v>504</v>
      </c>
      <c r="M386" s="21">
        <f t="shared" si="168"/>
        <v>504</v>
      </c>
      <c r="N386" s="21">
        <f>SUM(B386:M386)</f>
        <v>6048</v>
      </c>
    </row>
    <row r="387" spans="1:1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>
      <c r="A388" s="26" t="s">
        <v>21</v>
      </c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>
      <c r="A389" s="27" t="s">
        <v>16</v>
      </c>
      <c r="B389" s="28">
        <f>'TSAS Demand Revenues (7)'!B387</f>
        <v>0</v>
      </c>
      <c r="C389" s="28">
        <f>'TSAS Demand Revenues (7)'!C387</f>
        <v>0</v>
      </c>
      <c r="D389" s="28">
        <f>'TSAS Demand Revenues (7)'!D387</f>
        <v>0</v>
      </c>
      <c r="E389" s="28">
        <f>'TSAS Demand Revenues (7)'!E387</f>
        <v>0</v>
      </c>
      <c r="F389" s="28">
        <f>'TSAS Demand Revenues (7)'!F387</f>
        <v>0</v>
      </c>
      <c r="G389" s="28">
        <f>'TSAS Demand Revenues (7)'!G387</f>
        <v>0</v>
      </c>
      <c r="H389" s="28">
        <f>'TSAS Demand Revenues (7)'!H387</f>
        <v>0</v>
      </c>
      <c r="I389" s="28">
        <f>'TSAS Demand Revenues (7)'!I387</f>
        <v>0</v>
      </c>
      <c r="J389" s="28">
        <f>'TSAS Demand Revenues (7)'!J387</f>
        <v>0</v>
      </c>
      <c r="K389" s="28">
        <f>'TSAS Demand Revenues (7)'!K387</f>
        <v>0</v>
      </c>
      <c r="L389" s="28">
        <f>'TSAS Demand Revenues (7)'!L387</f>
        <v>0</v>
      </c>
      <c r="M389" s="28">
        <f>'TSAS Demand Revenues (7)'!M387</f>
        <v>0</v>
      </c>
      <c r="N389" s="28">
        <f>SUM(B389:M389)</f>
        <v>0</v>
      </c>
    </row>
    <row r="390" spans="1:14">
      <c r="A390" s="26" t="s">
        <v>20</v>
      </c>
      <c r="B390" s="32">
        <f t="shared" ref="B390:M390" si="169">+$B$19</f>
        <v>0.1008</v>
      </c>
      <c r="C390" s="32">
        <f t="shared" si="169"/>
        <v>0.1008</v>
      </c>
      <c r="D390" s="32">
        <f t="shared" si="169"/>
        <v>0.1008</v>
      </c>
      <c r="E390" s="32">
        <f t="shared" si="169"/>
        <v>0.1008</v>
      </c>
      <c r="F390" s="32">
        <f t="shared" si="169"/>
        <v>0.1008</v>
      </c>
      <c r="G390" s="32">
        <f t="shared" si="169"/>
        <v>0.1008</v>
      </c>
      <c r="H390" s="32">
        <f t="shared" si="169"/>
        <v>0.1008</v>
      </c>
      <c r="I390" s="32">
        <f t="shared" si="169"/>
        <v>0.1008</v>
      </c>
      <c r="J390" s="32">
        <f t="shared" si="169"/>
        <v>0.1008</v>
      </c>
      <c r="K390" s="32">
        <f t="shared" si="169"/>
        <v>0.1008</v>
      </c>
      <c r="L390" s="32">
        <f t="shared" si="169"/>
        <v>0.1008</v>
      </c>
      <c r="M390" s="32">
        <f t="shared" si="169"/>
        <v>0.1008</v>
      </c>
      <c r="N390" s="20"/>
    </row>
    <row r="391" spans="1:14">
      <c r="A391" s="26" t="s">
        <v>17</v>
      </c>
      <c r="B391" s="21">
        <f t="shared" ref="B391:M391" si="170">B389*B390</f>
        <v>0</v>
      </c>
      <c r="C391" s="21">
        <f t="shared" si="170"/>
        <v>0</v>
      </c>
      <c r="D391" s="21">
        <f t="shared" si="170"/>
        <v>0</v>
      </c>
      <c r="E391" s="21">
        <f t="shared" si="170"/>
        <v>0</v>
      </c>
      <c r="F391" s="21">
        <f t="shared" si="170"/>
        <v>0</v>
      </c>
      <c r="G391" s="21">
        <f t="shared" si="170"/>
        <v>0</v>
      </c>
      <c r="H391" s="21">
        <f t="shared" si="170"/>
        <v>0</v>
      </c>
      <c r="I391" s="21">
        <f t="shared" si="170"/>
        <v>0</v>
      </c>
      <c r="J391" s="21">
        <f t="shared" si="170"/>
        <v>0</v>
      </c>
      <c r="K391" s="21">
        <f t="shared" si="170"/>
        <v>0</v>
      </c>
      <c r="L391" s="21">
        <f t="shared" si="170"/>
        <v>0</v>
      </c>
      <c r="M391" s="21">
        <f t="shared" si="170"/>
        <v>0</v>
      </c>
      <c r="N391" s="21">
        <f>SUM(B391:M391)</f>
        <v>0</v>
      </c>
    </row>
    <row r="392" spans="1:14">
      <c r="A392" s="20"/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>
      <c r="A393" s="26" t="s">
        <v>22</v>
      </c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>
      <c r="A394" s="27" t="s">
        <v>16</v>
      </c>
      <c r="B394" s="28">
        <f>'TSAS Demand Revenues (7)'!B392</f>
        <v>0</v>
      </c>
      <c r="C394" s="28">
        <f>'TSAS Demand Revenues (7)'!C392</f>
        <v>0</v>
      </c>
      <c r="D394" s="28">
        <f>'TSAS Demand Revenues (7)'!D392</f>
        <v>0</v>
      </c>
      <c r="E394" s="28">
        <f>'TSAS Demand Revenues (7)'!E392</f>
        <v>0</v>
      </c>
      <c r="F394" s="28">
        <f>'TSAS Demand Revenues (7)'!F392</f>
        <v>0</v>
      </c>
      <c r="G394" s="28">
        <f>'TSAS Demand Revenues (7)'!G392</f>
        <v>0</v>
      </c>
      <c r="H394" s="28">
        <f>'TSAS Demand Revenues (7)'!H392</f>
        <v>0</v>
      </c>
      <c r="I394" s="28">
        <f>'TSAS Demand Revenues (7)'!I392</f>
        <v>0</v>
      </c>
      <c r="J394" s="28">
        <f>'TSAS Demand Revenues (7)'!J392</f>
        <v>0</v>
      </c>
      <c r="K394" s="28">
        <f>'TSAS Demand Revenues (7)'!K392</f>
        <v>0</v>
      </c>
      <c r="L394" s="28">
        <f>'TSAS Demand Revenues (7)'!L392</f>
        <v>0</v>
      </c>
      <c r="M394" s="28">
        <f>'TSAS Demand Revenues (7)'!M392</f>
        <v>0</v>
      </c>
      <c r="N394" s="28">
        <f>SUM(B394:M394)</f>
        <v>0</v>
      </c>
    </row>
    <row r="395" spans="1:14">
      <c r="A395" s="26" t="s">
        <v>20</v>
      </c>
      <c r="B395" s="33">
        <f t="shared" ref="B395:M395" si="171">+$B$24</f>
        <v>0.1008</v>
      </c>
      <c r="C395" s="33">
        <f t="shared" si="171"/>
        <v>0.1008</v>
      </c>
      <c r="D395" s="33">
        <f t="shared" si="171"/>
        <v>0.1008</v>
      </c>
      <c r="E395" s="33">
        <f t="shared" si="171"/>
        <v>0.1008</v>
      </c>
      <c r="F395" s="33">
        <f t="shared" si="171"/>
        <v>0.1008</v>
      </c>
      <c r="G395" s="33">
        <f t="shared" si="171"/>
        <v>0.1008</v>
      </c>
      <c r="H395" s="33">
        <f t="shared" si="171"/>
        <v>0.1008</v>
      </c>
      <c r="I395" s="33">
        <f t="shared" si="171"/>
        <v>0.1008</v>
      </c>
      <c r="J395" s="33">
        <f t="shared" si="171"/>
        <v>0.1008</v>
      </c>
      <c r="K395" s="33">
        <f t="shared" si="171"/>
        <v>0.1008</v>
      </c>
      <c r="L395" s="33">
        <f t="shared" si="171"/>
        <v>0.1008</v>
      </c>
      <c r="M395" s="33">
        <f t="shared" si="171"/>
        <v>0.1008</v>
      </c>
      <c r="N395" s="20"/>
    </row>
    <row r="396" spans="1:14">
      <c r="A396" s="26" t="s">
        <v>17</v>
      </c>
      <c r="B396" s="21">
        <f t="shared" ref="B396:M396" si="172">B394*B395</f>
        <v>0</v>
      </c>
      <c r="C396" s="21">
        <f t="shared" si="172"/>
        <v>0</v>
      </c>
      <c r="D396" s="21">
        <f t="shared" si="172"/>
        <v>0</v>
      </c>
      <c r="E396" s="21">
        <f t="shared" si="172"/>
        <v>0</v>
      </c>
      <c r="F396" s="21">
        <f t="shared" si="172"/>
        <v>0</v>
      </c>
      <c r="G396" s="21">
        <f t="shared" si="172"/>
        <v>0</v>
      </c>
      <c r="H396" s="21">
        <f t="shared" si="172"/>
        <v>0</v>
      </c>
      <c r="I396" s="21">
        <f t="shared" si="172"/>
        <v>0</v>
      </c>
      <c r="J396" s="21">
        <f t="shared" si="172"/>
        <v>0</v>
      </c>
      <c r="K396" s="21">
        <f t="shared" si="172"/>
        <v>0</v>
      </c>
      <c r="L396" s="21">
        <f t="shared" si="172"/>
        <v>0</v>
      </c>
      <c r="M396" s="21">
        <f t="shared" si="172"/>
        <v>0</v>
      </c>
      <c r="N396" s="21">
        <f>SUM(B396:M396)</f>
        <v>0</v>
      </c>
    </row>
    <row r="397" spans="1:14">
      <c r="A397" s="20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>
      <c r="A398" s="402" t="s">
        <v>23</v>
      </c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>
      <c r="A399" s="27" t="s">
        <v>16</v>
      </c>
      <c r="B399" s="28">
        <f>'TSAS Demand Revenues (7)'!B397</f>
        <v>37056</v>
      </c>
      <c r="C399" s="28">
        <f>'TSAS Demand Revenues (7)'!C397</f>
        <v>37056</v>
      </c>
      <c r="D399" s="28">
        <f>'TSAS Demand Revenues (7)'!D397</f>
        <v>37056</v>
      </c>
      <c r="E399" s="28">
        <f>'TSAS Demand Revenues (7)'!E397</f>
        <v>37056</v>
      </c>
      <c r="F399" s="28">
        <f>'TSAS Demand Revenues (7)'!F397</f>
        <v>37056</v>
      </c>
      <c r="G399" s="28">
        <f>'TSAS Demand Revenues (7)'!G397</f>
        <v>37056</v>
      </c>
      <c r="H399" s="28">
        <f>'TSAS Demand Revenues (7)'!H397</f>
        <v>37056</v>
      </c>
      <c r="I399" s="28">
        <f>'TSAS Demand Revenues (7)'!I397</f>
        <v>37056</v>
      </c>
      <c r="J399" s="28">
        <f>'TSAS Demand Revenues (7)'!J397</f>
        <v>37056</v>
      </c>
      <c r="K399" s="28">
        <f>'TSAS Demand Revenues (7)'!K397</f>
        <v>37056</v>
      </c>
      <c r="L399" s="28">
        <f>'TSAS Demand Revenues (7)'!L397</f>
        <v>37056</v>
      </c>
      <c r="M399" s="28">
        <f>'TSAS Demand Revenues (7)'!M397</f>
        <v>37056</v>
      </c>
      <c r="N399" s="28">
        <f>SUM(B399:M399)</f>
        <v>444672</v>
      </c>
    </row>
    <row r="400" spans="1:14">
      <c r="A400" s="26" t="s">
        <v>20</v>
      </c>
      <c r="B400" s="33">
        <f t="shared" ref="B400:M400" si="173">+$B$29</f>
        <v>7.0000000000000007E-2</v>
      </c>
      <c r="C400" s="33">
        <f t="shared" si="173"/>
        <v>7.0000000000000007E-2</v>
      </c>
      <c r="D400" s="33">
        <f t="shared" si="173"/>
        <v>7.0000000000000007E-2</v>
      </c>
      <c r="E400" s="33">
        <f t="shared" si="173"/>
        <v>7.0000000000000007E-2</v>
      </c>
      <c r="F400" s="33">
        <f t="shared" si="173"/>
        <v>7.0000000000000007E-2</v>
      </c>
      <c r="G400" s="33">
        <f t="shared" si="173"/>
        <v>7.0000000000000007E-2</v>
      </c>
      <c r="H400" s="33">
        <f t="shared" si="173"/>
        <v>7.0000000000000007E-2</v>
      </c>
      <c r="I400" s="33">
        <f t="shared" si="173"/>
        <v>7.0000000000000007E-2</v>
      </c>
      <c r="J400" s="33">
        <f t="shared" si="173"/>
        <v>7.0000000000000007E-2</v>
      </c>
      <c r="K400" s="33">
        <f t="shared" si="173"/>
        <v>7.0000000000000007E-2</v>
      </c>
      <c r="L400" s="33">
        <f t="shared" si="173"/>
        <v>7.0000000000000007E-2</v>
      </c>
      <c r="M400" s="33">
        <f t="shared" si="173"/>
        <v>7.0000000000000007E-2</v>
      </c>
      <c r="N400" s="20"/>
    </row>
    <row r="401" spans="1:14">
      <c r="A401" s="26" t="s">
        <v>17</v>
      </c>
      <c r="B401" s="21">
        <f t="shared" ref="B401:M401" si="174">B399*B400</f>
        <v>2593.92</v>
      </c>
      <c r="C401" s="21">
        <f t="shared" si="174"/>
        <v>2593.92</v>
      </c>
      <c r="D401" s="21">
        <f t="shared" si="174"/>
        <v>2593.92</v>
      </c>
      <c r="E401" s="21">
        <f t="shared" si="174"/>
        <v>2593.92</v>
      </c>
      <c r="F401" s="21">
        <f t="shared" si="174"/>
        <v>2593.92</v>
      </c>
      <c r="G401" s="21">
        <f t="shared" si="174"/>
        <v>2593.92</v>
      </c>
      <c r="H401" s="21">
        <f t="shared" si="174"/>
        <v>2593.92</v>
      </c>
      <c r="I401" s="21">
        <f t="shared" si="174"/>
        <v>2593.92</v>
      </c>
      <c r="J401" s="21">
        <f t="shared" si="174"/>
        <v>2593.92</v>
      </c>
      <c r="K401" s="21">
        <f t="shared" si="174"/>
        <v>2593.92</v>
      </c>
      <c r="L401" s="21">
        <f t="shared" si="174"/>
        <v>2593.92</v>
      </c>
      <c r="M401" s="21">
        <f t="shared" si="174"/>
        <v>2593.92</v>
      </c>
      <c r="N401" s="21">
        <f>SUM(B401:M401)</f>
        <v>31127.039999999994</v>
      </c>
    </row>
    <row r="402" spans="1:14">
      <c r="A402" s="20"/>
      <c r="B402" s="2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>
      <c r="A403" s="402" t="s">
        <v>24</v>
      </c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>
      <c r="A404" s="27" t="s">
        <v>16</v>
      </c>
      <c r="B404" s="28">
        <f>'TSAS Demand Revenues (7)'!B402</f>
        <v>62000</v>
      </c>
      <c r="C404" s="28">
        <f>'TSAS Demand Revenues (7)'!C402</f>
        <v>62000</v>
      </c>
      <c r="D404" s="28">
        <f>'TSAS Demand Revenues (7)'!D402</f>
        <v>62000</v>
      </c>
      <c r="E404" s="28">
        <f>'TSAS Demand Revenues (7)'!E402</f>
        <v>62000</v>
      </c>
      <c r="F404" s="28">
        <f>'TSAS Demand Revenues (7)'!F402</f>
        <v>62000</v>
      </c>
      <c r="G404" s="28">
        <f>'TSAS Demand Revenues (7)'!G402</f>
        <v>62000</v>
      </c>
      <c r="H404" s="28">
        <f>'TSAS Demand Revenues (7)'!H402</f>
        <v>62000</v>
      </c>
      <c r="I404" s="28">
        <f>'TSAS Demand Revenues (7)'!I402</f>
        <v>62000</v>
      </c>
      <c r="J404" s="28">
        <f>'TSAS Demand Revenues (7)'!J402</f>
        <v>62000</v>
      </c>
      <c r="K404" s="28">
        <f>'TSAS Demand Revenues (7)'!K402</f>
        <v>62000</v>
      </c>
      <c r="L404" s="28">
        <f>'TSAS Demand Revenues (7)'!L402</f>
        <v>62000</v>
      </c>
      <c r="M404" s="28">
        <f>'TSAS Demand Revenues (7)'!M402</f>
        <v>62000</v>
      </c>
      <c r="N404" s="28">
        <f>SUM(B404:M404)</f>
        <v>744000</v>
      </c>
    </row>
    <row r="405" spans="1:14">
      <c r="A405" s="26" t="s">
        <v>20</v>
      </c>
      <c r="B405" s="33">
        <f t="shared" ref="B405:M405" si="175">+$B$34</f>
        <v>0.1008</v>
      </c>
      <c r="C405" s="33">
        <f t="shared" si="175"/>
        <v>0.1008</v>
      </c>
      <c r="D405" s="33">
        <f t="shared" si="175"/>
        <v>0.1008</v>
      </c>
      <c r="E405" s="33">
        <f t="shared" si="175"/>
        <v>0.1008</v>
      </c>
      <c r="F405" s="33">
        <f t="shared" si="175"/>
        <v>0.1008</v>
      </c>
      <c r="G405" s="33">
        <f t="shared" si="175"/>
        <v>0.1008</v>
      </c>
      <c r="H405" s="33">
        <f t="shared" si="175"/>
        <v>0.1008</v>
      </c>
      <c r="I405" s="33">
        <f t="shared" si="175"/>
        <v>0.1008</v>
      </c>
      <c r="J405" s="33">
        <f t="shared" si="175"/>
        <v>0.1008</v>
      </c>
      <c r="K405" s="33">
        <f t="shared" si="175"/>
        <v>0.1008</v>
      </c>
      <c r="L405" s="33">
        <f t="shared" si="175"/>
        <v>0.1008</v>
      </c>
      <c r="M405" s="33">
        <f t="shared" si="175"/>
        <v>0.1008</v>
      </c>
      <c r="N405" s="20"/>
    </row>
    <row r="406" spans="1:14">
      <c r="A406" s="26" t="s">
        <v>17</v>
      </c>
      <c r="B406" s="21">
        <f t="shared" ref="B406:M406" si="176">B404*B405</f>
        <v>6249.6</v>
      </c>
      <c r="C406" s="21">
        <f t="shared" si="176"/>
        <v>6249.6</v>
      </c>
      <c r="D406" s="21">
        <f t="shared" si="176"/>
        <v>6249.6</v>
      </c>
      <c r="E406" s="21">
        <f t="shared" si="176"/>
        <v>6249.6</v>
      </c>
      <c r="F406" s="21">
        <f t="shared" si="176"/>
        <v>6249.6</v>
      </c>
      <c r="G406" s="21">
        <f t="shared" si="176"/>
        <v>6249.6</v>
      </c>
      <c r="H406" s="21">
        <f t="shared" si="176"/>
        <v>6249.6</v>
      </c>
      <c r="I406" s="21">
        <f t="shared" si="176"/>
        <v>6249.6</v>
      </c>
      <c r="J406" s="21">
        <f t="shared" si="176"/>
        <v>6249.6</v>
      </c>
      <c r="K406" s="21">
        <f t="shared" si="176"/>
        <v>6249.6</v>
      </c>
      <c r="L406" s="21">
        <f t="shared" si="176"/>
        <v>6249.6</v>
      </c>
      <c r="M406" s="21">
        <f t="shared" si="176"/>
        <v>6249.6</v>
      </c>
      <c r="N406" s="21">
        <f>SUM(B406:M406)</f>
        <v>74995.199999999997</v>
      </c>
    </row>
    <row r="407" spans="1:14">
      <c r="A407" s="26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</row>
    <row r="408" spans="1:14">
      <c r="A408" s="402" t="s">
        <v>116</v>
      </c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>
      <c r="A409" s="27" t="s">
        <v>16</v>
      </c>
      <c r="B409" s="28">
        <f>'TSAS Demand Revenues (7)'!B407</f>
        <v>40000</v>
      </c>
      <c r="C409" s="28">
        <f>'TSAS Demand Revenues (7)'!C407</f>
        <v>0</v>
      </c>
      <c r="D409" s="28">
        <f>'TSAS Demand Revenues (7)'!D407</f>
        <v>0</v>
      </c>
      <c r="E409" s="28">
        <f>'TSAS Demand Revenues (7)'!E407</f>
        <v>0</v>
      </c>
      <c r="F409" s="28">
        <f>'TSAS Demand Revenues (7)'!F407</f>
        <v>0</v>
      </c>
      <c r="G409" s="28">
        <f>'TSAS Demand Revenues (7)'!G407</f>
        <v>0</v>
      </c>
      <c r="H409" s="28">
        <f>'TSAS Demand Revenues (7)'!H407</f>
        <v>0</v>
      </c>
      <c r="I409" s="28">
        <f>'TSAS Demand Revenues (7)'!I407</f>
        <v>0</v>
      </c>
      <c r="J409" s="28">
        <f>'TSAS Demand Revenues (7)'!J407</f>
        <v>0</v>
      </c>
      <c r="K409" s="28">
        <f>'TSAS Demand Revenues (7)'!K407</f>
        <v>0</v>
      </c>
      <c r="L409" s="28">
        <f>'TSAS Demand Revenues (7)'!L407</f>
        <v>0</v>
      </c>
      <c r="M409" s="28">
        <f>'TSAS Demand Revenues (7)'!M407</f>
        <v>0</v>
      </c>
      <c r="N409" s="28">
        <f>SUM(B409:M409)</f>
        <v>40000</v>
      </c>
    </row>
    <row r="410" spans="1:14">
      <c r="A410" s="26" t="s">
        <v>20</v>
      </c>
      <c r="B410" s="33">
        <f>B405</f>
        <v>0.1008</v>
      </c>
      <c r="C410" s="33">
        <f>C405</f>
        <v>0.1008</v>
      </c>
      <c r="D410" s="33">
        <f t="shared" ref="D410" si="177">C410</f>
        <v>0.1008</v>
      </c>
      <c r="E410" s="33">
        <f t="shared" ref="E410" si="178">D410</f>
        <v>0.1008</v>
      </c>
      <c r="F410" s="33">
        <f t="shared" ref="F410" si="179">E410</f>
        <v>0.1008</v>
      </c>
      <c r="G410" s="33">
        <f t="shared" ref="G410" si="180">F410</f>
        <v>0.1008</v>
      </c>
      <c r="H410" s="33">
        <f t="shared" ref="H410" si="181">G410</f>
        <v>0.1008</v>
      </c>
      <c r="I410" s="33">
        <f t="shared" ref="I410" si="182">H410</f>
        <v>0.1008</v>
      </c>
      <c r="J410" s="33">
        <f t="shared" ref="J410" si="183">I410</f>
        <v>0.1008</v>
      </c>
      <c r="K410" s="33">
        <f t="shared" ref="K410" si="184">J410</f>
        <v>0.1008</v>
      </c>
      <c r="L410" s="33">
        <f t="shared" ref="L410" si="185">K410</f>
        <v>0.1008</v>
      </c>
      <c r="M410" s="33">
        <f t="shared" ref="M410" si="186">L410</f>
        <v>0.1008</v>
      </c>
      <c r="N410" s="20"/>
    </row>
    <row r="411" spans="1:14">
      <c r="A411" s="26" t="s">
        <v>17</v>
      </c>
      <c r="B411" s="21">
        <f t="shared" ref="B411:M411" si="187">B409*B410</f>
        <v>4032</v>
      </c>
      <c r="C411" s="21">
        <f t="shared" si="187"/>
        <v>0</v>
      </c>
      <c r="D411" s="21">
        <f t="shared" si="187"/>
        <v>0</v>
      </c>
      <c r="E411" s="21">
        <f t="shared" si="187"/>
        <v>0</v>
      </c>
      <c r="F411" s="21">
        <f t="shared" si="187"/>
        <v>0</v>
      </c>
      <c r="G411" s="21">
        <f t="shared" si="187"/>
        <v>0</v>
      </c>
      <c r="H411" s="21">
        <f t="shared" si="187"/>
        <v>0</v>
      </c>
      <c r="I411" s="21">
        <f t="shared" si="187"/>
        <v>0</v>
      </c>
      <c r="J411" s="21">
        <f t="shared" si="187"/>
        <v>0</v>
      </c>
      <c r="K411" s="21">
        <f t="shared" si="187"/>
        <v>0</v>
      </c>
      <c r="L411" s="21">
        <f t="shared" si="187"/>
        <v>0</v>
      </c>
      <c r="M411" s="21">
        <f t="shared" si="187"/>
        <v>0</v>
      </c>
      <c r="N411" s="21">
        <f>SUM(B411:M411)</f>
        <v>4032</v>
      </c>
    </row>
    <row r="412" spans="1:14">
      <c r="A412" s="26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</row>
    <row r="413" spans="1:14">
      <c r="A413" s="402" t="s">
        <v>237</v>
      </c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>
      <c r="A414" s="27" t="s">
        <v>16</v>
      </c>
      <c r="B414" s="28">
        <f>'TSAS Demand Revenues (7)'!B412</f>
        <v>3000</v>
      </c>
      <c r="C414" s="28">
        <f>'TSAS Demand Revenues (7)'!C412</f>
        <v>3000</v>
      </c>
      <c r="D414" s="28">
        <f>'TSAS Demand Revenues (7)'!D412</f>
        <v>3000</v>
      </c>
      <c r="E414" s="28">
        <f>'TSAS Demand Revenues (7)'!E412</f>
        <v>3000</v>
      </c>
      <c r="F414" s="28">
        <f>'TSAS Demand Revenues (7)'!F412</f>
        <v>3000</v>
      </c>
      <c r="G414" s="28">
        <f>'TSAS Demand Revenues (7)'!G412</f>
        <v>3000</v>
      </c>
      <c r="H414" s="28">
        <f>'TSAS Demand Revenues (7)'!H412</f>
        <v>3000</v>
      </c>
      <c r="I414" s="28">
        <f>'TSAS Demand Revenues (7)'!I412</f>
        <v>3000</v>
      </c>
      <c r="J414" s="28">
        <f>'TSAS Demand Revenues (7)'!J412</f>
        <v>3000</v>
      </c>
      <c r="K414" s="28">
        <f>'TSAS Demand Revenues (7)'!K412</f>
        <v>3000</v>
      </c>
      <c r="L414" s="28">
        <f>'TSAS Demand Revenues (7)'!L412</f>
        <v>3000</v>
      </c>
      <c r="M414" s="28">
        <f>'TSAS Demand Revenues (7)'!M412</f>
        <v>3000</v>
      </c>
      <c r="N414" s="28">
        <f>SUM(B414:M414)</f>
        <v>36000</v>
      </c>
    </row>
    <row r="415" spans="1:14">
      <c r="A415" s="26" t="s">
        <v>20</v>
      </c>
      <c r="B415" s="33">
        <f>B410</f>
        <v>0.1008</v>
      </c>
      <c r="C415" s="33">
        <f>C410</f>
        <v>0.1008</v>
      </c>
      <c r="D415" s="33">
        <f t="shared" ref="D415" si="188">C415</f>
        <v>0.1008</v>
      </c>
      <c r="E415" s="33">
        <f t="shared" ref="E415" si="189">D415</f>
        <v>0.1008</v>
      </c>
      <c r="F415" s="33">
        <f t="shared" ref="F415" si="190">E415</f>
        <v>0.1008</v>
      </c>
      <c r="G415" s="33">
        <f t="shared" ref="G415" si="191">F415</f>
        <v>0.1008</v>
      </c>
      <c r="H415" s="33">
        <f t="shared" ref="H415" si="192">G415</f>
        <v>0.1008</v>
      </c>
      <c r="I415" s="33">
        <f t="shared" ref="I415" si="193">H415</f>
        <v>0.1008</v>
      </c>
      <c r="J415" s="33">
        <f t="shared" ref="J415" si="194">I415</f>
        <v>0.1008</v>
      </c>
      <c r="K415" s="33">
        <f t="shared" ref="K415" si="195">J415</f>
        <v>0.1008</v>
      </c>
      <c r="L415" s="33">
        <f t="shared" ref="L415" si="196">K415</f>
        <v>0.1008</v>
      </c>
      <c r="M415" s="33">
        <f t="shared" ref="M415" si="197">L415</f>
        <v>0.1008</v>
      </c>
      <c r="N415" s="20"/>
    </row>
    <row r="416" spans="1:14">
      <c r="A416" s="26" t="s">
        <v>17</v>
      </c>
      <c r="B416" s="21">
        <f t="shared" ref="B416:M416" si="198">B414*B415</f>
        <v>302.39999999999998</v>
      </c>
      <c r="C416" s="21">
        <f t="shared" si="198"/>
        <v>302.39999999999998</v>
      </c>
      <c r="D416" s="21">
        <f t="shared" si="198"/>
        <v>302.39999999999998</v>
      </c>
      <c r="E416" s="21">
        <f t="shared" si="198"/>
        <v>302.39999999999998</v>
      </c>
      <c r="F416" s="21">
        <f t="shared" si="198"/>
        <v>302.39999999999998</v>
      </c>
      <c r="G416" s="21">
        <f t="shared" si="198"/>
        <v>302.39999999999998</v>
      </c>
      <c r="H416" s="21">
        <f t="shared" si="198"/>
        <v>302.39999999999998</v>
      </c>
      <c r="I416" s="21">
        <f t="shared" si="198"/>
        <v>302.39999999999998</v>
      </c>
      <c r="J416" s="21">
        <f t="shared" si="198"/>
        <v>302.39999999999998</v>
      </c>
      <c r="K416" s="21">
        <f t="shared" si="198"/>
        <v>302.39999999999998</v>
      </c>
      <c r="L416" s="21">
        <f t="shared" si="198"/>
        <v>302.39999999999998</v>
      </c>
      <c r="M416" s="21">
        <f t="shared" si="198"/>
        <v>302.39999999999998</v>
      </c>
      <c r="N416" s="21">
        <f>SUM(B416:M416)</f>
        <v>3628.8000000000006</v>
      </c>
    </row>
    <row r="417" spans="1:14">
      <c r="A417" s="26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</row>
    <row r="418" spans="1:14">
      <c r="A418" s="402" t="s">
        <v>179</v>
      </c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>
      <c r="A419" s="27" t="s">
        <v>16</v>
      </c>
      <c r="B419" s="28">
        <f>'TSAS Demand Revenues (7)'!B417</f>
        <v>0</v>
      </c>
      <c r="C419" s="28">
        <f>'TSAS Demand Revenues (7)'!C417</f>
        <v>0</v>
      </c>
      <c r="D419" s="28">
        <f>'TSAS Demand Revenues (7)'!D417</f>
        <v>0</v>
      </c>
      <c r="E419" s="28">
        <f>'TSAS Demand Revenues (7)'!E417</f>
        <v>0</v>
      </c>
      <c r="F419" s="28">
        <f>'TSAS Demand Revenues (7)'!F417</f>
        <v>0</v>
      </c>
      <c r="G419" s="28">
        <f>'TSAS Demand Revenues (7)'!G417</f>
        <v>0</v>
      </c>
      <c r="H419" s="28">
        <f>'TSAS Demand Revenues (7)'!H417</f>
        <v>0</v>
      </c>
      <c r="I419" s="28">
        <f>'TSAS Demand Revenues (7)'!I417</f>
        <v>0</v>
      </c>
      <c r="J419" s="28">
        <f>'TSAS Demand Revenues (7)'!J417</f>
        <v>0</v>
      </c>
      <c r="K419" s="28">
        <f>'TSAS Demand Revenues (7)'!K417</f>
        <v>0</v>
      </c>
      <c r="L419" s="28">
        <f>'TSAS Demand Revenues (7)'!L417</f>
        <v>0</v>
      </c>
      <c r="M419" s="28">
        <f>'TSAS Demand Revenues (7)'!M417</f>
        <v>0</v>
      </c>
      <c r="N419" s="28">
        <f>SUM(B419:M419)</f>
        <v>0</v>
      </c>
    </row>
    <row r="420" spans="1:14">
      <c r="A420" s="26" t="s">
        <v>20</v>
      </c>
      <c r="B420" s="33">
        <f>B410</f>
        <v>0.1008</v>
      </c>
      <c r="C420" s="33">
        <f t="shared" ref="C420:M420" si="199">C410</f>
        <v>0.1008</v>
      </c>
      <c r="D420" s="33">
        <f t="shared" si="199"/>
        <v>0.1008</v>
      </c>
      <c r="E420" s="33">
        <f t="shared" si="199"/>
        <v>0.1008</v>
      </c>
      <c r="F420" s="33">
        <f t="shared" si="199"/>
        <v>0.1008</v>
      </c>
      <c r="G420" s="33">
        <f t="shared" si="199"/>
        <v>0.1008</v>
      </c>
      <c r="H420" s="33">
        <f t="shared" si="199"/>
        <v>0.1008</v>
      </c>
      <c r="I420" s="33">
        <f t="shared" si="199"/>
        <v>0.1008</v>
      </c>
      <c r="J420" s="33">
        <f t="shared" si="199"/>
        <v>0.1008</v>
      </c>
      <c r="K420" s="33">
        <f t="shared" si="199"/>
        <v>0.1008</v>
      </c>
      <c r="L420" s="33">
        <f t="shared" si="199"/>
        <v>0.1008</v>
      </c>
      <c r="M420" s="33">
        <f t="shared" si="199"/>
        <v>0.1008</v>
      </c>
      <c r="N420" s="20"/>
    </row>
    <row r="421" spans="1:14">
      <c r="A421" s="26" t="s">
        <v>17</v>
      </c>
      <c r="B421" s="21">
        <f t="shared" ref="B421:M421" si="200">B419*B420</f>
        <v>0</v>
      </c>
      <c r="C421" s="21">
        <f t="shared" si="200"/>
        <v>0</v>
      </c>
      <c r="D421" s="21">
        <f t="shared" si="200"/>
        <v>0</v>
      </c>
      <c r="E421" s="21">
        <f t="shared" si="200"/>
        <v>0</v>
      </c>
      <c r="F421" s="21">
        <f t="shared" si="200"/>
        <v>0</v>
      </c>
      <c r="G421" s="21">
        <f t="shared" si="200"/>
        <v>0</v>
      </c>
      <c r="H421" s="21">
        <f t="shared" si="200"/>
        <v>0</v>
      </c>
      <c r="I421" s="21">
        <f t="shared" si="200"/>
        <v>0</v>
      </c>
      <c r="J421" s="21">
        <f t="shared" si="200"/>
        <v>0</v>
      </c>
      <c r="K421" s="21">
        <f t="shared" si="200"/>
        <v>0</v>
      </c>
      <c r="L421" s="21">
        <f t="shared" si="200"/>
        <v>0</v>
      </c>
      <c r="M421" s="21">
        <f t="shared" si="200"/>
        <v>0</v>
      </c>
      <c r="N421" s="21">
        <f>SUM(B421:M421)</f>
        <v>0</v>
      </c>
    </row>
    <row r="422" spans="1:14">
      <c r="A422" s="26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</row>
    <row r="423" spans="1:14">
      <c r="A423" s="402" t="s">
        <v>117</v>
      </c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>
      <c r="A424" s="27" t="s">
        <v>16</v>
      </c>
      <c r="B424" s="28">
        <f>'TSAS Demand Revenues (7)'!B427</f>
        <v>100000</v>
      </c>
      <c r="C424" s="28">
        <f>'TSAS Demand Revenues (7)'!C427</f>
        <v>100000</v>
      </c>
      <c r="D424" s="28">
        <f>'TSAS Demand Revenues (7)'!D427</f>
        <v>100000</v>
      </c>
      <c r="E424" s="28">
        <f>'TSAS Demand Revenues (7)'!E427</f>
        <v>100000</v>
      </c>
      <c r="F424" s="28">
        <f>'TSAS Demand Revenues (7)'!F427</f>
        <v>100000</v>
      </c>
      <c r="G424" s="28">
        <f>'TSAS Demand Revenues (7)'!G427</f>
        <v>100000</v>
      </c>
      <c r="H424" s="28">
        <f>'TSAS Demand Revenues (7)'!H427</f>
        <v>100000</v>
      </c>
      <c r="I424" s="28">
        <f>'TSAS Demand Revenues (7)'!I427</f>
        <v>100000</v>
      </c>
      <c r="J424" s="28">
        <f>'TSAS Demand Revenues (7)'!J427</f>
        <v>100000</v>
      </c>
      <c r="K424" s="28">
        <f>'TSAS Demand Revenues (7)'!K427</f>
        <v>100000</v>
      </c>
      <c r="L424" s="28">
        <f>'TSAS Demand Revenues (7)'!L427</f>
        <v>100000</v>
      </c>
      <c r="M424" s="28">
        <f>'TSAS Demand Revenues (7)'!M427</f>
        <v>100000</v>
      </c>
      <c r="N424" s="28">
        <f>SUM(B424:M424)</f>
        <v>1200000</v>
      </c>
    </row>
    <row r="425" spans="1:14">
      <c r="A425" s="26" t="s">
        <v>20</v>
      </c>
      <c r="B425" s="33">
        <f t="shared" ref="B425:M425" si="201">+$B$34</f>
        <v>0.1008</v>
      </c>
      <c r="C425" s="33">
        <f t="shared" si="201"/>
        <v>0.1008</v>
      </c>
      <c r="D425" s="33">
        <f t="shared" si="201"/>
        <v>0.1008</v>
      </c>
      <c r="E425" s="33">
        <f t="shared" si="201"/>
        <v>0.1008</v>
      </c>
      <c r="F425" s="33">
        <f t="shared" si="201"/>
        <v>0.1008</v>
      </c>
      <c r="G425" s="33">
        <f t="shared" si="201"/>
        <v>0.1008</v>
      </c>
      <c r="H425" s="33">
        <f t="shared" si="201"/>
        <v>0.1008</v>
      </c>
      <c r="I425" s="33">
        <f t="shared" si="201"/>
        <v>0.1008</v>
      </c>
      <c r="J425" s="33">
        <f t="shared" si="201"/>
        <v>0.1008</v>
      </c>
      <c r="K425" s="33">
        <f t="shared" si="201"/>
        <v>0.1008</v>
      </c>
      <c r="L425" s="33">
        <f t="shared" si="201"/>
        <v>0.1008</v>
      </c>
      <c r="M425" s="33">
        <f t="shared" si="201"/>
        <v>0.1008</v>
      </c>
      <c r="N425" s="20"/>
    </row>
    <row r="426" spans="1:14">
      <c r="A426" s="26" t="s">
        <v>17</v>
      </c>
      <c r="B426" s="21">
        <f t="shared" ref="B426:M426" si="202">B424*B425</f>
        <v>10080</v>
      </c>
      <c r="C426" s="21">
        <f t="shared" si="202"/>
        <v>10080</v>
      </c>
      <c r="D426" s="21">
        <f t="shared" si="202"/>
        <v>10080</v>
      </c>
      <c r="E426" s="21">
        <f t="shared" si="202"/>
        <v>10080</v>
      </c>
      <c r="F426" s="21">
        <f t="shared" si="202"/>
        <v>10080</v>
      </c>
      <c r="G426" s="21">
        <f t="shared" si="202"/>
        <v>10080</v>
      </c>
      <c r="H426" s="21">
        <f t="shared" si="202"/>
        <v>10080</v>
      </c>
      <c r="I426" s="21">
        <f t="shared" si="202"/>
        <v>10080</v>
      </c>
      <c r="J426" s="21">
        <f t="shared" si="202"/>
        <v>10080</v>
      </c>
      <c r="K426" s="21">
        <f t="shared" si="202"/>
        <v>10080</v>
      </c>
      <c r="L426" s="21">
        <f t="shared" si="202"/>
        <v>10080</v>
      </c>
      <c r="M426" s="21">
        <f t="shared" si="202"/>
        <v>10080</v>
      </c>
      <c r="N426" s="21">
        <f>SUM(B426:M426)</f>
        <v>120960</v>
      </c>
    </row>
    <row r="427" spans="1:14">
      <c r="A427" s="26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</row>
    <row r="428" spans="1:14">
      <c r="A428" s="402" t="s">
        <v>285</v>
      </c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8"/>
    </row>
    <row r="429" spans="1:14">
      <c r="A429" s="27" t="s">
        <v>16</v>
      </c>
      <c r="B429" s="21">
        <f>'TSAS Demand Revenues (7)'!B422</f>
        <v>0</v>
      </c>
      <c r="C429" s="21">
        <f>'TSAS Demand Revenues (7)'!C422</f>
        <v>0</v>
      </c>
      <c r="D429" s="21">
        <f>'TSAS Demand Revenues (7)'!D422</f>
        <v>0</v>
      </c>
      <c r="E429" s="21">
        <f>'TSAS Demand Revenues (7)'!E422</f>
        <v>0</v>
      </c>
      <c r="F429" s="21">
        <f>'TSAS Demand Revenues (7)'!F422</f>
        <v>0</v>
      </c>
      <c r="G429" s="21">
        <f>'TSAS Demand Revenues (7)'!G422</f>
        <v>0</v>
      </c>
      <c r="H429" s="21">
        <f>'TSAS Demand Revenues (7)'!H422</f>
        <v>0</v>
      </c>
      <c r="I429" s="21">
        <f>'TSAS Demand Revenues (7)'!I422</f>
        <v>0</v>
      </c>
      <c r="J429" s="21">
        <f>'TSAS Demand Revenues (7)'!J422</f>
        <v>0</v>
      </c>
      <c r="K429" s="21">
        <f>'TSAS Demand Revenues (7)'!K422</f>
        <v>0</v>
      </c>
      <c r="L429" s="21">
        <f>'TSAS Demand Revenues (7)'!L422</f>
        <v>0</v>
      </c>
      <c r="M429" s="21">
        <f>'TSAS Demand Revenues (7)'!M422</f>
        <v>0</v>
      </c>
      <c r="N429" s="28">
        <f>SUM(B429:M429)</f>
        <v>0</v>
      </c>
    </row>
    <row r="430" spans="1:14">
      <c r="A430" s="26" t="s">
        <v>20</v>
      </c>
      <c r="B430" s="33">
        <f>B425</f>
        <v>0.1008</v>
      </c>
      <c r="C430" s="33">
        <f t="shared" ref="C430:M430" si="203">C425</f>
        <v>0.1008</v>
      </c>
      <c r="D430" s="33">
        <f t="shared" si="203"/>
        <v>0.1008</v>
      </c>
      <c r="E430" s="33">
        <f t="shared" si="203"/>
        <v>0.1008</v>
      </c>
      <c r="F430" s="33">
        <f t="shared" si="203"/>
        <v>0.1008</v>
      </c>
      <c r="G430" s="33">
        <f t="shared" si="203"/>
        <v>0.1008</v>
      </c>
      <c r="H430" s="33">
        <f t="shared" si="203"/>
        <v>0.1008</v>
      </c>
      <c r="I430" s="33">
        <f t="shared" si="203"/>
        <v>0.1008</v>
      </c>
      <c r="J430" s="33">
        <f t="shared" si="203"/>
        <v>0.1008</v>
      </c>
      <c r="K430" s="33">
        <f t="shared" si="203"/>
        <v>0.1008</v>
      </c>
      <c r="L430" s="33">
        <f t="shared" si="203"/>
        <v>0.1008</v>
      </c>
      <c r="M430" s="33">
        <f t="shared" si="203"/>
        <v>0.1008</v>
      </c>
      <c r="N430" s="20"/>
    </row>
    <row r="431" spans="1:14">
      <c r="A431" s="26" t="s">
        <v>17</v>
      </c>
      <c r="B431" s="21">
        <f t="shared" ref="B431:M431" si="204">B429*B430</f>
        <v>0</v>
      </c>
      <c r="C431" s="21">
        <f t="shared" si="204"/>
        <v>0</v>
      </c>
      <c r="D431" s="21">
        <f t="shared" si="204"/>
        <v>0</v>
      </c>
      <c r="E431" s="21">
        <f t="shared" si="204"/>
        <v>0</v>
      </c>
      <c r="F431" s="21">
        <f t="shared" si="204"/>
        <v>0</v>
      </c>
      <c r="G431" s="21">
        <f t="shared" si="204"/>
        <v>0</v>
      </c>
      <c r="H431" s="21">
        <f t="shared" si="204"/>
        <v>0</v>
      </c>
      <c r="I431" s="21">
        <f t="shared" si="204"/>
        <v>0</v>
      </c>
      <c r="J431" s="21">
        <f t="shared" si="204"/>
        <v>0</v>
      </c>
      <c r="K431" s="21">
        <f t="shared" si="204"/>
        <v>0</v>
      </c>
      <c r="L431" s="21">
        <f t="shared" si="204"/>
        <v>0</v>
      </c>
      <c r="M431" s="21">
        <f t="shared" si="204"/>
        <v>0</v>
      </c>
      <c r="N431" s="21">
        <f>SUM(B431:M431)</f>
        <v>0</v>
      </c>
    </row>
    <row r="432" spans="1:14">
      <c r="A432" s="26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</row>
    <row r="433" spans="1:14">
      <c r="A433" s="145" t="s">
        <v>25</v>
      </c>
      <c r="B433" s="144">
        <f>B386+B391+B396+B401+B406+B411+B421+B416+B426+B431</f>
        <v>23761.919999999998</v>
      </c>
      <c r="C433" s="144">
        <f t="shared" ref="C433:M433" si="205">C386+C391+C396+C401+C406+C411+C421+C416+C426+C431</f>
        <v>19729.919999999998</v>
      </c>
      <c r="D433" s="144">
        <f t="shared" si="205"/>
        <v>19729.919999999998</v>
      </c>
      <c r="E433" s="144">
        <f t="shared" si="205"/>
        <v>19729.919999999998</v>
      </c>
      <c r="F433" s="144">
        <f t="shared" si="205"/>
        <v>19729.919999999998</v>
      </c>
      <c r="G433" s="144">
        <f t="shared" si="205"/>
        <v>19729.919999999998</v>
      </c>
      <c r="H433" s="144">
        <f t="shared" si="205"/>
        <v>19729.919999999998</v>
      </c>
      <c r="I433" s="144">
        <f t="shared" si="205"/>
        <v>19729.919999999998</v>
      </c>
      <c r="J433" s="144">
        <f t="shared" si="205"/>
        <v>19729.919999999998</v>
      </c>
      <c r="K433" s="144">
        <f t="shared" si="205"/>
        <v>19729.919999999998</v>
      </c>
      <c r="L433" s="144">
        <f t="shared" si="205"/>
        <v>19729.919999999998</v>
      </c>
      <c r="M433" s="144">
        <f t="shared" si="205"/>
        <v>19729.919999999998</v>
      </c>
      <c r="N433" s="144">
        <f>SUM(B433:M433)</f>
        <v>240791.03999999992</v>
      </c>
    </row>
    <row r="434" spans="1:14">
      <c r="A434" s="147" t="str">
        <f>A379</f>
        <v>Total Monthly Demand</v>
      </c>
      <c r="B434" s="146">
        <f>B384+B389+B394+B399+B404+B409+B414+B419+B424+B429</f>
        <v>247056</v>
      </c>
      <c r="C434" s="146">
        <f t="shared" ref="C434:M434" si="206">C384+C389+C394+C399+C404+C409+C414+C419+C424+C429</f>
        <v>207056</v>
      </c>
      <c r="D434" s="146">
        <f t="shared" si="206"/>
        <v>207056</v>
      </c>
      <c r="E434" s="146">
        <f t="shared" si="206"/>
        <v>207056</v>
      </c>
      <c r="F434" s="146">
        <f t="shared" si="206"/>
        <v>207056</v>
      </c>
      <c r="G434" s="146">
        <f t="shared" si="206"/>
        <v>207056</v>
      </c>
      <c r="H434" s="146">
        <f t="shared" si="206"/>
        <v>207056</v>
      </c>
      <c r="I434" s="146">
        <f t="shared" si="206"/>
        <v>207056</v>
      </c>
      <c r="J434" s="146">
        <f t="shared" si="206"/>
        <v>207056</v>
      </c>
      <c r="K434" s="146">
        <f t="shared" si="206"/>
        <v>207056</v>
      </c>
      <c r="L434" s="146">
        <f t="shared" si="206"/>
        <v>207056</v>
      </c>
      <c r="M434" s="146">
        <f t="shared" si="206"/>
        <v>207056</v>
      </c>
      <c r="N434" s="144">
        <f>SUM(B434:M434)</f>
        <v>2524672</v>
      </c>
    </row>
  </sheetData>
  <phoneticPr fontId="23" type="noConversion"/>
  <pageMargins left="0.59" right="0.2" top="0.53" bottom="0.4" header="0.32" footer="0.18"/>
  <pageSetup scale="69" pageOrder="overThenDown" orientation="landscape" horizontalDpi="4294967292" verticalDpi="300" r:id="rId1"/>
  <headerFooter alignWithMargins="0">
    <oddHeader>&amp;A</oddHeader>
    <oddFooter>&amp;Z&amp;F</oddFooter>
  </headerFooter>
  <rowBreaks count="5" manualBreakCount="5">
    <brk id="69" max="16383" man="1"/>
    <brk id="139" max="16383" man="1"/>
    <brk id="209" max="16383" man="1"/>
    <brk id="269" max="16383" man="1"/>
    <brk id="3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selection activeCell="A2" sqref="A1:A2"/>
    </sheetView>
  </sheetViews>
  <sheetFormatPr defaultColWidth="9" defaultRowHeight="13.2"/>
  <cols>
    <col min="1" max="1" width="35.21875" style="469" customWidth="1"/>
    <col min="2" max="2" width="10.77734375" style="469" bestFit="1" customWidth="1"/>
    <col min="3" max="13" width="9.33203125" style="469" bestFit="1" customWidth="1"/>
    <col min="14" max="14" width="10.109375" style="469" bestFit="1" customWidth="1"/>
    <col min="15" max="15" width="9.21875" style="469" bestFit="1" customWidth="1"/>
    <col min="16" max="16384" width="9" style="469"/>
  </cols>
  <sheetData>
    <row r="1" spans="1:15">
      <c r="A1" s="480" t="s">
        <v>477</v>
      </c>
    </row>
    <row r="2" spans="1:15">
      <c r="A2" s="480" t="s">
        <v>473</v>
      </c>
    </row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428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43466</v>
      </c>
      <c r="C9" s="473">
        <v>43497</v>
      </c>
      <c r="D9" s="473">
        <v>43525</v>
      </c>
      <c r="E9" s="473">
        <v>43556</v>
      </c>
      <c r="F9" s="473">
        <v>43586</v>
      </c>
      <c r="G9" s="473">
        <v>43617</v>
      </c>
      <c r="H9" s="473">
        <v>43647</v>
      </c>
      <c r="I9" s="473">
        <v>43678</v>
      </c>
      <c r="J9" s="473">
        <v>43709</v>
      </c>
      <c r="K9" s="473">
        <v>43739</v>
      </c>
      <c r="L9" s="473">
        <v>43770</v>
      </c>
      <c r="M9" s="473">
        <v>43800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v>0</v>
      </c>
      <c r="C11" s="478">
        <v>0</v>
      </c>
      <c r="D11" s="478">
        <v>0</v>
      </c>
      <c r="E11" s="478">
        <v>0</v>
      </c>
      <c r="F11" s="478">
        <v>0</v>
      </c>
      <c r="G11" s="478">
        <v>0</v>
      </c>
      <c r="H11" s="478">
        <v>0</v>
      </c>
      <c r="I11" s="478">
        <v>0</v>
      </c>
      <c r="J11" s="478">
        <v>0</v>
      </c>
      <c r="K11" s="478">
        <v>0</v>
      </c>
      <c r="L11" s="478">
        <v>0</v>
      </c>
      <c r="M11" s="478">
        <v>0</v>
      </c>
      <c r="N11" s="478">
        <f t="shared" ref="N11:N22" si="0">SUM(B11:M11)</f>
        <v>0</v>
      </c>
      <c r="O11" s="479">
        <f t="shared" ref="O11:O23" si="1">AVERAGE(B11:M11)</f>
        <v>0</v>
      </c>
    </row>
    <row r="12" spans="1:15">
      <c r="A12" s="469" t="s">
        <v>397</v>
      </c>
      <c r="B12" s="478">
        <f>'Winter Park Network'!B90/(1+'Transmission Formula Rate (7)'!$B$27)</f>
        <v>62217.792832596955</v>
      </c>
      <c r="C12" s="478">
        <f>'Winter Park Network'!C90/(1+'Transmission Formula Rate (7)'!$B$27)</f>
        <v>58910.162002945508</v>
      </c>
      <c r="D12" s="478">
        <f>'Winter Park Network'!D90/(1+'Transmission Formula Rate (7)'!$B$27)</f>
        <v>43167.277859597445</v>
      </c>
      <c r="E12" s="478">
        <f>'Winter Park Network'!E90/(1+'Transmission Formula Rate (7)'!$B$27)</f>
        <v>46480.410898379967</v>
      </c>
      <c r="F12" s="478">
        <f>'Winter Park Network'!F90/(1+'Transmission Formula Rate (7)'!$B$27)</f>
        <v>63874.35935198822</v>
      </c>
      <c r="G12" s="478">
        <f>'Winter Park Network'!G90/(1+'Transmission Formula Rate (7)'!$B$27)</f>
        <v>65530.925871379477</v>
      </c>
      <c r="H12" s="478">
        <f>'Winter Park Network'!H90/(1+'Transmission Formula Rate (7)'!$B$27)</f>
        <v>63046.076092292577</v>
      </c>
      <c r="I12" s="478">
        <f>'Winter Park Network'!I90/(1+'Transmission Formula Rate (7)'!$B$27)</f>
        <v>70500.625429553256</v>
      </c>
      <c r="J12" s="478">
        <f>'Winter Park Network'!J90/(1+'Transmission Formula Rate (7)'!$B$27)</f>
        <v>58910.162002945508</v>
      </c>
      <c r="K12" s="478">
        <f>'Winter Park Network'!K90/(1+'Transmission Formula Rate (7)'!$B$27)</f>
        <v>59732.943053510069</v>
      </c>
      <c r="L12" s="478">
        <f>'Winter Park Network'!L90/(1+'Transmission Formula Rate (7)'!$B$27)</f>
        <v>42338.994599901816</v>
      </c>
      <c r="M12" s="478">
        <f>'Winter Park Network'!M90/(1+'Transmission Formula Rate (7)'!$B$27)</f>
        <v>42338.994599901816</v>
      </c>
      <c r="N12" s="478">
        <f t="shared" si="0"/>
        <v>677048.7245949927</v>
      </c>
      <c r="O12" s="479">
        <f t="shared" si="1"/>
        <v>56420.727049582725</v>
      </c>
    </row>
    <row r="13" spans="1:15">
      <c r="A13" s="469" t="s">
        <v>398</v>
      </c>
      <c r="B13" s="478">
        <f>'LCEC Network'!B99/(1+'Transmission Formula Rate (7)'!$B$27)</f>
        <v>538730.99160097877</v>
      </c>
      <c r="C13" s="478">
        <f>'LCEC Network'!C99/(1+'Transmission Formula Rate (7)'!$B$27)</f>
        <v>733095.73221049306</v>
      </c>
      <c r="D13" s="478">
        <f>'LCEC Network'!D99/(1+'Transmission Formula Rate (7)'!$B$27)</f>
        <v>658110.28986288398</v>
      </c>
      <c r="E13" s="478">
        <f>'LCEC Network'!E99/(1+'Transmission Formula Rate (7)'!$B$27)</f>
        <v>606587.57352901169</v>
      </c>
      <c r="F13" s="478">
        <f>'LCEC Network'!F99/(1+'Transmission Formula Rate (7)'!$B$27)</f>
        <v>600431.2551025271</v>
      </c>
      <c r="G13" s="478">
        <f>'LCEC Network'!G99/(1+'Transmission Formula Rate (7)'!$B$27)</f>
        <v>694240.01150706213</v>
      </c>
      <c r="H13" s="478">
        <f>'LCEC Network'!H99/(1+'Transmission Formula Rate (7)'!$B$27)</f>
        <v>759881.23465782404</v>
      </c>
      <c r="I13" s="478">
        <f>'LCEC Network'!I99/(1+'Transmission Formula Rate (7)'!$B$27)</f>
        <v>743885.22978651198</v>
      </c>
      <c r="J13" s="478">
        <f>'LCEC Network'!J99/(1+'Transmission Formula Rate (7)'!$B$27)</f>
        <v>778034.39891085529</v>
      </c>
      <c r="K13" s="478">
        <f>'LCEC Network'!K99/(1+'Transmission Formula Rate (7)'!$B$27)</f>
        <v>668162.66840468626</v>
      </c>
      <c r="L13" s="478">
        <f>'LCEC Network'!L99/(1+'Transmission Formula Rate (7)'!$B$27)</f>
        <v>700543.99943543586</v>
      </c>
      <c r="M13" s="478">
        <f>'LCEC Network'!M99/(1+'Transmission Formula Rate (7)'!$B$27)</f>
        <v>573884.38201110857</v>
      </c>
      <c r="N13" s="478">
        <f t="shared" si="0"/>
        <v>8055587.767019378</v>
      </c>
      <c r="O13" s="479">
        <f t="shared" si="1"/>
        <v>671298.98058494821</v>
      </c>
    </row>
    <row r="14" spans="1:15">
      <c r="A14" s="469" t="s">
        <v>399</v>
      </c>
      <c r="B14" s="478">
        <f>'FKEC Network'!B99/(1+'Transmission Formula Rate (7)'!$B$27)</f>
        <v>115177.87882691852</v>
      </c>
      <c r="C14" s="478">
        <f>'FKEC Network'!C99/(1+'Transmission Formula Rate (7)'!$B$27)</f>
        <v>112451.9626137584</v>
      </c>
      <c r="D14" s="478">
        <f>'FKEC Network'!D99/(1+'Transmission Formula Rate (7)'!$B$27)</f>
        <v>119652.92455019824</v>
      </c>
      <c r="E14" s="478">
        <f>'FKEC Network'!E99/(1+'Transmission Formula Rate (7)'!$B$27)</f>
        <v>113547.09429545247</v>
      </c>
      <c r="F14" s="478">
        <f>'FKEC Network'!F99/(1+'Transmission Formula Rate (7)'!$B$27)</f>
        <v>134843.15529086333</v>
      </c>
      <c r="G14" s="478">
        <f>'FKEC Network'!G99/(1+'Transmission Formula Rate (7)'!$B$27)</f>
        <v>143336.89711640467</v>
      </c>
      <c r="H14" s="478">
        <f>'FKEC Network'!H99/(1+'Transmission Formula Rate (7)'!$B$27)</f>
        <v>147515.91348768459</v>
      </c>
      <c r="I14" s="478">
        <f>'FKEC Network'!I99/(1+'Transmission Formula Rate (7)'!$B$27)</f>
        <v>159797.67489515516</v>
      </c>
      <c r="J14" s="478">
        <f>'FKEC Network'!J99/(1+'Transmission Formula Rate (7)'!$B$27)</f>
        <v>155880.52895926763</v>
      </c>
      <c r="K14" s="478">
        <f>'FKEC Network'!K99/(1+'Transmission Formula Rate (7)'!$B$27)</f>
        <v>143806.32884172493</v>
      </c>
      <c r="L14" s="478">
        <f>'FKEC Network'!L99/(1+'Transmission Formula Rate (7)'!$B$27)</f>
        <v>137490.52516084115</v>
      </c>
      <c r="M14" s="478">
        <f>'FKEC Network'!M99/(1+'Transmission Formula Rate (7)'!$B$27)</f>
        <v>121978.29023276114</v>
      </c>
      <c r="N14" s="478">
        <f t="shared" si="0"/>
        <v>1605479.1742710299</v>
      </c>
      <c r="O14" s="479">
        <f t="shared" si="1"/>
        <v>133789.9311892525</v>
      </c>
    </row>
    <row r="15" spans="1:15">
      <c r="A15" s="469" t="s">
        <v>400</v>
      </c>
      <c r="B15" s="478">
        <v>0</v>
      </c>
      <c r="C15" s="478">
        <v>0</v>
      </c>
      <c r="D15" s="478">
        <v>0</v>
      </c>
      <c r="E15" s="478">
        <v>0</v>
      </c>
      <c r="F15" s="478">
        <v>0</v>
      </c>
      <c r="G15" s="478">
        <v>0</v>
      </c>
      <c r="H15" s="478">
        <v>0</v>
      </c>
      <c r="I15" s="478">
        <v>0</v>
      </c>
      <c r="J15" s="478">
        <v>0</v>
      </c>
      <c r="K15" s="478">
        <v>0</v>
      </c>
      <c r="L15" s="478">
        <v>0</v>
      </c>
      <c r="M15" s="478">
        <v>0</v>
      </c>
      <c r="N15" s="478">
        <f t="shared" si="0"/>
        <v>0</v>
      </c>
      <c r="O15" s="479">
        <f t="shared" si="1"/>
        <v>0</v>
      </c>
    </row>
    <row r="16" spans="1:15">
      <c r="A16" s="469" t="s">
        <v>401</v>
      </c>
      <c r="B16" s="478">
        <f>'Vero Beach Network'!B136</f>
        <v>182000</v>
      </c>
      <c r="C16" s="478">
        <f>'Vero Beach Network'!C136</f>
        <v>158000</v>
      </c>
      <c r="D16" s="478">
        <f>'Vero Beach Network'!D136</f>
        <v>126000</v>
      </c>
      <c r="E16" s="478">
        <f>'Vero Beach Network'!E136</f>
        <v>131000</v>
      </c>
      <c r="F16" s="478">
        <f>'Vero Beach Network'!F136</f>
        <v>144000</v>
      </c>
      <c r="G16" s="478">
        <f>'Vero Beach Network'!G136</f>
        <v>158000</v>
      </c>
      <c r="H16" s="478">
        <f>'Vero Beach Network'!H136</f>
        <v>157000</v>
      </c>
      <c r="I16" s="478">
        <f>'Vero Beach Network'!I136</f>
        <v>168000</v>
      </c>
      <c r="J16" s="478">
        <f>'Vero Beach Network'!J136</f>
        <v>159000</v>
      </c>
      <c r="K16" s="478">
        <f>'Vero Beach Network'!K136</f>
        <v>149000</v>
      </c>
      <c r="L16" s="478">
        <f>'Vero Beach Network'!L136</f>
        <v>128000</v>
      </c>
      <c r="M16" s="478">
        <f>'Vero Beach Network'!M136</f>
        <v>143000</v>
      </c>
      <c r="N16" s="478">
        <f t="shared" si="0"/>
        <v>1803000</v>
      </c>
      <c r="O16" s="479">
        <f t="shared" si="1"/>
        <v>150250</v>
      </c>
    </row>
    <row r="17" spans="1:15">
      <c r="A17" s="469" t="s">
        <v>292</v>
      </c>
      <c r="B17" s="478">
        <f>'FMPA Network'!B137</f>
        <v>430700</v>
      </c>
      <c r="C17" s="478">
        <f>'FMPA Network'!C137</f>
        <v>401500</v>
      </c>
      <c r="D17" s="478">
        <f>'FMPA Network'!D137</f>
        <v>351100</v>
      </c>
      <c r="E17" s="478">
        <f>'FMPA Network'!E137</f>
        <v>377300</v>
      </c>
      <c r="F17" s="478">
        <f>'FMPA Network'!F137</f>
        <v>425700</v>
      </c>
      <c r="G17" s="478">
        <f>'FMPA Network'!G137</f>
        <v>463000</v>
      </c>
      <c r="H17" s="478">
        <f>'FMPA Network'!H137</f>
        <v>479000</v>
      </c>
      <c r="I17" s="478">
        <f>'FMPA Network'!I137</f>
        <v>487200</v>
      </c>
      <c r="J17" s="478">
        <f>'FMPA Network'!J137</f>
        <v>444500</v>
      </c>
      <c r="K17" s="478">
        <f>'FMPA Network'!K137</f>
        <v>410700</v>
      </c>
      <c r="L17" s="478">
        <f>'FMPA Network'!L137</f>
        <v>367700</v>
      </c>
      <c r="M17" s="478">
        <f>'FMPA Network'!M137</f>
        <v>352900</v>
      </c>
      <c r="N17" s="478">
        <f t="shared" si="0"/>
        <v>4991300</v>
      </c>
      <c r="O17" s="479">
        <f t="shared" si="1"/>
        <v>415941.66666666669</v>
      </c>
    </row>
    <row r="18" spans="1:15">
      <c r="A18" s="469" t="s">
        <v>402</v>
      </c>
      <c r="B18" s="478">
        <f>'SECI Network'!B136</f>
        <v>550644</v>
      </c>
      <c r="C18" s="478">
        <f>'SECI Network'!C136</f>
        <v>438917</v>
      </c>
      <c r="D18" s="478">
        <f>'SECI Network'!D136</f>
        <v>403138</v>
      </c>
      <c r="E18" s="478">
        <f>'SECI Network'!E136</f>
        <v>382060</v>
      </c>
      <c r="F18" s="478">
        <f>'SECI Network'!F136</f>
        <v>431170</v>
      </c>
      <c r="G18" s="478">
        <f>'SECI Network'!G136</f>
        <v>465687</v>
      </c>
      <c r="H18" s="478">
        <f>'SECI Network'!H136</f>
        <v>462081</v>
      </c>
      <c r="I18" s="478">
        <f>'SECI Network'!I136</f>
        <v>460591</v>
      </c>
      <c r="J18" s="478">
        <f>'SECI Network'!J136</f>
        <v>467001</v>
      </c>
      <c r="K18" s="478">
        <f>'SECI Network'!K136</f>
        <v>406071</v>
      </c>
      <c r="L18" s="478">
        <f>'SECI Network'!L136</f>
        <v>391357</v>
      </c>
      <c r="M18" s="478">
        <f>'SECI Network'!M136</f>
        <v>423458</v>
      </c>
      <c r="N18" s="478">
        <f t="shared" si="0"/>
        <v>5282175</v>
      </c>
      <c r="O18" s="479">
        <f t="shared" si="1"/>
        <v>440181.25</v>
      </c>
    </row>
    <row r="19" spans="1:15">
      <c r="A19" s="469" t="s">
        <v>44</v>
      </c>
      <c r="B19" s="478">
        <f>'Georgia Trans Network'!B123</f>
        <v>25884</v>
      </c>
      <c r="C19" s="478">
        <f>'Georgia Trans Network'!C123</f>
        <v>25884</v>
      </c>
      <c r="D19" s="478">
        <f>'Georgia Trans Network'!D123</f>
        <v>25884</v>
      </c>
      <c r="E19" s="478">
        <f>'Georgia Trans Network'!E123</f>
        <v>25884</v>
      </c>
      <c r="F19" s="478">
        <f>'Georgia Trans Network'!F123</f>
        <v>25884</v>
      </c>
      <c r="G19" s="478">
        <f>'Georgia Trans Network'!G123</f>
        <v>25883</v>
      </c>
      <c r="H19" s="478">
        <f>'Georgia Trans Network'!H123</f>
        <v>25883</v>
      </c>
      <c r="I19" s="478">
        <f>'Georgia Trans Network'!I123</f>
        <v>25883</v>
      </c>
      <c r="J19" s="478">
        <f>'Georgia Trans Network'!J123</f>
        <v>25883</v>
      </c>
      <c r="K19" s="478">
        <f>'Georgia Trans Network'!K123</f>
        <v>28869</v>
      </c>
      <c r="L19" s="478">
        <f>'Georgia Trans Network'!L123</f>
        <v>28869</v>
      </c>
      <c r="M19" s="478">
        <f>'Georgia Trans Network'!M123</f>
        <v>28869</v>
      </c>
      <c r="N19" s="478">
        <f t="shared" si="0"/>
        <v>319559</v>
      </c>
      <c r="O19" s="479">
        <f t="shared" si="1"/>
        <v>26629.916666666668</v>
      </c>
    </row>
    <row r="20" spans="1:15">
      <c r="A20" s="469" t="s">
        <v>403</v>
      </c>
      <c r="B20" s="478">
        <f>'Lake Worth Forecast'!E15</f>
        <v>70069.439411680069</v>
      </c>
      <c r="C20" s="478">
        <f>'Lake Worth Forecast'!F15</f>
        <v>68455.211711922937</v>
      </c>
      <c r="D20" s="478">
        <f>'Lake Worth Forecast'!G15</f>
        <v>71404.664792960655</v>
      </c>
      <c r="E20" s="478">
        <f>'Lake Worth Forecast'!H15</f>
        <v>74593.262718406855</v>
      </c>
      <c r="F20" s="478">
        <f>'Lake Worth Forecast'!I15</f>
        <v>83172.58401156051</v>
      </c>
      <c r="G20" s="478">
        <f>'Lake Worth Forecast'!J15</f>
        <v>87238.046366504423</v>
      </c>
      <c r="H20" s="478">
        <f>'Lake Worth Forecast'!K15</f>
        <v>90606.002925256966</v>
      </c>
      <c r="I20" s="478">
        <f>'Lake Worth Forecast'!L15</f>
        <v>91114.185719624948</v>
      </c>
      <c r="J20" s="478">
        <f>'Lake Worth Forecast'!M15</f>
        <v>88005.302742314903</v>
      </c>
      <c r="K20" s="478">
        <f>'Lake Worth Forecast'!N15</f>
        <v>82714.223059777636</v>
      </c>
      <c r="L20" s="478">
        <f>'Lake Worth Forecast'!O15</f>
        <v>73955.543133317624</v>
      </c>
      <c r="M20" s="478">
        <f>'Lake Worth Forecast'!P15</f>
        <v>70288.655519054504</v>
      </c>
      <c r="N20" s="478">
        <f t="shared" si="0"/>
        <v>951617.12211238197</v>
      </c>
      <c r="O20" s="479">
        <f t="shared" si="1"/>
        <v>79301.426842698493</v>
      </c>
    </row>
    <row r="21" spans="1:15">
      <c r="A21" s="469" t="s">
        <v>116</v>
      </c>
      <c r="B21" s="478">
        <f>'Homestead Network Transmission'!B123/(1+'Transmission Formula Rate (7)'!$B$27)</f>
        <v>26509.572901325479</v>
      </c>
      <c r="C21" s="478">
        <f>'Homestead Network Transmission'!C123/(1+'Transmission Formula Rate (7)'!$B$27)</f>
        <v>5891.0162002945508</v>
      </c>
      <c r="D21" s="478">
        <f>'Homestead Network Transmission'!D123/(1+'Transmission Formula Rate (7)'!$B$27)</f>
        <v>0</v>
      </c>
      <c r="E21" s="478">
        <f>'Homestead Network Transmission'!E123/(1+'Transmission Formula Rate (7)'!$B$27)</f>
        <v>2945.5081001472754</v>
      </c>
      <c r="F21" s="478">
        <f>'Homestead Network Transmission'!F123/(1+'Transmission Formula Rate (7)'!$B$27)</f>
        <v>11782.032400589102</v>
      </c>
      <c r="G21" s="478">
        <f>'Homestead Network Transmission'!G123/(1+'Transmission Formula Rate (7)'!$B$27)</f>
        <v>19636.720667648504</v>
      </c>
      <c r="H21" s="478">
        <f>'Homestead Network Transmission'!H123/(1+'Transmission Formula Rate (7)'!$B$27)</f>
        <v>24545.900834560631</v>
      </c>
      <c r="I21" s="478">
        <f>'Homestead Network Transmission'!I123/(1+'Transmission Formula Rate (7)'!$B$27)</f>
        <v>26509.572901325479</v>
      </c>
      <c r="J21" s="478">
        <f>'Homestead Network Transmission'!J123/(1+'Transmission Formula Rate (7)'!$B$27)</f>
        <v>20618.556701030928</v>
      </c>
      <c r="K21" s="478">
        <f>'Homestead Network Transmission'!K123/(1+'Transmission Formula Rate (7)'!$B$27)</f>
        <v>7854.6882670594014</v>
      </c>
      <c r="L21" s="478">
        <f>'Homestead Network Transmission'!L123/(1+'Transmission Formula Rate (7)'!$B$27)</f>
        <v>0</v>
      </c>
      <c r="M21" s="478">
        <f>'Homestead Network Transmission'!M123/(1+'Transmission Formula Rate (7)'!$B$27)</f>
        <v>0</v>
      </c>
      <c r="N21" s="478">
        <f>'Homestead Network Transmission'!N123/(1+'Transmission Formula Rate (7)'!$B$27)</f>
        <v>146293.56897398134</v>
      </c>
      <c r="O21" s="479">
        <f t="shared" si="1"/>
        <v>12191.130747831778</v>
      </c>
    </row>
    <row r="22" spans="1:15">
      <c r="A22" s="469" t="s">
        <v>408</v>
      </c>
      <c r="B22" s="478">
        <f>'New Smyrna Network'!B125/(1+'Transmission Formula Rate (7)'!$B$27)</f>
        <v>0</v>
      </c>
      <c r="C22" s="478">
        <f>'New Smyrna Network'!C125/(1+'Transmission Formula Rate (7)'!$B$27)</f>
        <v>0</v>
      </c>
      <c r="D22" s="478">
        <f>'New Smyrna Network'!D125/(1+'Transmission Formula Rate (7)'!$B$27)</f>
        <v>0</v>
      </c>
      <c r="E22" s="478">
        <f>'New Smyrna Network'!E125/(1+'Transmission Formula Rate (7)'!$B$27)</f>
        <v>0</v>
      </c>
      <c r="F22" s="478">
        <f>'New Smyrna Network'!F125/(1+'Transmission Formula Rate (7)'!$B$27)</f>
        <v>0</v>
      </c>
      <c r="G22" s="478">
        <f>'New Smyrna Network'!G125/(1+'Transmission Formula Rate (7)'!$B$27)</f>
        <v>0</v>
      </c>
      <c r="H22" s="478">
        <f>'New Smyrna Network'!H125/(1+'Transmission Formula Rate (7)'!$B$27)</f>
        <v>0</v>
      </c>
      <c r="I22" s="478">
        <f>'New Smyrna Network'!I125/(1+'Transmission Formula Rate (7)'!$B$27)</f>
        <v>0</v>
      </c>
      <c r="J22" s="478">
        <f>'New Smyrna Network'!J125/(1+'Transmission Formula Rate (7)'!$B$27)</f>
        <v>0</v>
      </c>
      <c r="K22" s="478">
        <f>'New Smyrna Network'!K125/(1+'Transmission Formula Rate (7)'!$B$27)</f>
        <v>0</v>
      </c>
      <c r="L22" s="478">
        <f>'New Smyrna Network'!L125/(1+'Transmission Formula Rate (7)'!$B$27)</f>
        <v>0</v>
      </c>
      <c r="M22" s="478">
        <f>'New Smyrna Network'!M125/(1+'Transmission Formula Rate (7)'!$B$27)</f>
        <v>0</v>
      </c>
      <c r="N22" s="478">
        <f t="shared" si="0"/>
        <v>0</v>
      </c>
      <c r="O22" s="479">
        <f t="shared" si="1"/>
        <v>0</v>
      </c>
    </row>
    <row r="23" spans="1:15">
      <c r="A23" s="469" t="s">
        <v>450</v>
      </c>
      <c r="B23" s="478">
        <f>'Quincy Transmission'!B90/(1+'Transmission Formula Rate (7)'!$B$27)</f>
        <v>18654.88463426608</v>
      </c>
      <c r="C23" s="478">
        <f>'Quincy Transmission'!C90/(1+'Transmission Formula Rate (7)'!$B$27)</f>
        <v>23342.474226804126</v>
      </c>
      <c r="D23" s="478">
        <f>'Quincy Transmission'!D90/(1+'Transmission Formula Rate (7)'!$B$27)</f>
        <v>21369.366715758471</v>
      </c>
      <c r="E23" s="478">
        <f>'Quincy Transmission'!E90/(1+'Transmission Formula Rate (7)'!$B$27)</f>
        <v>19162.444771723123</v>
      </c>
      <c r="F23" s="478">
        <f>'Quincy Transmission'!F90/(1+'Transmission Formula Rate (7)'!$B$27)</f>
        <v>22637.054491899853</v>
      </c>
      <c r="G23" s="478">
        <f>'Quincy Transmission'!G90/(1+'Transmission Formula Rate (7)'!$B$27)</f>
        <v>27179.73490427099</v>
      </c>
      <c r="H23" s="478">
        <f>'Quincy Transmission'!H90/(1+'Transmission Formula Rate (7)'!$B$27)</f>
        <v>26867.982326951402</v>
      </c>
      <c r="I23" s="478">
        <f>'Quincy Transmission'!I90/(1+'Transmission Formula Rate (7)'!$B$27)</f>
        <v>18654.88463426608</v>
      </c>
      <c r="J23" s="478">
        <f>'Quincy Transmission'!J90/(1+'Transmission Formula Rate (7)'!$B$27)</f>
        <v>24822.503681885126</v>
      </c>
      <c r="K23" s="478">
        <f>'Quincy Transmission'!K90/(1+'Transmission Formula Rate (7)'!$B$27)</f>
        <v>21870.397643593522</v>
      </c>
      <c r="L23" s="478">
        <f>'Quincy Transmission'!L90/(1+'Transmission Formula Rate (7)'!$B$27)</f>
        <v>25166.863033873346</v>
      </c>
      <c r="M23" s="478">
        <f>'Quincy Transmission'!M90/(1+'Transmission Formula Rate (7)'!$B$27)</f>
        <v>22615.581737849781</v>
      </c>
      <c r="N23" s="478">
        <f>'Quincy Transmission'!N90/(1+'Transmission Formula Rate (7)'!$B$27)</f>
        <v>272344.17280314193</v>
      </c>
      <c r="O23" s="479">
        <f t="shared" si="1"/>
        <v>22695.347733595161</v>
      </c>
    </row>
    <row r="24" spans="1:15">
      <c r="A24" s="480" t="s">
        <v>404</v>
      </c>
      <c r="B24" s="481">
        <f>SUM(B11:B23)</f>
        <v>2020588.560207766</v>
      </c>
      <c r="C24" s="481">
        <f t="shared" ref="C24:N24" si="2">SUM(C11:C23)</f>
        <v>2026447.5589662187</v>
      </c>
      <c r="D24" s="481">
        <f t="shared" si="2"/>
        <v>1819826.523781399</v>
      </c>
      <c r="E24" s="481">
        <f t="shared" si="2"/>
        <v>1779560.2943131214</v>
      </c>
      <c r="F24" s="481">
        <f t="shared" si="2"/>
        <v>1943494.4406494284</v>
      </c>
      <c r="G24" s="481">
        <f t="shared" si="2"/>
        <v>2149732.3364332705</v>
      </c>
      <c r="H24" s="481">
        <f t="shared" si="2"/>
        <v>2236427.11032457</v>
      </c>
      <c r="I24" s="481">
        <f t="shared" si="2"/>
        <v>2252136.1733664367</v>
      </c>
      <c r="J24" s="481">
        <f t="shared" si="2"/>
        <v>2222655.4529982996</v>
      </c>
      <c r="K24" s="481">
        <f t="shared" si="2"/>
        <v>1978781.2492703518</v>
      </c>
      <c r="L24" s="481">
        <f t="shared" si="2"/>
        <v>1895421.9253633698</v>
      </c>
      <c r="M24" s="481">
        <f t="shared" si="2"/>
        <v>1779332.9041006758</v>
      </c>
      <c r="N24" s="481">
        <f t="shared" si="2"/>
        <v>24104404.529774908</v>
      </c>
      <c r="O24" s="482">
        <f>SUM(O11:O23)</f>
        <v>2008700.3774812426</v>
      </c>
    </row>
    <row r="25" spans="1:15">
      <c r="O25" s="477"/>
    </row>
    <row r="26" spans="1:15">
      <c r="A26" s="476" t="s">
        <v>405</v>
      </c>
      <c r="O26" s="477"/>
    </row>
    <row r="27" spans="1:15">
      <c r="A27" s="469" t="s">
        <v>23</v>
      </c>
      <c r="B27" s="478">
        <f>'TSAS Demand Revenues (7)'!B342</f>
        <v>37056</v>
      </c>
      <c r="C27" s="478">
        <f>'TSAS Demand Revenues (7)'!C342</f>
        <v>37056</v>
      </c>
      <c r="D27" s="478">
        <f>'TSAS Demand Revenues (7)'!D342</f>
        <v>37056</v>
      </c>
      <c r="E27" s="478">
        <f>'TSAS Demand Revenues (7)'!E342</f>
        <v>37056</v>
      </c>
      <c r="F27" s="478">
        <f>'TSAS Demand Revenues (7)'!F342</f>
        <v>37056</v>
      </c>
      <c r="G27" s="478">
        <f>'TSAS Demand Revenues (7)'!G342</f>
        <v>37056</v>
      </c>
      <c r="H27" s="478">
        <f>'TSAS Demand Revenues (7)'!H342</f>
        <v>37056</v>
      </c>
      <c r="I27" s="478">
        <f>'TSAS Demand Revenues (7)'!I342</f>
        <v>37056</v>
      </c>
      <c r="J27" s="478">
        <f>'TSAS Demand Revenues (7)'!J342</f>
        <v>37056</v>
      </c>
      <c r="K27" s="478">
        <f>'TSAS Demand Revenues (7)'!K342</f>
        <v>37056</v>
      </c>
      <c r="L27" s="478">
        <f>'TSAS Demand Revenues (7)'!L342</f>
        <v>37056</v>
      </c>
      <c r="M27" s="478">
        <f>'TSAS Demand Revenues (7)'!M342</f>
        <v>37056</v>
      </c>
      <c r="N27" s="478">
        <f>SUM(B27:M27)</f>
        <v>444672</v>
      </c>
      <c r="O27" s="479">
        <f t="shared" ref="O27:O33" si="3">AVERAGE(B27:M27)</f>
        <v>37056</v>
      </c>
    </row>
    <row r="28" spans="1:15">
      <c r="A28" s="469" t="s">
        <v>24</v>
      </c>
      <c r="B28" s="478">
        <f>'TSAS Demand Revenues (7)'!B347</f>
        <v>62000</v>
      </c>
      <c r="C28" s="478">
        <f>'TSAS Demand Revenues (7)'!C347</f>
        <v>62000</v>
      </c>
      <c r="D28" s="478">
        <f>'TSAS Demand Revenues (7)'!D347</f>
        <v>62000</v>
      </c>
      <c r="E28" s="478">
        <f>'TSAS Demand Revenues (7)'!E347</f>
        <v>62000</v>
      </c>
      <c r="F28" s="478">
        <f>'TSAS Demand Revenues (7)'!F347</f>
        <v>62000</v>
      </c>
      <c r="G28" s="478">
        <f>'TSAS Demand Revenues (7)'!G347</f>
        <v>62000</v>
      </c>
      <c r="H28" s="478">
        <f>'TSAS Demand Revenues (7)'!H347</f>
        <v>62000</v>
      </c>
      <c r="I28" s="478">
        <f>'TSAS Demand Revenues (7)'!I347</f>
        <v>62000</v>
      </c>
      <c r="J28" s="478">
        <f>'TSAS Demand Revenues (7)'!J347</f>
        <v>62000</v>
      </c>
      <c r="K28" s="478">
        <f>'TSAS Demand Revenues (7)'!K347</f>
        <v>62000</v>
      </c>
      <c r="L28" s="478">
        <f>'TSAS Demand Revenues (7)'!L347</f>
        <v>62000</v>
      </c>
      <c r="M28" s="478">
        <f>'TSAS Demand Revenues (7)'!M347</f>
        <v>62000</v>
      </c>
      <c r="N28" s="478">
        <f t="shared" ref="N28:N33" si="4">SUM(B28:M28)</f>
        <v>744000</v>
      </c>
      <c r="O28" s="479">
        <f t="shared" si="3"/>
        <v>62000</v>
      </c>
    </row>
    <row r="29" spans="1:15">
      <c r="A29" s="469" t="s">
        <v>116</v>
      </c>
      <c r="B29" s="478">
        <f>'TSAS Demand Revenues (7)'!B352</f>
        <v>40000</v>
      </c>
      <c r="C29" s="478">
        <f>'TSAS Demand Revenues (7)'!C352</f>
        <v>40000</v>
      </c>
      <c r="D29" s="478">
        <f>'TSAS Demand Revenues (7)'!D352</f>
        <v>40000</v>
      </c>
      <c r="E29" s="478">
        <f>'TSAS Demand Revenues (7)'!E352</f>
        <v>40000</v>
      </c>
      <c r="F29" s="478">
        <f>'TSAS Demand Revenues (7)'!F352</f>
        <v>40000</v>
      </c>
      <c r="G29" s="478">
        <f>'TSAS Demand Revenues (7)'!G352</f>
        <v>40000</v>
      </c>
      <c r="H29" s="478">
        <f>'TSAS Demand Revenues (7)'!H352</f>
        <v>40000</v>
      </c>
      <c r="I29" s="478">
        <f>'TSAS Demand Revenues (7)'!I352</f>
        <v>40000</v>
      </c>
      <c r="J29" s="478">
        <f>'TSAS Demand Revenues (7)'!J352</f>
        <v>40000</v>
      </c>
      <c r="K29" s="478">
        <f>'TSAS Demand Revenues (7)'!K352</f>
        <v>40000</v>
      </c>
      <c r="L29" s="478">
        <f>'TSAS Demand Revenues (7)'!L352</f>
        <v>40000</v>
      </c>
      <c r="M29" s="478">
        <f>'TSAS Demand Revenues (7)'!M352</f>
        <v>40000</v>
      </c>
      <c r="N29" s="478">
        <f t="shared" si="4"/>
        <v>480000</v>
      </c>
      <c r="O29" s="479">
        <f t="shared" si="3"/>
        <v>40000</v>
      </c>
    </row>
    <row r="30" spans="1:15">
      <c r="A30" s="469" t="s">
        <v>237</v>
      </c>
      <c r="B30" s="478">
        <f>'TSAS Demand Revenues (7)'!B357</f>
        <v>3000</v>
      </c>
      <c r="C30" s="478">
        <f>'TSAS Demand Revenues (7)'!C357</f>
        <v>3000</v>
      </c>
      <c r="D30" s="478">
        <f>'TSAS Demand Revenues (7)'!D357</f>
        <v>3000</v>
      </c>
      <c r="E30" s="478">
        <f>'TSAS Demand Revenues (7)'!E357</f>
        <v>3000</v>
      </c>
      <c r="F30" s="478">
        <f>'TSAS Demand Revenues (7)'!F357</f>
        <v>3000</v>
      </c>
      <c r="G30" s="478">
        <f>'TSAS Demand Revenues (7)'!G357</f>
        <v>3000</v>
      </c>
      <c r="H30" s="478">
        <f>'TSAS Demand Revenues (7)'!H357</f>
        <v>3000</v>
      </c>
      <c r="I30" s="478">
        <f>'TSAS Demand Revenues (7)'!I357</f>
        <v>3000</v>
      </c>
      <c r="J30" s="478">
        <f>'TSAS Demand Revenues (7)'!J357</f>
        <v>3000</v>
      </c>
      <c r="K30" s="478">
        <f>'TSAS Demand Revenues (7)'!K357</f>
        <v>3000</v>
      </c>
      <c r="L30" s="478">
        <f>'TSAS Demand Revenues (7)'!L357</f>
        <v>3000</v>
      </c>
      <c r="M30" s="478">
        <f>'TSAS Demand Revenues (7)'!M357</f>
        <v>3000</v>
      </c>
      <c r="N30" s="478">
        <f t="shared" si="4"/>
        <v>36000</v>
      </c>
      <c r="O30" s="479">
        <f t="shared" si="3"/>
        <v>3000</v>
      </c>
    </row>
    <row r="31" spans="1:15">
      <c r="A31" s="469" t="s">
        <v>117</v>
      </c>
      <c r="B31" s="478">
        <f>'TSAS Demand Revenues (7)'!B372</f>
        <v>100000</v>
      </c>
      <c r="C31" s="478">
        <f>'TSAS Demand Revenues (7)'!C372</f>
        <v>100000</v>
      </c>
      <c r="D31" s="478">
        <f>'TSAS Demand Revenues (7)'!D372</f>
        <v>100000</v>
      </c>
      <c r="E31" s="478">
        <f>'TSAS Demand Revenues (7)'!E372</f>
        <v>100000</v>
      </c>
      <c r="F31" s="478">
        <f>'TSAS Demand Revenues (7)'!F372</f>
        <v>100000</v>
      </c>
      <c r="G31" s="478">
        <f>'TSAS Demand Revenues (7)'!G372</f>
        <v>100000</v>
      </c>
      <c r="H31" s="478">
        <f>'TSAS Demand Revenues (7)'!H372</f>
        <v>100000</v>
      </c>
      <c r="I31" s="478">
        <f>'TSAS Demand Revenues (7)'!I372</f>
        <v>100000</v>
      </c>
      <c r="J31" s="478">
        <f>'TSAS Demand Revenues (7)'!J372</f>
        <v>100000</v>
      </c>
      <c r="K31" s="478">
        <f>'TSAS Demand Revenues (7)'!K372</f>
        <v>100000</v>
      </c>
      <c r="L31" s="478">
        <f>'TSAS Demand Revenues (7)'!L372</f>
        <v>100000</v>
      </c>
      <c r="M31" s="478">
        <f>'TSAS Demand Revenues (7)'!M372</f>
        <v>100000</v>
      </c>
      <c r="N31" s="478">
        <f t="shared" si="4"/>
        <v>1200000</v>
      </c>
      <c r="O31" s="479">
        <f t="shared" si="3"/>
        <v>100000</v>
      </c>
    </row>
    <row r="32" spans="1:15">
      <c r="A32" s="469" t="s">
        <v>410</v>
      </c>
      <c r="B32" s="478">
        <v>0</v>
      </c>
      <c r="C32" s="478">
        <v>0</v>
      </c>
      <c r="D32" s="478">
        <v>0</v>
      </c>
      <c r="E32" s="478">
        <v>0</v>
      </c>
      <c r="F32" s="478">
        <v>0</v>
      </c>
      <c r="G32" s="478">
        <v>0</v>
      </c>
      <c r="H32" s="478">
        <v>0</v>
      </c>
      <c r="I32" s="478">
        <v>0</v>
      </c>
      <c r="J32" s="478">
        <v>0</v>
      </c>
      <c r="K32" s="478">
        <v>0</v>
      </c>
      <c r="L32" s="478">
        <v>0</v>
      </c>
      <c r="M32" s="478">
        <v>0</v>
      </c>
      <c r="N32" s="478">
        <f t="shared" si="4"/>
        <v>0</v>
      </c>
      <c r="O32" s="479">
        <f t="shared" si="3"/>
        <v>0</v>
      </c>
    </row>
    <row r="33" spans="1:15">
      <c r="A33" s="469" t="s">
        <v>406</v>
      </c>
      <c r="B33" s="478">
        <f>'TSAS Demand Revenues (7)'!B327</f>
        <v>5000</v>
      </c>
      <c r="C33" s="478">
        <f>'TSAS Demand Revenues (7)'!C327</f>
        <v>5000</v>
      </c>
      <c r="D33" s="478">
        <f>'TSAS Demand Revenues (7)'!D327</f>
        <v>5000</v>
      </c>
      <c r="E33" s="478">
        <f>'TSAS Demand Revenues (7)'!E327</f>
        <v>5000</v>
      </c>
      <c r="F33" s="478">
        <f>'TSAS Demand Revenues (7)'!F327</f>
        <v>5000</v>
      </c>
      <c r="G33" s="478">
        <f>'TSAS Demand Revenues (7)'!G327</f>
        <v>5000</v>
      </c>
      <c r="H33" s="478">
        <f>'TSAS Demand Revenues (7)'!H327</f>
        <v>5000</v>
      </c>
      <c r="I33" s="478">
        <f>'TSAS Demand Revenues (7)'!I327</f>
        <v>5000</v>
      </c>
      <c r="J33" s="478">
        <f>'TSAS Demand Revenues (7)'!J327</f>
        <v>5000</v>
      </c>
      <c r="K33" s="478">
        <f>'TSAS Demand Revenues (7)'!K327</f>
        <v>5000</v>
      </c>
      <c r="L33" s="478">
        <f>'TSAS Demand Revenues (7)'!L327</f>
        <v>5000</v>
      </c>
      <c r="M33" s="478">
        <f>'TSAS Demand Revenues (7)'!M327</f>
        <v>5000</v>
      </c>
      <c r="N33" s="478">
        <f t="shared" si="4"/>
        <v>60000</v>
      </c>
      <c r="O33" s="479">
        <f t="shared" si="3"/>
        <v>5000</v>
      </c>
    </row>
    <row r="34" spans="1:15">
      <c r="A34" s="480" t="s">
        <v>407</v>
      </c>
      <c r="B34" s="481">
        <f t="shared" ref="B34:O34" si="5">SUM(B27:B33)</f>
        <v>247056</v>
      </c>
      <c r="C34" s="481">
        <f t="shared" si="5"/>
        <v>247056</v>
      </c>
      <c r="D34" s="481">
        <f t="shared" si="5"/>
        <v>247056</v>
      </c>
      <c r="E34" s="481">
        <f t="shared" si="5"/>
        <v>247056</v>
      </c>
      <c r="F34" s="481">
        <f t="shared" si="5"/>
        <v>247056</v>
      </c>
      <c r="G34" s="481">
        <f t="shared" si="5"/>
        <v>247056</v>
      </c>
      <c r="H34" s="481">
        <f t="shared" si="5"/>
        <v>247056</v>
      </c>
      <c r="I34" s="481">
        <f t="shared" si="5"/>
        <v>247056</v>
      </c>
      <c r="J34" s="481">
        <f t="shared" si="5"/>
        <v>247056</v>
      </c>
      <c r="K34" s="481">
        <f t="shared" si="5"/>
        <v>247056</v>
      </c>
      <c r="L34" s="481">
        <f t="shared" si="5"/>
        <v>247056</v>
      </c>
      <c r="M34" s="481">
        <f t="shared" si="5"/>
        <v>247056</v>
      </c>
      <c r="N34" s="481">
        <f t="shared" si="5"/>
        <v>2964672</v>
      </c>
      <c r="O34" s="482">
        <f t="shared" si="5"/>
        <v>247056</v>
      </c>
    </row>
    <row r="35" spans="1:15">
      <c r="O35" s="477"/>
    </row>
    <row r="36" spans="1:15">
      <c r="O36" s="477"/>
    </row>
    <row r="37" spans="1:15" ht="13.8" thickBot="1">
      <c r="A37" s="480" t="s">
        <v>465</v>
      </c>
      <c r="B37" s="483">
        <f t="shared" ref="B37:O37" si="6">+B24+B34</f>
        <v>2267644.560207766</v>
      </c>
      <c r="C37" s="483">
        <f t="shared" si="6"/>
        <v>2273503.5589662185</v>
      </c>
      <c r="D37" s="483">
        <f t="shared" si="6"/>
        <v>2066882.523781399</v>
      </c>
      <c r="E37" s="483">
        <f t="shared" si="6"/>
        <v>2026616.2943131214</v>
      </c>
      <c r="F37" s="483">
        <f t="shared" si="6"/>
        <v>2190550.4406494284</v>
      </c>
      <c r="G37" s="483">
        <f t="shared" si="6"/>
        <v>2396788.3364332705</v>
      </c>
      <c r="H37" s="483">
        <f t="shared" si="6"/>
        <v>2483483.11032457</v>
      </c>
      <c r="I37" s="483">
        <f t="shared" si="6"/>
        <v>2499192.1733664367</v>
      </c>
      <c r="J37" s="483">
        <f t="shared" si="6"/>
        <v>2469711.4529982996</v>
      </c>
      <c r="K37" s="483">
        <f t="shared" si="6"/>
        <v>2225837.2492703516</v>
      </c>
      <c r="L37" s="483">
        <f t="shared" si="6"/>
        <v>2142477.9253633698</v>
      </c>
      <c r="M37" s="483">
        <f t="shared" si="6"/>
        <v>2026388.9041006758</v>
      </c>
      <c r="N37" s="483">
        <f t="shared" si="6"/>
        <v>27069076.529774908</v>
      </c>
      <c r="O37" s="484">
        <f t="shared" si="6"/>
        <v>2255756.3774812426</v>
      </c>
    </row>
    <row r="38" spans="1:15" ht="14.4" thickTop="1" thickBot="1">
      <c r="O38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selection activeCell="A2" sqref="A1:A2"/>
    </sheetView>
  </sheetViews>
  <sheetFormatPr defaultColWidth="9" defaultRowHeight="13.2"/>
  <cols>
    <col min="1" max="1" width="35.21875" style="469" customWidth="1"/>
    <col min="2" max="2" width="10.77734375" style="469" bestFit="1" customWidth="1"/>
    <col min="3" max="13" width="9.33203125" style="469" bestFit="1" customWidth="1"/>
    <col min="14" max="14" width="10.109375" style="469" bestFit="1" customWidth="1"/>
    <col min="15" max="15" width="9.21875" style="469" bestFit="1" customWidth="1"/>
    <col min="16" max="16384" width="9" style="469"/>
  </cols>
  <sheetData>
    <row r="1" spans="1:15">
      <c r="A1" s="480" t="s">
        <v>478</v>
      </c>
    </row>
    <row r="2" spans="1:15">
      <c r="A2" s="480" t="s">
        <v>473</v>
      </c>
    </row>
    <row r="4" spans="1:15" ht="17.399999999999999">
      <c r="A4" s="490" t="s">
        <v>393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</row>
    <row r="5" spans="1:15" ht="15.6">
      <c r="A5" s="491" t="s">
        <v>429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</row>
    <row r="6" spans="1:15" ht="15.6">
      <c r="A6" s="470"/>
    </row>
    <row r="7" spans="1:15" ht="13.8" thickBot="1"/>
    <row r="8" spans="1:15" ht="13.8" thickBot="1">
      <c r="O8" s="471"/>
    </row>
    <row r="9" spans="1:15" ht="13.8" thickBot="1">
      <c r="A9" s="472"/>
      <c r="B9" s="473">
        <v>43831</v>
      </c>
      <c r="C9" s="473">
        <v>43862</v>
      </c>
      <c r="D9" s="473">
        <v>43891</v>
      </c>
      <c r="E9" s="473">
        <v>43922</v>
      </c>
      <c r="F9" s="473">
        <v>43952</v>
      </c>
      <c r="G9" s="473">
        <v>43983</v>
      </c>
      <c r="H9" s="473">
        <v>44013</v>
      </c>
      <c r="I9" s="473">
        <v>44044</v>
      </c>
      <c r="J9" s="473">
        <v>44075</v>
      </c>
      <c r="K9" s="473">
        <v>44105</v>
      </c>
      <c r="L9" s="473">
        <v>44136</v>
      </c>
      <c r="M9" s="473">
        <v>44166</v>
      </c>
      <c r="N9" s="474" t="s">
        <v>33</v>
      </c>
      <c r="O9" s="475" t="s">
        <v>394</v>
      </c>
    </row>
    <row r="10" spans="1:15">
      <c r="A10" s="476" t="s">
        <v>395</v>
      </c>
      <c r="O10" s="477"/>
    </row>
    <row r="11" spans="1:15">
      <c r="A11" s="469" t="s">
        <v>396</v>
      </c>
      <c r="B11" s="478">
        <v>0</v>
      </c>
      <c r="C11" s="478">
        <v>0</v>
      </c>
      <c r="D11" s="478">
        <v>0</v>
      </c>
      <c r="E11" s="478">
        <v>0</v>
      </c>
      <c r="F11" s="478">
        <v>0</v>
      </c>
      <c r="G11" s="478">
        <v>0</v>
      </c>
      <c r="H11" s="478">
        <v>0</v>
      </c>
      <c r="I11" s="478">
        <v>0</v>
      </c>
      <c r="J11" s="478">
        <v>0</v>
      </c>
      <c r="K11" s="478">
        <v>0</v>
      </c>
      <c r="L11" s="478">
        <v>0</v>
      </c>
      <c r="M11" s="478">
        <v>0</v>
      </c>
      <c r="N11" s="478">
        <f t="shared" ref="N11:N22" si="0">SUM(B11:M11)</f>
        <v>0</v>
      </c>
      <c r="O11" s="479">
        <f t="shared" ref="O11:O23" si="1">AVERAGE(B11:M11)</f>
        <v>0</v>
      </c>
    </row>
    <row r="12" spans="1:15">
      <c r="A12" s="469" t="s">
        <v>397</v>
      </c>
      <c r="B12" s="478">
        <v>0</v>
      </c>
      <c r="C12" s="478">
        <v>0</v>
      </c>
      <c r="D12" s="478">
        <v>0</v>
      </c>
      <c r="E12" s="478">
        <v>0</v>
      </c>
      <c r="F12" s="478">
        <v>0</v>
      </c>
      <c r="G12" s="478">
        <v>0</v>
      </c>
      <c r="H12" s="478">
        <v>0</v>
      </c>
      <c r="I12" s="478">
        <v>0</v>
      </c>
      <c r="J12" s="478">
        <v>0</v>
      </c>
      <c r="K12" s="478">
        <v>0</v>
      </c>
      <c r="L12" s="478">
        <v>0</v>
      </c>
      <c r="M12" s="478">
        <v>0</v>
      </c>
      <c r="N12" s="478">
        <f t="shared" si="0"/>
        <v>0</v>
      </c>
      <c r="O12" s="479">
        <f t="shared" si="1"/>
        <v>0</v>
      </c>
    </row>
    <row r="13" spans="1:15">
      <c r="A13" s="469" t="s">
        <v>398</v>
      </c>
      <c r="B13" s="478">
        <f>'LCEC Network'!B116/(1+'Transmission Formula Rate (7)'!$B$27)</f>
        <v>540227.56619851047</v>
      </c>
      <c r="C13" s="478">
        <f>'LCEC Network'!C116/(1+'Transmission Formula Rate (7)'!$B$27)</f>
        <v>733830.18400336499</v>
      </c>
      <c r="D13" s="478">
        <f>'LCEC Network'!D116/(1+'Transmission Formula Rate (7)'!$B$27)</f>
        <v>658767.40032939205</v>
      </c>
      <c r="E13" s="478">
        <f>'LCEC Network'!E116/(1+'Transmission Formula Rate (7)'!$B$27)</f>
        <v>607255.86039426725</v>
      </c>
      <c r="F13" s="478">
        <f>'LCEC Network'!F116/(1+'Transmission Formula Rate (7)'!$B$27)</f>
        <v>604218.50038452959</v>
      </c>
      <c r="G13" s="478">
        <f>'LCEC Network'!G116/(1+'Transmission Formula Rate (7)'!$B$27)</f>
        <v>697845.5770028613</v>
      </c>
      <c r="H13" s="478">
        <f>'LCEC Network'!H116/(1+'Transmission Formula Rate (7)'!$B$27)</f>
        <v>762554.39564408478</v>
      </c>
      <c r="I13" s="478">
        <f>'LCEC Network'!I116/(1+'Transmission Formula Rate (7)'!$B$27)</f>
        <v>748111.19915082201</v>
      </c>
      <c r="J13" s="478">
        <f>'LCEC Network'!J116/(1+'Transmission Formula Rate (7)'!$B$27)</f>
        <v>782476.18635033874</v>
      </c>
      <c r="K13" s="478">
        <f>'LCEC Network'!K116/(1+'Transmission Formula Rate (7)'!$B$27)</f>
        <v>671985.2057615727</v>
      </c>
      <c r="L13" s="478">
        <f>'LCEC Network'!L116/(1+'Transmission Formula Rate (7)'!$B$27)</f>
        <v>702932.22426702513</v>
      </c>
      <c r="M13" s="478">
        <f>'LCEC Network'!M116/(1+'Transmission Formula Rate (7)'!$B$27)</f>
        <v>575062.10814698134</v>
      </c>
      <c r="N13" s="478">
        <f t="shared" si="0"/>
        <v>8085266.4076337507</v>
      </c>
      <c r="O13" s="479">
        <f t="shared" si="1"/>
        <v>673772.20063614589</v>
      </c>
    </row>
    <row r="14" spans="1:15">
      <c r="A14" s="469" t="s">
        <v>399</v>
      </c>
      <c r="B14" s="478">
        <f>'FKEC Network'!B116/(1+'Transmission Formula Rate (7)'!$B$27)</f>
        <v>116263.50256718222</v>
      </c>
      <c r="C14" s="478">
        <f>'FKEC Network'!C116/(1+'Transmission Formula Rate (7)'!$B$27)</f>
        <v>113511.89288418992</v>
      </c>
      <c r="D14" s="478">
        <f>'FKEC Network'!D116/(1+'Transmission Formula Rate (7)'!$B$27)</f>
        <v>120780.72840287103</v>
      </c>
      <c r="E14" s="478">
        <f>'FKEC Network'!E116/(1+'Transmission Formula Rate (7)'!$B$27)</f>
        <v>114617.34686878163</v>
      </c>
      <c r="F14" s="478">
        <f>'FKEC Network'!F116/(1+'Transmission Formula Rate (7)'!$B$27)</f>
        <v>136114.13659462405</v>
      </c>
      <c r="G14" s="478">
        <f>'FKEC Network'!G116/(1+'Transmission Formula Rate (7)'!$B$27)</f>
        <v>144687.93726361162</v>
      </c>
      <c r="H14" s="478">
        <f>'FKEC Network'!H116/(1+'Transmission Formula Rate (7)'!$B$27)</f>
        <v>148906.34348500703</v>
      </c>
      <c r="I14" s="478">
        <f>'FKEC Network'!I116/(1+'Transmission Formula Rate (7)'!$B$27)</f>
        <v>161303.65369057612</v>
      </c>
      <c r="J14" s="478">
        <f>'FKEC Network'!J116/(1+'Transmission Formula Rate (7)'!$B$27)</f>
        <v>157349.80070317036</v>
      </c>
      <c r="K14" s="478">
        <f>'FKEC Network'!K116/(1+'Transmission Formula Rate (7)'!$B$27)</f>
        <v>145161.79367734105</v>
      </c>
      <c r="L14" s="478">
        <f>'FKEC Network'!L116/(1+'Transmission Formula Rate (7)'!$B$27)</f>
        <v>138786.45958589026</v>
      </c>
      <c r="M14" s="478">
        <f>'FKEC Network'!M116/(1+'Transmission Formula Rate (7)'!$B$27)</f>
        <v>123128.01211531514</v>
      </c>
      <c r="N14" s="478">
        <f t="shared" si="0"/>
        <v>1620611.6078385601</v>
      </c>
      <c r="O14" s="479">
        <f t="shared" si="1"/>
        <v>135050.96731988</v>
      </c>
    </row>
    <row r="15" spans="1:15">
      <c r="A15" s="469" t="s">
        <v>400</v>
      </c>
      <c r="B15" s="478">
        <v>0</v>
      </c>
      <c r="C15" s="478">
        <v>0</v>
      </c>
      <c r="D15" s="478">
        <v>0</v>
      </c>
      <c r="E15" s="478">
        <v>0</v>
      </c>
      <c r="F15" s="478">
        <v>0</v>
      </c>
      <c r="G15" s="478">
        <v>0</v>
      </c>
      <c r="H15" s="478">
        <v>0</v>
      </c>
      <c r="I15" s="478">
        <v>0</v>
      </c>
      <c r="J15" s="478">
        <v>0</v>
      </c>
      <c r="K15" s="478">
        <v>0</v>
      </c>
      <c r="L15" s="478">
        <v>0</v>
      </c>
      <c r="M15" s="478">
        <v>0</v>
      </c>
      <c r="N15" s="478">
        <f t="shared" si="0"/>
        <v>0</v>
      </c>
      <c r="O15" s="479">
        <f t="shared" si="1"/>
        <v>0</v>
      </c>
    </row>
    <row r="16" spans="1:15">
      <c r="A16" s="469" t="s">
        <v>401</v>
      </c>
      <c r="B16" s="478">
        <f>'Vero Beach Network'!B161</f>
        <v>183000</v>
      </c>
      <c r="C16" s="478">
        <f>'Vero Beach Network'!C161</f>
        <v>160000</v>
      </c>
      <c r="D16" s="478">
        <f>'Vero Beach Network'!D161</f>
        <v>128000</v>
      </c>
      <c r="E16" s="478">
        <f>'Vero Beach Network'!E161</f>
        <v>131000</v>
      </c>
      <c r="F16" s="478">
        <f>'Vero Beach Network'!F161</f>
        <v>145000</v>
      </c>
      <c r="G16" s="478">
        <f>'Vero Beach Network'!G161</f>
        <v>160000</v>
      </c>
      <c r="H16" s="478">
        <f>'Vero Beach Network'!H161</f>
        <v>158000</v>
      </c>
      <c r="I16" s="478">
        <f>'Vero Beach Network'!I161</f>
        <v>169000</v>
      </c>
      <c r="J16" s="478">
        <f>'Vero Beach Network'!J161</f>
        <v>160000</v>
      </c>
      <c r="K16" s="478">
        <f>'Vero Beach Network'!K161</f>
        <v>151000</v>
      </c>
      <c r="L16" s="478">
        <f>'Vero Beach Network'!L161</f>
        <v>129000</v>
      </c>
      <c r="M16" s="478">
        <f>'Vero Beach Network'!M161</f>
        <v>145000</v>
      </c>
      <c r="N16" s="478">
        <f t="shared" si="0"/>
        <v>1819000</v>
      </c>
      <c r="O16" s="479">
        <f t="shared" si="1"/>
        <v>151583.33333333334</v>
      </c>
    </row>
    <row r="17" spans="1:15">
      <c r="A17" s="469" t="s">
        <v>292</v>
      </c>
      <c r="B17" s="478">
        <f>'FMPA Network'!B162</f>
        <v>432700</v>
      </c>
      <c r="C17" s="478">
        <f>'FMPA Network'!C162</f>
        <v>402700</v>
      </c>
      <c r="D17" s="478">
        <f>'FMPA Network'!D162</f>
        <v>352200</v>
      </c>
      <c r="E17" s="478">
        <f>'FMPA Network'!E162</f>
        <v>378500</v>
      </c>
      <c r="F17" s="478">
        <f>'FMPA Network'!F162</f>
        <v>427000</v>
      </c>
      <c r="G17" s="478">
        <f>'FMPA Network'!G162</f>
        <v>464400</v>
      </c>
      <c r="H17" s="478">
        <f>'FMPA Network'!H162</f>
        <v>480500</v>
      </c>
      <c r="I17" s="478">
        <f>'FMPA Network'!I162</f>
        <v>488700</v>
      </c>
      <c r="J17" s="478">
        <f>'FMPA Network'!J162</f>
        <v>445900</v>
      </c>
      <c r="K17" s="478">
        <f>'FMPA Network'!K162</f>
        <v>412000</v>
      </c>
      <c r="L17" s="478">
        <f>'FMPA Network'!L162</f>
        <v>368800</v>
      </c>
      <c r="M17" s="478">
        <f>'FMPA Network'!M162</f>
        <v>354000</v>
      </c>
      <c r="N17" s="478">
        <f t="shared" si="0"/>
        <v>5007400</v>
      </c>
      <c r="O17" s="479">
        <f t="shared" si="1"/>
        <v>417283.33333333331</v>
      </c>
    </row>
    <row r="18" spans="1:15">
      <c r="A18" s="469" t="s">
        <v>402</v>
      </c>
      <c r="B18" s="478">
        <f>'SECI Network'!B161</f>
        <v>559340</v>
      </c>
      <c r="C18" s="478">
        <f>'SECI Network'!C161</f>
        <v>460654</v>
      </c>
      <c r="D18" s="478">
        <f>'SECI Network'!D161</f>
        <v>409494</v>
      </c>
      <c r="E18" s="478">
        <f>'SECI Network'!E161</f>
        <v>388301</v>
      </c>
      <c r="F18" s="478">
        <f>'SECI Network'!F161</f>
        <v>437996</v>
      </c>
      <c r="G18" s="478">
        <f>'SECI Network'!G161</f>
        <v>472662</v>
      </c>
      <c r="H18" s="478">
        <f>'SECI Network'!H161</f>
        <v>468941</v>
      </c>
      <c r="I18" s="478">
        <f>'SECI Network'!I161</f>
        <v>467395</v>
      </c>
      <c r="J18" s="478">
        <f>'SECI Network'!J161</f>
        <v>474218</v>
      </c>
      <c r="K18" s="478">
        <f>'SECI Network'!K161</f>
        <v>412527</v>
      </c>
      <c r="L18" s="478">
        <f>'SECI Network'!L161</f>
        <v>397489</v>
      </c>
      <c r="M18" s="478">
        <f>'SECI Network'!M161</f>
        <v>430098</v>
      </c>
      <c r="N18" s="478">
        <f t="shared" si="0"/>
        <v>5379115</v>
      </c>
      <c r="O18" s="479">
        <f t="shared" si="1"/>
        <v>448259.58333333331</v>
      </c>
    </row>
    <row r="19" spans="1:15">
      <c r="A19" s="469" t="s">
        <v>44</v>
      </c>
      <c r="B19" s="478">
        <f>'Georgia Trans Network'!B146</f>
        <v>28869</v>
      </c>
      <c r="C19" s="478">
        <f>'Georgia Trans Network'!C146</f>
        <v>0</v>
      </c>
      <c r="D19" s="478">
        <f>'Georgia Trans Network'!D146</f>
        <v>0</v>
      </c>
      <c r="E19" s="478">
        <f>'Georgia Trans Network'!E146</f>
        <v>0</v>
      </c>
      <c r="F19" s="478">
        <f>'Georgia Trans Network'!F146</f>
        <v>0</v>
      </c>
      <c r="G19" s="478">
        <f>'Georgia Trans Network'!G146</f>
        <v>0</v>
      </c>
      <c r="H19" s="478">
        <f>'Georgia Trans Network'!H146</f>
        <v>0</v>
      </c>
      <c r="I19" s="478">
        <f>'Georgia Trans Network'!I146</f>
        <v>0</v>
      </c>
      <c r="J19" s="478">
        <f>'Georgia Trans Network'!J146</f>
        <v>0</v>
      </c>
      <c r="K19" s="478">
        <f>'Georgia Trans Network'!K146</f>
        <v>0</v>
      </c>
      <c r="L19" s="478">
        <f>'Georgia Trans Network'!L146</f>
        <v>0</v>
      </c>
      <c r="M19" s="478">
        <f>'Georgia Trans Network'!M146</f>
        <v>0</v>
      </c>
      <c r="N19" s="478">
        <f t="shared" si="0"/>
        <v>28869</v>
      </c>
      <c r="O19" s="479">
        <f t="shared" si="1"/>
        <v>2405.75</v>
      </c>
    </row>
    <row r="20" spans="1:15">
      <c r="A20" s="469" t="s">
        <v>403</v>
      </c>
      <c r="B20" s="478">
        <f>'Lake Worth Forecast'!E16</f>
        <v>70666.274853986106</v>
      </c>
      <c r="C20" s="478">
        <f>'Lake Worth Forecast'!F16</f>
        <v>69050.703794665504</v>
      </c>
      <c r="D20" s="478">
        <f>'Lake Worth Forecast'!G16</f>
        <v>72002.611409226607</v>
      </c>
      <c r="E20" s="478">
        <f>'Lake Worth Forecast'!H16</f>
        <v>75183.890223567782</v>
      </c>
      <c r="F20" s="478">
        <f>'Lake Worth Forecast'!I16</f>
        <v>83780.323884890968</v>
      </c>
      <c r="G20" s="478">
        <f>'Lake Worth Forecast'!J16</f>
        <v>87839.196854912458</v>
      </c>
      <c r="H20" s="478">
        <f>'Lake Worth Forecast'!K16</f>
        <v>91209.956225593705</v>
      </c>
      <c r="I20" s="478">
        <f>'Lake Worth Forecast'!L16</f>
        <v>91708.589268593889</v>
      </c>
      <c r="J20" s="478">
        <f>'Lake Worth Forecast'!M16</f>
        <v>88597.119080272736</v>
      </c>
      <c r="K20" s="478">
        <f>'Lake Worth Forecast'!N16</f>
        <v>83311.608824470793</v>
      </c>
      <c r="L20" s="478">
        <f>'Lake Worth Forecast'!O16</f>
        <v>74555.612589387543</v>
      </c>
      <c r="M20" s="478">
        <f>'Lake Worth Forecast'!P16</f>
        <v>70885.673392906188</v>
      </c>
      <c r="N20" s="478">
        <f t="shared" si="0"/>
        <v>958791.56040247437</v>
      </c>
      <c r="O20" s="479">
        <f t="shared" si="1"/>
        <v>79899.296700206192</v>
      </c>
    </row>
    <row r="21" spans="1:15">
      <c r="A21" s="469" t="s">
        <v>116</v>
      </c>
      <c r="B21" s="478">
        <f>'Homestead Network Transmission'!B146/(1+'Transmission Formula Rate (7)'!$B$27)</f>
        <v>26509.572901325479</v>
      </c>
      <c r="C21" s="478">
        <f>'Homestead Network Transmission'!C146/(1+'Transmission Formula Rate (7)'!$B$27)</f>
        <v>46735.395189003444</v>
      </c>
      <c r="D21" s="478">
        <f>'Homestead Network Transmission'!D146/(1+'Transmission Formula Rate (7)'!$B$27)</f>
        <v>29209.621993127148</v>
      </c>
      <c r="E21" s="478">
        <f>'Homestead Network Transmission'!E146/(1+'Transmission Formula Rate (7)'!$B$27)</f>
        <v>43642.611683848801</v>
      </c>
      <c r="F21" s="478">
        <f>'Homestead Network Transmission'!F146/(1+'Transmission Formula Rate (7)'!$B$27)</f>
        <v>52920.962199312722</v>
      </c>
      <c r="G21" s="478">
        <f>'Homestead Network Transmission'!G146/(1+'Transmission Formula Rate (7)'!$B$27)</f>
        <v>61168.38487972509</v>
      </c>
      <c r="H21" s="478">
        <f>'Homestead Network Transmission'!H146/(1+'Transmission Formula Rate (7)'!$B$27)</f>
        <v>66323.024054982816</v>
      </c>
      <c r="I21" s="478">
        <f>'Homestead Network Transmission'!I146/(1+'Transmission Formula Rate (7)'!$B$27)</f>
        <v>26509.572901325479</v>
      </c>
      <c r="J21" s="478">
        <f>'Homestead Network Transmission'!J146/(1+'Transmission Formula Rate (7)'!$B$27)</f>
        <v>62199.312714776643</v>
      </c>
      <c r="K21" s="478">
        <f>'Homestead Network Transmission'!K146/(1+'Transmission Formula Rate (7)'!$B$27)</f>
        <v>48797.250859106534</v>
      </c>
      <c r="L21" s="478">
        <f>'Homestead Network Transmission'!L146/(1+'Transmission Formula Rate (7)'!$B$27)</f>
        <v>39518.900343642614</v>
      </c>
      <c r="M21" s="478">
        <f>'Homestead Network Transmission'!M146/(1+'Transmission Formula Rate (7)'!$B$27)</f>
        <v>38487.972508591069</v>
      </c>
      <c r="N21" s="478">
        <f>'Homestead Network Transmission'!N146/(1+'Transmission Formula Rate (7)'!$B$27)</f>
        <v>542022.5822287678</v>
      </c>
      <c r="O21" s="479">
        <f t="shared" si="1"/>
        <v>45168.548519063996</v>
      </c>
    </row>
    <row r="22" spans="1:15">
      <c r="A22" s="469" t="s">
        <v>408</v>
      </c>
      <c r="B22" s="478">
        <v>0</v>
      </c>
      <c r="C22" s="478">
        <v>0</v>
      </c>
      <c r="D22" s="478">
        <v>0</v>
      </c>
      <c r="E22" s="478">
        <v>0</v>
      </c>
      <c r="F22" s="478">
        <v>0</v>
      </c>
      <c r="G22" s="478">
        <v>0</v>
      </c>
      <c r="H22" s="478">
        <v>0</v>
      </c>
      <c r="I22" s="478">
        <v>0</v>
      </c>
      <c r="J22" s="478">
        <v>0</v>
      </c>
      <c r="K22" s="478">
        <v>0</v>
      </c>
      <c r="L22" s="478">
        <v>0</v>
      </c>
      <c r="M22" s="478">
        <v>0</v>
      </c>
      <c r="N22" s="478">
        <f t="shared" si="0"/>
        <v>0</v>
      </c>
      <c r="O22" s="479">
        <f t="shared" si="1"/>
        <v>0</v>
      </c>
    </row>
    <row r="23" spans="1:15">
      <c r="A23" s="469" t="s">
        <v>450</v>
      </c>
      <c r="B23" s="478">
        <f>'Quincy Transmission'!B105/(1+'Transmission Formula Rate (7)'!$B$27)</f>
        <v>18654.88463426608</v>
      </c>
      <c r="C23" s="478">
        <f>'Quincy Transmission'!C105/(1+'Transmission Formula Rate (7)'!$B$27)</f>
        <v>23342.474226804126</v>
      </c>
      <c r="D23" s="478">
        <f>'Quincy Transmission'!D105/(1+'Transmission Formula Rate (7)'!$B$27)</f>
        <v>21369.366715758471</v>
      </c>
      <c r="E23" s="478">
        <f>'Quincy Transmission'!E105/(1+'Transmission Formula Rate (7)'!$B$27)</f>
        <v>19162.444771723123</v>
      </c>
      <c r="F23" s="478">
        <f>'Quincy Transmission'!F105/(1+'Transmission Formula Rate (7)'!$B$27)</f>
        <v>22637.054491899853</v>
      </c>
      <c r="G23" s="478">
        <f>'Quincy Transmission'!G105/(1+'Transmission Formula Rate (7)'!$B$27)</f>
        <v>27179.73490427099</v>
      </c>
      <c r="H23" s="478">
        <f>'Quincy Transmission'!H105/(1+'Transmission Formula Rate (7)'!$B$27)</f>
        <v>26867.982326951402</v>
      </c>
      <c r="I23" s="478">
        <f>'Quincy Transmission'!I105/(1+'Transmission Formula Rate (7)'!$B$27)</f>
        <v>18654.88463426608</v>
      </c>
      <c r="J23" s="478">
        <f>'Quincy Transmission'!J105/(1+'Transmission Formula Rate (7)'!$B$27)</f>
        <v>24822.503681885126</v>
      </c>
      <c r="K23" s="478">
        <f>'Quincy Transmission'!K105/(1+'Transmission Formula Rate (7)'!$B$27)</f>
        <v>21870.397643593522</v>
      </c>
      <c r="L23" s="478">
        <f>'Quincy Transmission'!L105/(1+'Transmission Formula Rate (7)'!$B$27)</f>
        <v>25166.863033873346</v>
      </c>
      <c r="M23" s="478">
        <f>'Quincy Transmission'!M105/(1+'Transmission Formula Rate (7)'!$B$27)</f>
        <v>22615.581737849781</v>
      </c>
      <c r="N23" s="478">
        <f>'Quincy Transmission'!N105/(1+'Transmission Formula Rate (7)'!$B$27)</f>
        <v>272344.17280314193</v>
      </c>
      <c r="O23" s="479">
        <f t="shared" si="1"/>
        <v>22695.347733595161</v>
      </c>
    </row>
    <row r="24" spans="1:15">
      <c r="A24" s="480" t="s">
        <v>404</v>
      </c>
      <c r="B24" s="481">
        <f>SUM(B11:B23)</f>
        <v>1976230.8011552703</v>
      </c>
      <c r="C24" s="481">
        <f t="shared" ref="C24:N24" si="2">SUM(C11:C23)</f>
        <v>2009824.6500980281</v>
      </c>
      <c r="D24" s="481">
        <f t="shared" si="2"/>
        <v>1791823.7288503754</v>
      </c>
      <c r="E24" s="481">
        <f t="shared" si="2"/>
        <v>1757663.1539421885</v>
      </c>
      <c r="F24" s="481">
        <f t="shared" si="2"/>
        <v>1909666.977555257</v>
      </c>
      <c r="G24" s="481">
        <f t="shared" si="2"/>
        <v>2115782.8309053811</v>
      </c>
      <c r="H24" s="481">
        <f t="shared" si="2"/>
        <v>2203302.7017366197</v>
      </c>
      <c r="I24" s="481">
        <f t="shared" si="2"/>
        <v>2171382.8996455837</v>
      </c>
      <c r="J24" s="481">
        <f t="shared" si="2"/>
        <v>2195562.9225304434</v>
      </c>
      <c r="K24" s="481">
        <f t="shared" si="2"/>
        <v>1946653.2567660846</v>
      </c>
      <c r="L24" s="481">
        <f t="shared" si="2"/>
        <v>1876249.0598198187</v>
      </c>
      <c r="M24" s="481">
        <f t="shared" si="2"/>
        <v>1759277.3479016435</v>
      </c>
      <c r="N24" s="481">
        <f t="shared" si="2"/>
        <v>23713420.330906697</v>
      </c>
      <c r="O24" s="481">
        <f>SUM(O11:O23)</f>
        <v>1976118.3609088911</v>
      </c>
    </row>
    <row r="25" spans="1:15">
      <c r="O25" s="477"/>
    </row>
    <row r="26" spans="1:15">
      <c r="A26" s="476" t="s">
        <v>405</v>
      </c>
      <c r="O26" s="477"/>
    </row>
    <row r="27" spans="1:15">
      <c r="A27" s="469" t="s">
        <v>23</v>
      </c>
      <c r="B27" s="478">
        <f>'TSAS Demand Revenues (7)'!B397</f>
        <v>37056</v>
      </c>
      <c r="C27" s="478">
        <f>'TSAS Demand Revenues (7)'!C397</f>
        <v>37056</v>
      </c>
      <c r="D27" s="478">
        <f>'TSAS Demand Revenues (7)'!D397</f>
        <v>37056</v>
      </c>
      <c r="E27" s="478">
        <f>'TSAS Demand Revenues (7)'!E397</f>
        <v>37056</v>
      </c>
      <c r="F27" s="478">
        <f>'TSAS Demand Revenues (7)'!F397</f>
        <v>37056</v>
      </c>
      <c r="G27" s="478">
        <f>'TSAS Demand Revenues (7)'!G397</f>
        <v>37056</v>
      </c>
      <c r="H27" s="478">
        <f>'TSAS Demand Revenues (7)'!H397</f>
        <v>37056</v>
      </c>
      <c r="I27" s="478">
        <f>'TSAS Demand Revenues (7)'!I397</f>
        <v>37056</v>
      </c>
      <c r="J27" s="478">
        <f>'TSAS Demand Revenues (7)'!J397</f>
        <v>37056</v>
      </c>
      <c r="K27" s="478">
        <f>'TSAS Demand Revenues (7)'!K397</f>
        <v>37056</v>
      </c>
      <c r="L27" s="478">
        <f>'TSAS Demand Revenues (7)'!L397</f>
        <v>37056</v>
      </c>
      <c r="M27" s="478">
        <f>'TSAS Demand Revenues (7)'!M397</f>
        <v>37056</v>
      </c>
      <c r="N27" s="478">
        <f>SUM(B27:M27)</f>
        <v>444672</v>
      </c>
      <c r="O27" s="479">
        <f t="shared" ref="O27:O33" si="3">AVERAGE(B27:M27)</f>
        <v>37056</v>
      </c>
    </row>
    <row r="28" spans="1:15">
      <c r="A28" s="469" t="s">
        <v>24</v>
      </c>
      <c r="B28" s="478">
        <f>'TSAS Demand Revenues (7)'!B402</f>
        <v>62000</v>
      </c>
      <c r="C28" s="478">
        <f>'TSAS Demand Revenues (7)'!C402</f>
        <v>62000</v>
      </c>
      <c r="D28" s="478">
        <f>'TSAS Demand Revenues (7)'!D402</f>
        <v>62000</v>
      </c>
      <c r="E28" s="478">
        <f>'TSAS Demand Revenues (7)'!E402</f>
        <v>62000</v>
      </c>
      <c r="F28" s="478">
        <f>'TSAS Demand Revenues (7)'!F402</f>
        <v>62000</v>
      </c>
      <c r="G28" s="478">
        <f>'TSAS Demand Revenues (7)'!G402</f>
        <v>62000</v>
      </c>
      <c r="H28" s="478">
        <f>'TSAS Demand Revenues (7)'!H402</f>
        <v>62000</v>
      </c>
      <c r="I28" s="478">
        <f>'TSAS Demand Revenues (7)'!I402</f>
        <v>62000</v>
      </c>
      <c r="J28" s="478">
        <f>'TSAS Demand Revenues (7)'!J402</f>
        <v>62000</v>
      </c>
      <c r="K28" s="478">
        <f>'TSAS Demand Revenues (7)'!K402</f>
        <v>62000</v>
      </c>
      <c r="L28" s="478">
        <f>'TSAS Demand Revenues (7)'!L402</f>
        <v>62000</v>
      </c>
      <c r="M28" s="478">
        <f>'TSAS Demand Revenues (7)'!M402</f>
        <v>62000</v>
      </c>
      <c r="N28" s="478">
        <f t="shared" ref="N28:N33" si="4">SUM(B28:M28)</f>
        <v>744000</v>
      </c>
      <c r="O28" s="479">
        <f t="shared" si="3"/>
        <v>62000</v>
      </c>
    </row>
    <row r="29" spans="1:15">
      <c r="A29" s="469" t="s">
        <v>116</v>
      </c>
      <c r="B29" s="478">
        <f>'TSAS Demand Revenues (7)'!B407</f>
        <v>40000</v>
      </c>
      <c r="C29" s="478">
        <f>'TSAS Demand Revenues (7)'!C407</f>
        <v>0</v>
      </c>
      <c r="D29" s="478">
        <f>'TSAS Demand Revenues (7)'!D407</f>
        <v>0</v>
      </c>
      <c r="E29" s="478">
        <f>'TSAS Demand Revenues (7)'!E407</f>
        <v>0</v>
      </c>
      <c r="F29" s="478">
        <f>'TSAS Demand Revenues (7)'!F407</f>
        <v>0</v>
      </c>
      <c r="G29" s="478">
        <f>'TSAS Demand Revenues (7)'!G407</f>
        <v>0</v>
      </c>
      <c r="H29" s="478">
        <f>'TSAS Demand Revenues (7)'!H407</f>
        <v>0</v>
      </c>
      <c r="I29" s="478">
        <f>'TSAS Demand Revenues (7)'!I407</f>
        <v>0</v>
      </c>
      <c r="J29" s="478">
        <f>'TSAS Demand Revenues (7)'!J407</f>
        <v>0</v>
      </c>
      <c r="K29" s="478">
        <f>'TSAS Demand Revenues (7)'!K407</f>
        <v>0</v>
      </c>
      <c r="L29" s="478">
        <f>'TSAS Demand Revenues (7)'!L407</f>
        <v>0</v>
      </c>
      <c r="M29" s="478">
        <f>'TSAS Demand Revenues (7)'!M407</f>
        <v>0</v>
      </c>
      <c r="N29" s="478">
        <f t="shared" si="4"/>
        <v>40000</v>
      </c>
      <c r="O29" s="479">
        <f t="shared" si="3"/>
        <v>3333.3333333333335</v>
      </c>
    </row>
    <row r="30" spans="1:15">
      <c r="A30" s="469" t="s">
        <v>237</v>
      </c>
      <c r="B30" s="478">
        <f>'TSAS Demand Revenues (7)'!B412</f>
        <v>3000</v>
      </c>
      <c r="C30" s="478">
        <f>'TSAS Demand Revenues (7)'!C412</f>
        <v>3000</v>
      </c>
      <c r="D30" s="478">
        <f>'TSAS Demand Revenues (7)'!D412</f>
        <v>3000</v>
      </c>
      <c r="E30" s="478">
        <f>'TSAS Demand Revenues (7)'!E412</f>
        <v>3000</v>
      </c>
      <c r="F30" s="478">
        <f>'TSAS Demand Revenues (7)'!F412</f>
        <v>3000</v>
      </c>
      <c r="G30" s="478">
        <f>'TSAS Demand Revenues (7)'!G412</f>
        <v>3000</v>
      </c>
      <c r="H30" s="478">
        <f>'TSAS Demand Revenues (7)'!H412</f>
        <v>3000</v>
      </c>
      <c r="I30" s="478">
        <f>'TSAS Demand Revenues (7)'!I412</f>
        <v>3000</v>
      </c>
      <c r="J30" s="478">
        <f>'TSAS Demand Revenues (7)'!J412</f>
        <v>3000</v>
      </c>
      <c r="K30" s="478">
        <f>'TSAS Demand Revenues (7)'!K412</f>
        <v>3000</v>
      </c>
      <c r="L30" s="478">
        <f>'TSAS Demand Revenues (7)'!L412</f>
        <v>3000</v>
      </c>
      <c r="M30" s="478">
        <f>'TSAS Demand Revenues (7)'!M412</f>
        <v>3000</v>
      </c>
      <c r="N30" s="478">
        <f t="shared" si="4"/>
        <v>36000</v>
      </c>
      <c r="O30" s="479">
        <f t="shared" si="3"/>
        <v>3000</v>
      </c>
    </row>
    <row r="31" spans="1:15">
      <c r="A31" s="469" t="s">
        <v>117</v>
      </c>
      <c r="B31" s="478">
        <f>'TSAS Demand Revenues (7)'!B427</f>
        <v>100000</v>
      </c>
      <c r="C31" s="478">
        <f>'TSAS Demand Revenues (7)'!C427</f>
        <v>100000</v>
      </c>
      <c r="D31" s="478">
        <f>'TSAS Demand Revenues (7)'!D427</f>
        <v>100000</v>
      </c>
      <c r="E31" s="478">
        <f>'TSAS Demand Revenues (7)'!E427</f>
        <v>100000</v>
      </c>
      <c r="F31" s="478">
        <f>'TSAS Demand Revenues (7)'!F427</f>
        <v>100000</v>
      </c>
      <c r="G31" s="478">
        <f>'TSAS Demand Revenues (7)'!G427</f>
        <v>100000</v>
      </c>
      <c r="H31" s="478">
        <f>'TSAS Demand Revenues (7)'!H427</f>
        <v>100000</v>
      </c>
      <c r="I31" s="478">
        <f>'TSAS Demand Revenues (7)'!I427</f>
        <v>100000</v>
      </c>
      <c r="J31" s="478">
        <f>'TSAS Demand Revenues (7)'!J427</f>
        <v>100000</v>
      </c>
      <c r="K31" s="478">
        <f>'TSAS Demand Revenues (7)'!K427</f>
        <v>100000</v>
      </c>
      <c r="L31" s="478">
        <f>'TSAS Demand Revenues (7)'!L427</f>
        <v>100000</v>
      </c>
      <c r="M31" s="478">
        <f>'TSAS Demand Revenues (7)'!M427</f>
        <v>100000</v>
      </c>
      <c r="N31" s="478">
        <f t="shared" si="4"/>
        <v>1200000</v>
      </c>
      <c r="O31" s="479">
        <f t="shared" si="3"/>
        <v>100000</v>
      </c>
    </row>
    <row r="32" spans="1:15">
      <c r="A32" s="469" t="s">
        <v>410</v>
      </c>
      <c r="B32" s="478">
        <v>0</v>
      </c>
      <c r="C32" s="478">
        <v>0</v>
      </c>
      <c r="D32" s="478">
        <v>0</v>
      </c>
      <c r="E32" s="478">
        <v>0</v>
      </c>
      <c r="F32" s="478">
        <v>0</v>
      </c>
      <c r="G32" s="478">
        <v>0</v>
      </c>
      <c r="H32" s="478">
        <v>0</v>
      </c>
      <c r="I32" s="478">
        <v>0</v>
      </c>
      <c r="J32" s="478">
        <v>0</v>
      </c>
      <c r="K32" s="478">
        <v>0</v>
      </c>
      <c r="L32" s="478">
        <v>0</v>
      </c>
      <c r="M32" s="478">
        <v>0</v>
      </c>
      <c r="N32" s="478">
        <f t="shared" si="4"/>
        <v>0</v>
      </c>
      <c r="O32" s="479">
        <f t="shared" si="3"/>
        <v>0</v>
      </c>
    </row>
    <row r="33" spans="1:15">
      <c r="A33" s="469" t="s">
        <v>406</v>
      </c>
      <c r="B33" s="478">
        <f>'TSAS Demand Revenues (7)'!B382</f>
        <v>5000</v>
      </c>
      <c r="C33" s="478">
        <f>'TSAS Demand Revenues (7)'!C382</f>
        <v>5000</v>
      </c>
      <c r="D33" s="478">
        <f>'TSAS Demand Revenues (7)'!D382</f>
        <v>5000</v>
      </c>
      <c r="E33" s="478">
        <f>'TSAS Demand Revenues (7)'!E382</f>
        <v>5000</v>
      </c>
      <c r="F33" s="478">
        <f>'TSAS Demand Revenues (7)'!F382</f>
        <v>5000</v>
      </c>
      <c r="G33" s="478">
        <f>'TSAS Demand Revenues (7)'!G382</f>
        <v>5000</v>
      </c>
      <c r="H33" s="478">
        <f>'TSAS Demand Revenues (7)'!H382</f>
        <v>5000</v>
      </c>
      <c r="I33" s="478">
        <f>'TSAS Demand Revenues (7)'!I382</f>
        <v>5000</v>
      </c>
      <c r="J33" s="478">
        <f>'TSAS Demand Revenues (7)'!J382</f>
        <v>5000</v>
      </c>
      <c r="K33" s="478">
        <f>'TSAS Demand Revenues (7)'!K382</f>
        <v>5000</v>
      </c>
      <c r="L33" s="478">
        <f>'TSAS Demand Revenues (7)'!L382</f>
        <v>5000</v>
      </c>
      <c r="M33" s="478">
        <f>'TSAS Demand Revenues (7)'!M382</f>
        <v>5000</v>
      </c>
      <c r="N33" s="478">
        <f t="shared" si="4"/>
        <v>60000</v>
      </c>
      <c r="O33" s="479">
        <f t="shared" si="3"/>
        <v>5000</v>
      </c>
    </row>
    <row r="34" spans="1:15">
      <c r="A34" s="480" t="s">
        <v>407</v>
      </c>
      <c r="B34" s="481">
        <f t="shared" ref="B34:O34" si="5">SUM(B27:B33)</f>
        <v>247056</v>
      </c>
      <c r="C34" s="481">
        <f t="shared" si="5"/>
        <v>207056</v>
      </c>
      <c r="D34" s="481">
        <f t="shared" si="5"/>
        <v>207056</v>
      </c>
      <c r="E34" s="481">
        <f t="shared" si="5"/>
        <v>207056</v>
      </c>
      <c r="F34" s="481">
        <f t="shared" si="5"/>
        <v>207056</v>
      </c>
      <c r="G34" s="481">
        <f t="shared" si="5"/>
        <v>207056</v>
      </c>
      <c r="H34" s="481">
        <f t="shared" si="5"/>
        <v>207056</v>
      </c>
      <c r="I34" s="481">
        <f t="shared" si="5"/>
        <v>207056</v>
      </c>
      <c r="J34" s="481">
        <f t="shared" si="5"/>
        <v>207056</v>
      </c>
      <c r="K34" s="481">
        <f t="shared" si="5"/>
        <v>207056</v>
      </c>
      <c r="L34" s="481">
        <f t="shared" si="5"/>
        <v>207056</v>
      </c>
      <c r="M34" s="481">
        <f t="shared" si="5"/>
        <v>207056</v>
      </c>
      <c r="N34" s="481">
        <f t="shared" si="5"/>
        <v>2524672</v>
      </c>
      <c r="O34" s="482">
        <f t="shared" si="5"/>
        <v>210389.33333333331</v>
      </c>
    </row>
    <row r="35" spans="1:15">
      <c r="O35" s="477"/>
    </row>
    <row r="36" spans="1:15">
      <c r="O36" s="477"/>
    </row>
    <row r="37" spans="1:15" ht="13.8" thickBot="1">
      <c r="A37" s="480" t="s">
        <v>464</v>
      </c>
      <c r="B37" s="483">
        <f t="shared" ref="B37:O37" si="6">+B24+B34</f>
        <v>2223286.8011552701</v>
      </c>
      <c r="C37" s="483">
        <f t="shared" si="6"/>
        <v>2216880.6500980281</v>
      </c>
      <c r="D37" s="483">
        <f t="shared" si="6"/>
        <v>1998879.7288503754</v>
      </c>
      <c r="E37" s="483">
        <f t="shared" si="6"/>
        <v>1964719.1539421885</v>
      </c>
      <c r="F37" s="483">
        <f t="shared" si="6"/>
        <v>2116722.9775552573</v>
      </c>
      <c r="G37" s="483">
        <f t="shared" si="6"/>
        <v>2322838.8309053811</v>
      </c>
      <c r="H37" s="483">
        <f t="shared" si="6"/>
        <v>2410358.7017366197</v>
      </c>
      <c r="I37" s="483">
        <f t="shared" si="6"/>
        <v>2378438.8996455837</v>
      </c>
      <c r="J37" s="483">
        <f t="shared" si="6"/>
        <v>2402618.9225304434</v>
      </c>
      <c r="K37" s="483">
        <f t="shared" si="6"/>
        <v>2153709.2567660846</v>
      </c>
      <c r="L37" s="483">
        <f t="shared" si="6"/>
        <v>2083305.0598198187</v>
      </c>
      <c r="M37" s="483">
        <f t="shared" si="6"/>
        <v>1966333.3479016435</v>
      </c>
      <c r="N37" s="483">
        <f t="shared" si="6"/>
        <v>26238092.330906697</v>
      </c>
      <c r="O37" s="484">
        <f t="shared" si="6"/>
        <v>2186507.6942422246</v>
      </c>
    </row>
    <row r="38" spans="1:15" ht="14.4" thickTop="1" thickBot="1">
      <c r="O38" s="485"/>
    </row>
  </sheetData>
  <mergeCells count="2">
    <mergeCell ref="A4:O4"/>
    <mergeCell ref="A5:O5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24"/>
  <sheetViews>
    <sheetView zoomScaleNormal="100" zoomScaleSheetLayoutView="100" workbookViewId="0">
      <selection activeCell="A2" sqref="A1:A2"/>
    </sheetView>
  </sheetViews>
  <sheetFormatPr defaultColWidth="9" defaultRowHeight="10.199999999999999"/>
  <cols>
    <col min="1" max="1" width="42.77734375" style="6" customWidth="1"/>
    <col min="2" max="2" width="16.88671875" style="6" customWidth="1"/>
    <col min="3" max="3" width="17" style="7" customWidth="1"/>
    <col min="4" max="4" width="10.109375" style="6" customWidth="1"/>
    <col min="5" max="5" width="8.6640625" style="6" customWidth="1"/>
    <col min="6" max="6" width="71.88671875" style="6" customWidth="1"/>
    <col min="7" max="7" width="5.33203125" style="6" customWidth="1"/>
    <col min="8" max="16384" width="9" style="6"/>
  </cols>
  <sheetData>
    <row r="1" spans="1:6" ht="13.2">
      <c r="A1" s="480" t="s">
        <v>479</v>
      </c>
    </row>
    <row r="2" spans="1:6" ht="13.2">
      <c r="A2" s="480" t="s">
        <v>473</v>
      </c>
    </row>
    <row r="3" spans="1:6" ht="13.2">
      <c r="A3" s="91" t="s">
        <v>294</v>
      </c>
    </row>
    <row r="4" spans="1:6" ht="11.4">
      <c r="A4" s="92" t="s">
        <v>412</v>
      </c>
    </row>
    <row r="5" spans="1:6" ht="11.4">
      <c r="A5" s="158"/>
      <c r="C5" s="38"/>
      <c r="D5" s="39"/>
    </row>
    <row r="6" spans="1:6" s="381" customFormat="1">
      <c r="A6" s="380"/>
      <c r="C6" s="382"/>
    </row>
    <row r="7" spans="1:6" ht="35.25" customHeight="1">
      <c r="A7" s="164" t="s">
        <v>114</v>
      </c>
      <c r="B7" s="126" t="s">
        <v>413</v>
      </c>
      <c r="C7" s="126" t="s">
        <v>378</v>
      </c>
      <c r="D7" s="125" t="s">
        <v>92</v>
      </c>
      <c r="E7" s="125" t="s">
        <v>93</v>
      </c>
      <c r="F7" s="125"/>
    </row>
    <row r="8" spans="1:6" s="10" customFormat="1">
      <c r="A8" s="134"/>
      <c r="B8" s="139"/>
      <c r="C8" s="184"/>
      <c r="D8" s="132"/>
      <c r="E8" s="133"/>
      <c r="F8" s="133"/>
    </row>
    <row r="9" spans="1:6">
      <c r="A9" s="135" t="s">
        <v>79</v>
      </c>
      <c r="B9" s="140">
        <f>Transmission_Revenues!O45+Transmission_Revenues!O46</f>
        <v>7822908.2276600003</v>
      </c>
      <c r="C9" s="186">
        <v>7822908.2276600003</v>
      </c>
      <c r="D9" s="127">
        <f t="shared" ref="D9" si="0">B9-C9</f>
        <v>0</v>
      </c>
      <c r="E9" s="313">
        <f t="shared" ref="E9:E29" si="1">D9/C9</f>
        <v>0</v>
      </c>
      <c r="F9" s="130"/>
    </row>
    <row r="10" spans="1:6">
      <c r="A10" s="135" t="s">
        <v>75</v>
      </c>
      <c r="B10" s="140">
        <f>Transmission_Revenues!O47</f>
        <v>341667.13000000006</v>
      </c>
      <c r="C10" s="186">
        <v>341667.13000000006</v>
      </c>
      <c r="D10" s="127">
        <f t="shared" ref="D10:D28" si="2">B10-C10</f>
        <v>0</v>
      </c>
      <c r="E10" s="313">
        <f t="shared" ref="E10:E28" si="3">D10/C10</f>
        <v>0</v>
      </c>
      <c r="F10" s="130"/>
    </row>
    <row r="11" spans="1:6">
      <c r="A11" s="188" t="s">
        <v>125</v>
      </c>
      <c r="B11" s="140">
        <f>Transmission_Revenues!O48+Transmission_Revenues!O49</f>
        <v>2976551.0293599996</v>
      </c>
      <c r="C11" s="186">
        <v>2976551.0293599996</v>
      </c>
      <c r="D11" s="127">
        <f t="shared" si="2"/>
        <v>0</v>
      </c>
      <c r="E11" s="313">
        <f t="shared" si="3"/>
        <v>0</v>
      </c>
      <c r="F11" s="130"/>
    </row>
    <row r="12" spans="1:6">
      <c r="A12" s="188" t="s">
        <v>126</v>
      </c>
      <c r="B12" s="140">
        <f>Transmission_Revenues!O50</f>
        <v>187202.1312</v>
      </c>
      <c r="C12" s="186">
        <v>187202.1312</v>
      </c>
      <c r="D12" s="127">
        <f t="shared" si="2"/>
        <v>0</v>
      </c>
      <c r="E12" s="313">
        <f t="shared" si="3"/>
        <v>0</v>
      </c>
      <c r="F12" s="130"/>
    </row>
    <row r="13" spans="1:6">
      <c r="A13" s="135" t="s">
        <v>80</v>
      </c>
      <c r="B13" s="140">
        <f>Transmission_Revenues!O51+Transmission_Revenues!O52</f>
        <v>8500093.6239225678</v>
      </c>
      <c r="C13" s="186">
        <v>8500093.6239225678</v>
      </c>
      <c r="D13" s="127">
        <f t="shared" si="2"/>
        <v>0</v>
      </c>
      <c r="E13" s="313">
        <f t="shared" si="3"/>
        <v>0</v>
      </c>
      <c r="F13" s="130"/>
    </row>
    <row r="14" spans="1:6">
      <c r="A14" s="135" t="s">
        <v>76</v>
      </c>
      <c r="B14" s="140">
        <f>Transmission_Revenues!O53</f>
        <v>106069.52623535406</v>
      </c>
      <c r="C14" s="186">
        <v>106069.52623535406</v>
      </c>
      <c r="D14" s="127">
        <f t="shared" si="2"/>
        <v>0</v>
      </c>
      <c r="E14" s="313">
        <f t="shared" si="3"/>
        <v>0</v>
      </c>
      <c r="F14" s="130"/>
    </row>
    <row r="15" spans="1:6">
      <c r="A15" s="135" t="s">
        <v>57</v>
      </c>
      <c r="B15" s="140">
        <f>Transmission_Revenues!O54</f>
        <v>344954.00974630669</v>
      </c>
      <c r="C15" s="186">
        <v>344954.00974630669</v>
      </c>
      <c r="D15" s="127">
        <f t="shared" si="2"/>
        <v>0</v>
      </c>
      <c r="E15" s="313">
        <f t="shared" si="3"/>
        <v>0</v>
      </c>
      <c r="F15" s="130"/>
    </row>
    <row r="16" spans="1:6" ht="14.25" customHeight="1">
      <c r="A16" s="188" t="s">
        <v>275</v>
      </c>
      <c r="B16" s="140">
        <f>Transmission_Revenues!O55</f>
        <v>474347.32999999996</v>
      </c>
      <c r="C16" s="186">
        <v>474347.32999999996</v>
      </c>
      <c r="D16" s="127">
        <f t="shared" si="2"/>
        <v>0</v>
      </c>
      <c r="E16" s="313">
        <f t="shared" si="3"/>
        <v>0</v>
      </c>
      <c r="F16" s="130"/>
    </row>
    <row r="17" spans="1:7">
      <c r="A17" s="135" t="s">
        <v>129</v>
      </c>
      <c r="B17" s="140">
        <f>Transmission_Revenues!O56+Transmission_Revenues!O57</f>
        <v>12920376.3182</v>
      </c>
      <c r="C17" s="186">
        <v>13387357.814147953</v>
      </c>
      <c r="D17" s="127">
        <f t="shared" si="2"/>
        <v>-466981.49594795331</v>
      </c>
      <c r="E17" s="313">
        <f t="shared" si="3"/>
        <v>-3.4882274936615242E-2</v>
      </c>
      <c r="F17" s="130"/>
    </row>
    <row r="18" spans="1:7">
      <c r="A18" s="135" t="s">
        <v>184</v>
      </c>
      <c r="B18" s="140">
        <f>Transmission_Revenues!O58+Transmission_Revenues!O59</f>
        <v>2451857.2273400002</v>
      </c>
      <c r="C18" s="186">
        <v>2419450.131329657</v>
      </c>
      <c r="D18" s="127">
        <f t="shared" si="2"/>
        <v>32407.096010343172</v>
      </c>
      <c r="E18" s="313">
        <f t="shared" si="3"/>
        <v>1.339440544390688E-2</v>
      </c>
      <c r="F18" s="130"/>
    </row>
    <row r="19" spans="1:7">
      <c r="A19" s="135" t="s">
        <v>202</v>
      </c>
      <c r="B19" s="140">
        <f>Transmission_Revenues!O60+Transmission_Revenues!O61</f>
        <v>222009.94206000003</v>
      </c>
      <c r="C19" s="186">
        <v>217113.57136000003</v>
      </c>
      <c r="D19" s="127">
        <f t="shared" si="2"/>
        <v>4896.3706999999995</v>
      </c>
      <c r="E19" s="313">
        <f t="shared" si="3"/>
        <v>2.2552117167660774E-2</v>
      </c>
      <c r="F19" s="130"/>
    </row>
    <row r="20" spans="1:7">
      <c r="A20" s="135" t="s">
        <v>272</v>
      </c>
      <c r="B20" s="140">
        <f>Transmission_Revenues!O62+Transmission_Revenues!O63</f>
        <v>119170.12996000002</v>
      </c>
      <c r="C20" s="186">
        <v>115087.95118</v>
      </c>
      <c r="D20" s="127">
        <f t="shared" si="2"/>
        <v>4082.1787800000166</v>
      </c>
      <c r="E20" s="313">
        <f t="shared" si="3"/>
        <v>3.5470079518710021E-2</v>
      </c>
      <c r="F20" s="130"/>
    </row>
    <row r="21" spans="1:7">
      <c r="A21" s="135" t="s">
        <v>13</v>
      </c>
      <c r="B21" s="140">
        <f>Transmission_Revenues!O65</f>
        <v>156095.51999999996</v>
      </c>
      <c r="C21" s="186">
        <v>156095.51999999996</v>
      </c>
      <c r="D21" s="127">
        <f t="shared" ref="D21:D24" si="4">B21-C21</f>
        <v>0</v>
      </c>
      <c r="E21" s="313">
        <f t="shared" ref="E21:E24" si="5">D21/C21</f>
        <v>0</v>
      </c>
      <c r="F21" s="130"/>
    </row>
    <row r="22" spans="1:7">
      <c r="A22" s="135" t="s">
        <v>377</v>
      </c>
      <c r="B22" s="140"/>
      <c r="C22" s="186"/>
      <c r="D22" s="127"/>
      <c r="E22" s="313"/>
      <c r="F22" s="130"/>
    </row>
    <row r="23" spans="1:7">
      <c r="A23" s="135" t="s">
        <v>325</v>
      </c>
      <c r="B23" s="140">
        <f>Transmission_Revenues!O68+Transmission_Revenues!O69</f>
        <v>1516494.9578600002</v>
      </c>
      <c r="C23" s="186">
        <v>1516494.9578600002</v>
      </c>
      <c r="D23" s="127">
        <f t="shared" si="4"/>
        <v>0</v>
      </c>
      <c r="E23" s="313">
        <f t="shared" si="5"/>
        <v>0</v>
      </c>
      <c r="F23" s="130"/>
      <c r="G23" s="187"/>
    </row>
    <row r="24" spans="1:7">
      <c r="A24" s="135" t="s">
        <v>321</v>
      </c>
      <c r="B24" s="140">
        <f>Transmission_Revenues!O66+Transmission_Revenues!O67</f>
        <v>424424.78487999993</v>
      </c>
      <c r="C24" s="186">
        <v>1397331.2388599999</v>
      </c>
      <c r="D24" s="127">
        <f t="shared" si="4"/>
        <v>-972906.45397999999</v>
      </c>
      <c r="E24" s="313">
        <f t="shared" si="5"/>
        <v>-0.69626043340570909</v>
      </c>
      <c r="F24" s="130"/>
    </row>
    <row r="25" spans="1:7" ht="11.25" customHeight="1">
      <c r="A25" s="135" t="s">
        <v>14</v>
      </c>
      <c r="B25" s="140">
        <f>Transmission_Revenues!O70+Transmission_Revenues!O71</f>
        <v>9675215.6812800001</v>
      </c>
      <c r="C25" s="186">
        <v>9675215.6812800001</v>
      </c>
      <c r="D25" s="127">
        <f t="shared" si="2"/>
        <v>0</v>
      </c>
      <c r="E25" s="313">
        <f t="shared" si="3"/>
        <v>0</v>
      </c>
      <c r="F25" s="390"/>
    </row>
    <row r="26" spans="1:7">
      <c r="A26" s="135" t="s">
        <v>77</v>
      </c>
      <c r="B26" s="140">
        <f>Transmission_Revenues!O72</f>
        <v>594800.63999999978</v>
      </c>
      <c r="C26" s="186">
        <v>594800.63999999978</v>
      </c>
      <c r="D26" s="127">
        <f t="shared" si="2"/>
        <v>0</v>
      </c>
      <c r="E26" s="313">
        <f t="shared" si="3"/>
        <v>0</v>
      </c>
      <c r="F26" s="390"/>
    </row>
    <row r="27" spans="1:7">
      <c r="A27" s="188" t="s">
        <v>124</v>
      </c>
      <c r="B27" s="140">
        <f>Transmission_Revenues!O73</f>
        <v>86400</v>
      </c>
      <c r="C27" s="186">
        <v>86400</v>
      </c>
      <c r="D27" s="127">
        <f t="shared" si="2"/>
        <v>0</v>
      </c>
      <c r="E27" s="313">
        <f t="shared" si="3"/>
        <v>0</v>
      </c>
      <c r="F27" s="130"/>
    </row>
    <row r="28" spans="1:7">
      <c r="A28" s="135" t="s">
        <v>58</v>
      </c>
      <c r="B28" s="157">
        <f>Transmission_Revenues!O74+Transmission_Revenues!O75</f>
        <v>3665636.9700000007</v>
      </c>
      <c r="C28" s="389">
        <v>3665636.9700000007</v>
      </c>
      <c r="D28" s="128">
        <f t="shared" si="2"/>
        <v>0</v>
      </c>
      <c r="E28" s="313">
        <f t="shared" si="3"/>
        <v>0</v>
      </c>
      <c r="F28" s="130"/>
    </row>
    <row r="29" spans="1:7">
      <c r="A29" s="135" t="s">
        <v>81</v>
      </c>
      <c r="B29" s="140">
        <f>SUM(B9:B28)</f>
        <v>52586275.179704227</v>
      </c>
      <c r="C29" s="140">
        <v>53984777.484141842</v>
      </c>
      <c r="D29" s="141">
        <f>SUM(D9:D28)</f>
        <v>-1398502.3044376101</v>
      </c>
      <c r="E29" s="313">
        <f t="shared" si="1"/>
        <v>-2.5905493541182486E-2</v>
      </c>
      <c r="F29" s="130"/>
    </row>
    <row r="30" spans="1:7">
      <c r="A30" s="136"/>
      <c r="B30" s="142"/>
      <c r="C30" s="186"/>
      <c r="D30" s="129"/>
      <c r="E30" s="379"/>
      <c r="F30" s="130"/>
    </row>
    <row r="31" spans="1:7">
      <c r="A31" s="135"/>
      <c r="B31" s="140"/>
      <c r="C31" s="186"/>
      <c r="D31" s="127"/>
      <c r="E31" s="313"/>
      <c r="F31" s="130"/>
    </row>
    <row r="32" spans="1:7">
      <c r="A32" s="135" t="s">
        <v>134</v>
      </c>
      <c r="B32" s="141">
        <f>Transmission_Revenues!O79</f>
        <v>-6797123.0000000028</v>
      </c>
      <c r="C32" s="186">
        <v>-6797123.0000000028</v>
      </c>
      <c r="D32" s="127">
        <f>B32-C32</f>
        <v>0</v>
      </c>
      <c r="E32" s="313">
        <f>D32/C32</f>
        <v>0</v>
      </c>
      <c r="F32" s="130"/>
    </row>
    <row r="33" spans="1:6">
      <c r="A33" s="135"/>
      <c r="B33" s="141"/>
      <c r="C33" s="186"/>
      <c r="D33" s="128"/>
      <c r="E33" s="166"/>
      <c r="F33" s="130"/>
    </row>
    <row r="34" spans="1:6" ht="10.8" thickBot="1">
      <c r="A34" s="136" t="s">
        <v>115</v>
      </c>
      <c r="B34" s="162">
        <f>B29+B32</f>
        <v>45789152.179704227</v>
      </c>
      <c r="C34" s="162">
        <v>47187654.484141842</v>
      </c>
      <c r="D34" s="165">
        <f>B34-C34</f>
        <v>-1398502.304437615</v>
      </c>
      <c r="E34" s="168">
        <f>D34/C34</f>
        <v>-2.9637037901674129E-2</v>
      </c>
      <c r="F34" s="130"/>
    </row>
    <row r="35" spans="1:6" ht="10.8" thickTop="1">
      <c r="A35" s="135" t="s">
        <v>135</v>
      </c>
      <c r="B35" s="143" t="e">
        <f>B9+B13+B17+B11+B18+B19+B20+#REF!+B24+B32+B23</f>
        <v>#REF!</v>
      </c>
      <c r="C35" s="143">
        <v>36491794.050845087</v>
      </c>
      <c r="D35" s="182" t="e">
        <f>B35-C35</f>
        <v>#REF!</v>
      </c>
      <c r="E35" s="183" t="e">
        <f>D35/C35</f>
        <v>#REF!</v>
      </c>
      <c r="F35" s="131"/>
    </row>
    <row r="36" spans="1:6" ht="34.5" customHeight="1">
      <c r="A36" s="164" t="s">
        <v>147</v>
      </c>
      <c r="B36" s="126" t="s">
        <v>416</v>
      </c>
      <c r="C36" s="126" t="str">
        <f>C7</f>
        <v>2014-2020 Forecast Provided December 2014 New Methodology</v>
      </c>
      <c r="D36" s="125" t="s">
        <v>92</v>
      </c>
      <c r="E36" s="125" t="s">
        <v>93</v>
      </c>
      <c r="F36" s="125"/>
    </row>
    <row r="37" spans="1:6">
      <c r="A37" s="134"/>
      <c r="B37" s="139"/>
      <c r="C37" s="139"/>
      <c r="D37" s="132"/>
      <c r="E37" s="133"/>
      <c r="F37" s="133"/>
    </row>
    <row r="38" spans="1:6">
      <c r="A38" s="135" t="s">
        <v>79</v>
      </c>
      <c r="B38" s="140">
        <f>Transmission_Revenues!O85+Transmission_Revenues!O86</f>
        <v>7883956.5942599988</v>
      </c>
      <c r="C38" s="140">
        <v>7905341.9540800005</v>
      </c>
      <c r="D38" s="127">
        <f t="shared" ref="D38" si="6">B38-C38</f>
        <v>-21385.359820001759</v>
      </c>
      <c r="E38" s="313">
        <f t="shared" ref="E38" si="7">D38/C38</f>
        <v>-2.7051783394347198E-3</v>
      </c>
      <c r="F38" s="130"/>
    </row>
    <row r="39" spans="1:6">
      <c r="A39" s="135" t="s">
        <v>75</v>
      </c>
      <c r="B39" s="140">
        <f>Transmission_Revenues!O87</f>
        <v>344333.43000000005</v>
      </c>
      <c r="C39" s="140">
        <v>345267.44000000006</v>
      </c>
      <c r="D39" s="127">
        <f t="shared" ref="D39:D49" si="8">B39-C39</f>
        <v>-934.01000000000931</v>
      </c>
      <c r="E39" s="313">
        <f t="shared" ref="E39:E49" si="9">D39/C39</f>
        <v>-2.7051783394345238E-3</v>
      </c>
      <c r="F39" s="130"/>
    </row>
    <row r="40" spans="1:6">
      <c r="A40" s="188" t="s">
        <v>125</v>
      </c>
      <c r="B40" s="140">
        <f>Transmission_Revenues!O88+Transmission_Revenues!O89</f>
        <v>2830570.2646800005</v>
      </c>
      <c r="C40" s="140">
        <v>2830570.2646800005</v>
      </c>
      <c r="D40" s="127">
        <f t="shared" si="8"/>
        <v>0</v>
      </c>
      <c r="E40" s="313">
        <f t="shared" si="9"/>
        <v>0</v>
      </c>
      <c r="F40" s="130"/>
    </row>
    <row r="41" spans="1:6">
      <c r="A41" s="188" t="s">
        <v>126</v>
      </c>
      <c r="B41" s="140">
        <f>Transmission_Revenues!O90</f>
        <v>178021.06559999997</v>
      </c>
      <c r="C41" s="140">
        <v>178021.06559999997</v>
      </c>
      <c r="D41" s="127">
        <f t="shared" si="8"/>
        <v>0</v>
      </c>
      <c r="E41" s="313">
        <f t="shared" si="9"/>
        <v>0</v>
      </c>
      <c r="F41" s="130"/>
    </row>
    <row r="42" spans="1:6">
      <c r="A42" s="135" t="s">
        <v>80</v>
      </c>
      <c r="B42" s="140">
        <f>Transmission_Revenues!O91+Transmission_Revenues!O92</f>
        <v>8522664.252837494</v>
      </c>
      <c r="C42" s="140">
        <v>8500093.6239225678</v>
      </c>
      <c r="D42" s="127">
        <f t="shared" si="8"/>
        <v>22570.628914926201</v>
      </c>
      <c r="E42" s="313">
        <f t="shared" si="9"/>
        <v>2.6553388601983957E-3</v>
      </c>
      <c r="F42" s="130"/>
    </row>
    <row r="43" spans="1:6">
      <c r="A43" s="135" t="s">
        <v>76</v>
      </c>
      <c r="B43" s="140">
        <f>Transmission_Revenues!O93</f>
        <v>106351.17677024963</v>
      </c>
      <c r="C43" s="140">
        <v>106069.52623535406</v>
      </c>
      <c r="D43" s="127">
        <f t="shared" si="8"/>
        <v>281.65053489556885</v>
      </c>
      <c r="E43" s="313">
        <f t="shared" si="9"/>
        <v>2.6553388601983953E-3</v>
      </c>
      <c r="F43" s="130"/>
    </row>
    <row r="44" spans="1:6">
      <c r="A44" s="135" t="s">
        <v>57</v>
      </c>
      <c r="B44" s="140">
        <f>Transmission_Revenues!O94</f>
        <v>345869.97953336727</v>
      </c>
      <c r="C44" s="140">
        <v>344954.00974630669</v>
      </c>
      <c r="D44" s="127">
        <f t="shared" si="8"/>
        <v>915.96978706057416</v>
      </c>
      <c r="E44" s="313">
        <f t="shared" si="9"/>
        <v>2.6553388601982504E-3</v>
      </c>
      <c r="F44" s="130"/>
    </row>
    <row r="45" spans="1:6">
      <c r="A45" s="188" t="s">
        <v>275</v>
      </c>
      <c r="B45" s="140">
        <f>Transmission_Revenues!O95</f>
        <v>445524.3899999999</v>
      </c>
      <c r="C45" s="140">
        <v>445524.3899999999</v>
      </c>
      <c r="D45" s="127">
        <f t="shared" si="8"/>
        <v>0</v>
      </c>
      <c r="E45" s="313">
        <f t="shared" si="9"/>
        <v>0</v>
      </c>
      <c r="F45" s="130"/>
    </row>
    <row r="46" spans="1:6">
      <c r="A46" s="135" t="s">
        <v>129</v>
      </c>
      <c r="B46" s="140">
        <f>Transmission_Revenues!O96+Transmission_Revenues!O97</f>
        <v>13759621.023149049</v>
      </c>
      <c r="C46" s="140">
        <v>13720920.121757401</v>
      </c>
      <c r="D46" s="127">
        <f t="shared" si="8"/>
        <v>38700.901391647756</v>
      </c>
      <c r="E46" s="313">
        <f t="shared" si="9"/>
        <v>2.8205762476730223E-3</v>
      </c>
      <c r="F46" s="130"/>
    </row>
    <row r="47" spans="1:6">
      <c r="A47" s="135" t="s">
        <v>184</v>
      </c>
      <c r="B47" s="140">
        <f>Transmission_Revenues!O98+Transmission_Revenues!O99</f>
        <v>2526727.4698709706</v>
      </c>
      <c r="C47" s="140">
        <v>2654927.3345901789</v>
      </c>
      <c r="D47" s="127">
        <f t="shared" si="8"/>
        <v>-128199.86471920833</v>
      </c>
      <c r="E47" s="313">
        <f t="shared" si="9"/>
        <v>-4.8287522995049348E-2</v>
      </c>
      <c r="F47" s="130"/>
    </row>
    <row r="48" spans="1:6">
      <c r="A48" s="135" t="s">
        <v>202</v>
      </c>
      <c r="B48" s="140">
        <f>Transmission_Revenues!O100+Transmission_Revenues!O101</f>
        <v>224383.6</v>
      </c>
      <c r="C48" s="140">
        <v>227612.99603142127</v>
      </c>
      <c r="D48" s="127">
        <f t="shared" si="8"/>
        <v>-3229.39603142126</v>
      </c>
      <c r="E48" s="313">
        <f t="shared" si="9"/>
        <v>-1.4188100362140358E-2</v>
      </c>
      <c r="F48" s="130"/>
    </row>
    <row r="49" spans="1:7">
      <c r="A49" s="135" t="s">
        <v>272</v>
      </c>
      <c r="B49" s="140">
        <f>Transmission_Revenues!O102+Transmission_Revenues!O103</f>
        <v>131424.68</v>
      </c>
      <c r="C49" s="140">
        <v>139750.513615</v>
      </c>
      <c r="D49" s="127">
        <f t="shared" si="8"/>
        <v>-8325.8336150000105</v>
      </c>
      <c r="E49" s="313">
        <f t="shared" si="9"/>
        <v>-5.957640798327888E-2</v>
      </c>
      <c r="F49" s="130"/>
    </row>
    <row r="50" spans="1:7">
      <c r="A50" s="135" t="s">
        <v>301</v>
      </c>
      <c r="B50" s="140">
        <f>Transmission_Revenues!O104+Transmission_Revenues!O105</f>
        <v>936000.16</v>
      </c>
      <c r="C50" s="140">
        <v>1073375.7340199999</v>
      </c>
      <c r="D50" s="127">
        <f t="shared" ref="D50:D52" si="10">B50-C50</f>
        <v>-137375.57401999983</v>
      </c>
      <c r="E50" s="313">
        <f t="shared" ref="E50:E52" si="11">D50/C50</f>
        <v>-0.1279846093646087</v>
      </c>
      <c r="F50" s="130"/>
    </row>
    <row r="51" spans="1:7">
      <c r="A51" s="135" t="s">
        <v>321</v>
      </c>
      <c r="B51" s="140">
        <f>Transmission_Revenues!O106+Transmission_Revenues!O107+Transmission_Revenues!O108</f>
        <v>604756.69999999995</v>
      </c>
      <c r="C51" s="140">
        <v>1838081.5333800002</v>
      </c>
      <c r="D51" s="127">
        <f t="shared" si="10"/>
        <v>-1233324.8333800002</v>
      </c>
      <c r="E51" s="313">
        <f t="shared" si="11"/>
        <v>-0.67098483444968371</v>
      </c>
      <c r="F51" s="130" t="s">
        <v>452</v>
      </c>
    </row>
    <row r="52" spans="1:7">
      <c r="A52" s="135" t="s">
        <v>13</v>
      </c>
      <c r="B52" s="140">
        <f>Transmission_Revenues!O109</f>
        <v>0</v>
      </c>
      <c r="C52" s="140">
        <v>156095.51999999996</v>
      </c>
      <c r="D52" s="127">
        <f t="shared" si="10"/>
        <v>-156095.51999999996</v>
      </c>
      <c r="E52" s="313">
        <f t="shared" si="11"/>
        <v>-1</v>
      </c>
      <c r="F52" s="130" t="s">
        <v>470</v>
      </c>
      <c r="G52" s="187"/>
    </row>
    <row r="53" spans="1:7">
      <c r="A53" s="135" t="s">
        <v>377</v>
      </c>
      <c r="B53" s="140">
        <f>Transmission_Revenues!O110+Transmission_Revenues!O111+Transmission_Revenues!O112</f>
        <v>353954.72703999997</v>
      </c>
      <c r="C53" s="140"/>
      <c r="D53" s="127">
        <f t="shared" ref="D53:D58" si="12">B53-C53</f>
        <v>353954.72703999997</v>
      </c>
      <c r="E53" s="313" t="e">
        <f>D53/C53</f>
        <v>#DIV/0!</v>
      </c>
      <c r="F53" s="130" t="s">
        <v>457</v>
      </c>
    </row>
    <row r="54" spans="1:7">
      <c r="A54" s="135" t="s">
        <v>325</v>
      </c>
      <c r="B54" s="140">
        <f>Transmission_Revenues!O113+Transmission_Revenues!O114+Transmission_Revenues!O115</f>
        <v>1611870.8090600001</v>
      </c>
      <c r="C54" s="140">
        <v>1516494.9578600002</v>
      </c>
      <c r="D54" s="127">
        <f t="shared" si="12"/>
        <v>95375.851199999917</v>
      </c>
      <c r="E54" s="313">
        <f>D54/C54</f>
        <v>6.2892296941487638E-2</v>
      </c>
      <c r="F54" s="130"/>
      <c r="G54" s="187"/>
    </row>
    <row r="55" spans="1:7">
      <c r="A55" s="135" t="s">
        <v>14</v>
      </c>
      <c r="B55" s="140">
        <f>Transmission_Revenues!O116+Transmission_Revenues!O117</f>
        <v>8888270.3412800003</v>
      </c>
      <c r="C55" s="140">
        <v>8753640.1812800001</v>
      </c>
      <c r="D55" s="127">
        <f t="shared" si="12"/>
        <v>134630.16000000015</v>
      </c>
      <c r="E55" s="313">
        <f>D55/C55</f>
        <v>1.5379905640617029E-2</v>
      </c>
      <c r="F55" s="130"/>
      <c r="G55" s="187"/>
    </row>
    <row r="56" spans="1:7">
      <c r="A56" s="135" t="s">
        <v>77</v>
      </c>
      <c r="B56" s="140">
        <f>+Transmission_Revenues!O118</f>
        <v>545307.83999999985</v>
      </c>
      <c r="C56" s="140">
        <v>536840.64</v>
      </c>
      <c r="D56" s="127">
        <f t="shared" si="12"/>
        <v>8467.199999999837</v>
      </c>
      <c r="E56" s="313">
        <f>D56/C56</f>
        <v>1.5772278343159408E-2</v>
      </c>
      <c r="F56" s="130"/>
      <c r="G56" s="187"/>
    </row>
    <row r="57" spans="1:7">
      <c r="A57" s="188" t="s">
        <v>124</v>
      </c>
      <c r="B57" s="140">
        <f>Transmission_Revenues!O119</f>
        <v>86400</v>
      </c>
      <c r="C57" s="140">
        <v>86400</v>
      </c>
      <c r="D57" s="127">
        <f t="shared" si="12"/>
        <v>0</v>
      </c>
      <c r="E57" s="313">
        <f>D57/C57</f>
        <v>0</v>
      </c>
      <c r="F57" s="130"/>
    </row>
    <row r="58" spans="1:7">
      <c r="A58" s="135" t="s">
        <v>58</v>
      </c>
      <c r="B58" s="157">
        <f>Transmission_Revenues!O120+Transmission_Revenues!O121</f>
        <v>3665636.9700000007</v>
      </c>
      <c r="C58" s="157">
        <v>3702368.0900000003</v>
      </c>
      <c r="D58" s="127">
        <f t="shared" si="12"/>
        <v>-36731.119999999646</v>
      </c>
      <c r="E58" s="313">
        <f>D58/B58</f>
        <v>-1.0020392172113989E-2</v>
      </c>
      <c r="F58" s="130"/>
    </row>
    <row r="59" spans="1:7">
      <c r="A59" s="135" t="s">
        <v>81</v>
      </c>
      <c r="B59" s="140">
        <f>SUM(B38:B58)</f>
        <v>53991645.474081129</v>
      </c>
      <c r="C59" s="140">
        <v>55062349.896798238</v>
      </c>
      <c r="D59" s="295">
        <f>SUM(D38:D58)</f>
        <v>-1070704.4227171009</v>
      </c>
      <c r="E59" s="313">
        <f t="shared" ref="E59" si="13">D59/C59</f>
        <v>-1.9445309267110668E-2</v>
      </c>
      <c r="F59" s="130"/>
    </row>
    <row r="60" spans="1:7">
      <c r="A60" s="136"/>
      <c r="B60" s="142"/>
      <c r="C60" s="142"/>
      <c r="D60" s="129"/>
      <c r="E60" s="379"/>
      <c r="F60" s="130"/>
    </row>
    <row r="61" spans="1:7">
      <c r="A61" s="135"/>
      <c r="B61" s="140"/>
      <c r="C61" s="140"/>
      <c r="D61" s="127"/>
      <c r="E61" s="313"/>
      <c r="F61" s="130"/>
    </row>
    <row r="62" spans="1:7">
      <c r="A62" s="135" t="s">
        <v>134</v>
      </c>
      <c r="B62" s="141">
        <f>Transmission_Revenues!O125</f>
        <v>-6797123.0000000028</v>
      </c>
      <c r="C62" s="141">
        <v>-6797123.0000000028</v>
      </c>
      <c r="D62" s="127">
        <f>B62-C62</f>
        <v>0</v>
      </c>
      <c r="E62" s="313">
        <f>D62/C62</f>
        <v>0</v>
      </c>
      <c r="F62" s="488" t="s">
        <v>454</v>
      </c>
    </row>
    <row r="63" spans="1:7">
      <c r="A63" s="135"/>
      <c r="B63" s="141"/>
      <c r="C63" s="141"/>
      <c r="D63" s="128"/>
      <c r="E63" s="166"/>
      <c r="F63" s="130"/>
    </row>
    <row r="64" spans="1:7" ht="10.8" thickBot="1">
      <c r="A64" s="136" t="s">
        <v>148</v>
      </c>
      <c r="B64" s="162">
        <f>B59+B62</f>
        <v>47194522.474081129</v>
      </c>
      <c r="C64" s="162">
        <v>47659845.86790292</v>
      </c>
      <c r="D64" s="165">
        <f>B64-C64</f>
        <v>-465323.39382179081</v>
      </c>
      <c r="E64" s="168">
        <f>D64/C64</f>
        <v>-9.7634263256224305E-3</v>
      </c>
      <c r="F64" s="130"/>
    </row>
    <row r="65" spans="1:6" ht="10.8" thickTop="1">
      <c r="A65" s="135" t="s">
        <v>135</v>
      </c>
      <c r="B65" s="143">
        <f>B38+B42+B46+B40+B47+B48+B49+B50+B51+B62+B54</f>
        <v>32234852.553857516</v>
      </c>
      <c r="C65" s="143">
        <f>C38+C42+C46+C40+C47+C48+C49+C50+C51+C62+C55</f>
        <v>40847191.257356562</v>
      </c>
      <c r="D65" s="182">
        <f>B65-C65</f>
        <v>-8612338.7034990452</v>
      </c>
      <c r="E65" s="183">
        <f>D65/C65</f>
        <v>-0.21084286185645548</v>
      </c>
      <c r="F65" s="131"/>
    </row>
    <row r="66" spans="1:6" ht="40.799999999999997">
      <c r="A66" s="164" t="s">
        <v>180</v>
      </c>
      <c r="B66" s="126" t="str">
        <f>B36</f>
        <v xml:space="preserve">2015-2020 Forecast Updated October 2015 </v>
      </c>
      <c r="C66" s="126" t="str">
        <f>C36</f>
        <v>2014-2020 Forecast Provided December 2014 New Methodology</v>
      </c>
      <c r="D66" s="125" t="s">
        <v>92</v>
      </c>
      <c r="E66" s="125" t="s">
        <v>93</v>
      </c>
      <c r="F66" s="125"/>
    </row>
    <row r="67" spans="1:6">
      <c r="A67" s="134"/>
      <c r="B67" s="139"/>
      <c r="C67" s="139"/>
      <c r="D67" s="132"/>
      <c r="E67" s="133"/>
      <c r="F67" s="133"/>
    </row>
    <row r="68" spans="1:6">
      <c r="A68" s="135" t="s">
        <v>79</v>
      </c>
      <c r="B68" s="140">
        <f>Transmission_Revenues!O131+Transmission_Revenues!O132</f>
        <v>7947131.79684</v>
      </c>
      <c r="C68" s="140">
        <v>7969496.4308000011</v>
      </c>
      <c r="D68" s="127">
        <f t="shared" ref="D68" si="14">B68-C68</f>
        <v>-22364.633960001171</v>
      </c>
      <c r="E68" s="313">
        <f t="shared" ref="E68" si="15">D68/C68</f>
        <v>-2.8062794373767156E-3</v>
      </c>
      <c r="F68" s="130"/>
    </row>
    <row r="69" spans="1:6">
      <c r="A69" s="135" t="s">
        <v>75</v>
      </c>
      <c r="B69" s="140">
        <f>Transmission_Revenues!O133</f>
        <v>347092.62000000011</v>
      </c>
      <c r="C69" s="140">
        <v>348069.4</v>
      </c>
      <c r="D69" s="127">
        <f t="shared" ref="D69:D90" si="16">B69-C69</f>
        <v>-976.77999999991152</v>
      </c>
      <c r="E69" s="313">
        <f t="shared" ref="E69:E90" si="17">D69/C69</f>
        <v>-2.8062794373763149E-3</v>
      </c>
      <c r="F69" s="130"/>
    </row>
    <row r="70" spans="1:6">
      <c r="A70" s="188" t="s">
        <v>125</v>
      </c>
      <c r="B70" s="140">
        <f>Transmission_Revenues!O134+Transmission_Revenues!O135</f>
        <v>2861584.8864200003</v>
      </c>
      <c r="C70" s="140">
        <v>2861584.8864200003</v>
      </c>
      <c r="D70" s="127">
        <f t="shared" si="16"/>
        <v>0</v>
      </c>
      <c r="E70" s="313">
        <f t="shared" si="17"/>
        <v>0</v>
      </c>
      <c r="F70" s="130"/>
    </row>
    <row r="71" spans="1:6">
      <c r="A71" s="188" t="s">
        <v>126</v>
      </c>
      <c r="B71" s="140">
        <f>Transmission_Revenues!O136</f>
        <v>179971.6464</v>
      </c>
      <c r="C71" s="140">
        <v>179971.6464</v>
      </c>
      <c r="D71" s="127">
        <f t="shared" si="16"/>
        <v>0</v>
      </c>
      <c r="E71" s="313">
        <f t="shared" si="17"/>
        <v>0</v>
      </c>
      <c r="F71" s="130"/>
    </row>
    <row r="72" spans="1:6">
      <c r="A72" s="135" t="s">
        <v>80</v>
      </c>
      <c r="B72" s="140">
        <f>Transmission_Revenues!O137+Transmission_Revenues!O138</f>
        <v>8197641.9710239442</v>
      </c>
      <c r="C72" s="140">
        <v>8732921.2061334718</v>
      </c>
      <c r="D72" s="127">
        <f t="shared" si="16"/>
        <v>-535279.2351095276</v>
      </c>
      <c r="E72" s="313">
        <f t="shared" si="17"/>
        <v>-6.1294407962089487E-2</v>
      </c>
      <c r="F72" s="130"/>
    </row>
    <row r="73" spans="1:6">
      <c r="A73" s="135" t="s">
        <v>76</v>
      </c>
      <c r="B73" s="140">
        <f>Transmission_Revenues!O139</f>
        <v>102295.34386143657</v>
      </c>
      <c r="C73" s="140">
        <v>108974.89556800814</v>
      </c>
      <c r="D73" s="127">
        <f t="shared" si="16"/>
        <v>-6679.5517065715685</v>
      </c>
      <c r="E73" s="313">
        <f t="shared" si="17"/>
        <v>-6.1294407962089299E-2</v>
      </c>
      <c r="F73" s="130"/>
    </row>
    <row r="74" spans="1:6">
      <c r="A74" s="135" t="s">
        <v>57</v>
      </c>
      <c r="B74" s="140">
        <f>Transmission_Revenues!O140</f>
        <v>332679.80253897089</v>
      </c>
      <c r="C74" s="140">
        <v>354402.70662149769</v>
      </c>
      <c r="D74" s="127">
        <f t="shared" si="16"/>
        <v>-21722.904082526802</v>
      </c>
      <c r="E74" s="313">
        <f t="shared" si="17"/>
        <v>-6.1294407962089514E-2</v>
      </c>
      <c r="F74" s="130"/>
    </row>
    <row r="75" spans="1:6">
      <c r="A75" s="188" t="s">
        <v>275</v>
      </c>
      <c r="B75" s="140">
        <f>Transmission_Revenues!O141</f>
        <v>266143.2900000001</v>
      </c>
      <c r="C75" s="140">
        <v>266143.2900000001</v>
      </c>
      <c r="D75" s="127">
        <f t="shared" si="16"/>
        <v>0</v>
      </c>
      <c r="E75" s="313">
        <f t="shared" si="17"/>
        <v>0</v>
      </c>
      <c r="F75" s="130"/>
    </row>
    <row r="76" spans="1:6">
      <c r="A76" s="135" t="s">
        <v>129</v>
      </c>
      <c r="B76" s="140">
        <f>Transmission_Revenues!O142+Transmission_Revenues!O143</f>
        <v>13121303.314182486</v>
      </c>
      <c r="C76" s="140">
        <v>13768573.2362046</v>
      </c>
      <c r="D76" s="127">
        <f t="shared" si="16"/>
        <v>-647269.92202211358</v>
      </c>
      <c r="E76" s="313">
        <f t="shared" si="17"/>
        <v>-4.7010675029138888E-2</v>
      </c>
      <c r="F76" s="130"/>
    </row>
    <row r="77" spans="1:6">
      <c r="A77" s="135" t="s">
        <v>184</v>
      </c>
      <c r="B77" s="140">
        <f>Transmission_Revenues!O144+Transmission_Revenues!O145</f>
        <v>2543400.7044760501</v>
      </c>
      <c r="C77" s="140">
        <v>2668469.6688860068</v>
      </c>
      <c r="D77" s="127">
        <f t="shared" si="16"/>
        <v>-125068.96440995671</v>
      </c>
      <c r="E77" s="313">
        <f t="shared" si="17"/>
        <v>-4.6869172195675976E-2</v>
      </c>
      <c r="F77" s="130"/>
    </row>
    <row r="78" spans="1:6">
      <c r="A78" s="135" t="s">
        <v>202</v>
      </c>
      <c r="B78" s="140">
        <f>Transmission_Revenues!O146+Transmission_Revenues!O147</f>
        <v>250027.44</v>
      </c>
      <c r="C78" s="140">
        <v>227612.99603142127</v>
      </c>
      <c r="D78" s="127">
        <f t="shared" si="16"/>
        <v>22414.443968578737</v>
      </c>
      <c r="E78" s="313">
        <f t="shared" si="17"/>
        <v>9.8476116739329295E-2</v>
      </c>
      <c r="F78" s="130"/>
    </row>
    <row r="79" spans="1:6">
      <c r="A79" s="135" t="s">
        <v>272</v>
      </c>
      <c r="B79" s="140">
        <f>Transmission_Revenues!O148+Transmission_Revenues!O149</f>
        <v>173095.92</v>
      </c>
      <c r="C79" s="140">
        <v>139997.93660250001</v>
      </c>
      <c r="D79" s="127">
        <f t="shared" si="16"/>
        <v>33097.983397500007</v>
      </c>
      <c r="E79" s="313">
        <f t="shared" si="17"/>
        <v>0.23641765157922306</v>
      </c>
      <c r="F79" s="130"/>
    </row>
    <row r="80" spans="1:6">
      <c r="A80" s="135" t="s">
        <v>301</v>
      </c>
      <c r="B80" s="140">
        <f>Transmission_Revenues!O150+Transmission_Revenues!O151</f>
        <v>1153972.8</v>
      </c>
      <c r="C80" s="140">
        <v>1122155.7669599999</v>
      </c>
      <c r="D80" s="127">
        <f t="shared" ref="D80:D86" si="18">B80-C80</f>
        <v>31817.033040000126</v>
      </c>
      <c r="E80" s="313">
        <f t="shared" ref="E80:E86" si="19">D80/C80</f>
        <v>2.8353490644346765E-2</v>
      </c>
      <c r="F80" s="130"/>
    </row>
    <row r="81" spans="1:7">
      <c r="A81" s="135" t="s">
        <v>321</v>
      </c>
      <c r="B81" s="140">
        <f>Transmission_Revenues!O152+Transmission_Revenues!O153+Transmission_Revenues!O154</f>
        <v>655862.9</v>
      </c>
      <c r="C81" s="140">
        <v>1857660.6052200003</v>
      </c>
      <c r="D81" s="127">
        <f t="shared" si="18"/>
        <v>-1201797.7052200004</v>
      </c>
      <c r="E81" s="313">
        <f t="shared" si="19"/>
        <v>-0.64694148212163494</v>
      </c>
      <c r="F81" s="130" t="s">
        <v>452</v>
      </c>
    </row>
    <row r="82" spans="1:7">
      <c r="A82" s="135" t="s">
        <v>13</v>
      </c>
      <c r="B82" s="140">
        <f>Transmission_Revenues!O155</f>
        <v>0</v>
      </c>
      <c r="C82" s="140">
        <v>156095.51999999996</v>
      </c>
      <c r="D82" s="127">
        <f t="shared" si="18"/>
        <v>-156095.51999999996</v>
      </c>
      <c r="E82" s="313">
        <f t="shared" si="19"/>
        <v>-1</v>
      </c>
      <c r="F82" s="130"/>
      <c r="G82" s="187"/>
    </row>
    <row r="83" spans="1:7">
      <c r="A83" s="135" t="s">
        <v>377</v>
      </c>
      <c r="B83" s="140">
        <f>Transmission_Revenues!O156+Transmission_Revenues!O157+Transmission_Revenues!O158</f>
        <v>359416.27627999999</v>
      </c>
      <c r="C83" s="140"/>
      <c r="D83" s="127">
        <f t="shared" si="18"/>
        <v>359416.27627999999</v>
      </c>
      <c r="E83" s="313" t="e">
        <f t="shared" si="19"/>
        <v>#DIV/0!</v>
      </c>
      <c r="F83" s="130" t="s">
        <v>456</v>
      </c>
    </row>
    <row r="84" spans="1:7">
      <c r="A84" s="135" t="s">
        <v>325</v>
      </c>
      <c r="B84" s="140">
        <f>Transmission_Revenues!O159+Transmission_Revenues!O160+Transmission_Revenues!O161</f>
        <v>1632904.0795449133</v>
      </c>
      <c r="C84" s="140">
        <v>1536085.2488800001</v>
      </c>
      <c r="D84" s="127">
        <f t="shared" si="18"/>
        <v>96818.83066491317</v>
      </c>
      <c r="E84" s="313">
        <f t="shared" si="19"/>
        <v>6.3029594702186165E-2</v>
      </c>
      <c r="F84" s="130"/>
      <c r="G84" s="187"/>
    </row>
    <row r="85" spans="1:7">
      <c r="A85" s="135" t="s">
        <v>436</v>
      </c>
      <c r="B85" s="140">
        <f>Transmission_Revenues!O162+Transmission_Revenues!O163+Transmission_Revenues!O164</f>
        <v>223163.74</v>
      </c>
      <c r="C85" s="140"/>
      <c r="D85" s="127">
        <f t="shared" si="18"/>
        <v>223163.74</v>
      </c>
      <c r="E85" s="313" t="e">
        <f t="shared" si="19"/>
        <v>#DIV/0!</v>
      </c>
      <c r="F85" s="130" t="s">
        <v>455</v>
      </c>
      <c r="G85" s="187"/>
    </row>
    <row r="86" spans="1:7">
      <c r="A86" s="135" t="s">
        <v>448</v>
      </c>
      <c r="B86" s="140">
        <f>Transmission_Revenues!O165+Transmission_Revenues!O166</f>
        <v>444572.0921596</v>
      </c>
      <c r="C86" s="140"/>
      <c r="D86" s="127">
        <f t="shared" si="18"/>
        <v>444572.0921596</v>
      </c>
      <c r="E86" s="313" t="e">
        <f t="shared" si="19"/>
        <v>#DIV/0!</v>
      </c>
      <c r="F86" s="130" t="s">
        <v>455</v>
      </c>
      <c r="G86" s="187"/>
    </row>
    <row r="87" spans="1:7">
      <c r="A87" s="135" t="s">
        <v>14</v>
      </c>
      <c r="B87" s="140">
        <f>Transmission_Revenues!O167+Transmission_Revenues!O168</f>
        <v>6242146.6012800001</v>
      </c>
      <c r="C87" s="140">
        <v>6097900.0012800004</v>
      </c>
      <c r="D87" s="127">
        <f t="shared" ref="D87" si="20">B87-C87</f>
        <v>144246.59999999963</v>
      </c>
      <c r="E87" s="313">
        <f t="shared" ref="E87" si="21">D87/C87</f>
        <v>2.3655127169963604E-2</v>
      </c>
      <c r="F87" s="130"/>
      <c r="G87" s="187"/>
    </row>
    <row r="88" spans="1:7">
      <c r="A88" s="135" t="s">
        <v>77</v>
      </c>
      <c r="B88" s="140">
        <f>Transmission_Revenues!O169</f>
        <v>378887.03999999992</v>
      </c>
      <c r="C88" s="140">
        <v>369815.03999999998</v>
      </c>
      <c r="D88" s="127">
        <f t="shared" si="16"/>
        <v>9071.9999999999418</v>
      </c>
      <c r="E88" s="313">
        <f t="shared" si="17"/>
        <v>2.4531181857828016E-2</v>
      </c>
      <c r="F88" s="130"/>
      <c r="G88" s="187"/>
    </row>
    <row r="89" spans="1:7">
      <c r="A89" s="188" t="s">
        <v>124</v>
      </c>
      <c r="B89" s="140">
        <f>Transmission_Revenues!O170</f>
        <v>86400</v>
      </c>
      <c r="C89" s="140">
        <v>86400</v>
      </c>
      <c r="D89" s="127">
        <f t="shared" si="16"/>
        <v>0</v>
      </c>
      <c r="E89" s="313">
        <f t="shared" si="17"/>
        <v>0</v>
      </c>
      <c r="F89" s="130"/>
    </row>
    <row r="90" spans="1:7">
      <c r="A90" s="135" t="s">
        <v>58</v>
      </c>
      <c r="B90" s="157">
        <f>Transmission_Revenues!O171+Transmission_Revenues!O172</f>
        <v>3665636.9700000007</v>
      </c>
      <c r="C90" s="157">
        <v>3702368.0900000003</v>
      </c>
      <c r="D90" s="127">
        <f t="shared" si="16"/>
        <v>-36731.119999999646</v>
      </c>
      <c r="E90" s="313">
        <f t="shared" si="17"/>
        <v>-9.9209800611693485E-3</v>
      </c>
      <c r="F90" s="130"/>
    </row>
    <row r="91" spans="1:7">
      <c r="A91" s="135" t="s">
        <v>81</v>
      </c>
      <c r="B91" s="140">
        <f>SUM(B68:B90)</f>
        <v>51165331.235007398</v>
      </c>
      <c r="C91" s="140">
        <v>52554698.572007515</v>
      </c>
      <c r="D91" s="295">
        <f>SUM(D68:D90)</f>
        <v>-1389367.3370001058</v>
      </c>
      <c r="E91" s="313">
        <f t="shared" ref="E91" si="22">D91/C91</f>
        <v>-2.6436596056135155E-2</v>
      </c>
      <c r="F91" s="130"/>
    </row>
    <row r="92" spans="1:7">
      <c r="A92" s="136"/>
      <c r="B92" s="142"/>
      <c r="C92" s="142"/>
      <c r="D92" s="129"/>
      <c r="E92" s="379"/>
      <c r="F92" s="130"/>
    </row>
    <row r="93" spans="1:7">
      <c r="A93" s="135"/>
      <c r="B93" s="140"/>
      <c r="C93" s="140"/>
      <c r="D93" s="127"/>
      <c r="E93" s="313"/>
      <c r="F93" s="130"/>
    </row>
    <row r="94" spans="1:7">
      <c r="A94" s="135" t="s">
        <v>134</v>
      </c>
      <c r="B94" s="141">
        <f>Transmission_Revenues!O176</f>
        <v>-6797123.0000000028</v>
      </c>
      <c r="C94" s="141">
        <v>-6797123.0000000028</v>
      </c>
      <c r="D94" s="127">
        <f>B94-C94</f>
        <v>0</v>
      </c>
      <c r="E94" s="313">
        <f>D94/C94</f>
        <v>0</v>
      </c>
      <c r="F94" s="488" t="s">
        <v>454</v>
      </c>
    </row>
    <row r="95" spans="1:7">
      <c r="A95" s="135"/>
      <c r="B95" s="141"/>
      <c r="C95" s="141"/>
      <c r="D95" s="128"/>
      <c r="E95" s="166"/>
      <c r="F95" s="130"/>
    </row>
    <row r="96" spans="1:7" ht="10.8" thickBot="1">
      <c r="A96" s="136" t="s">
        <v>181</v>
      </c>
      <c r="B96" s="162">
        <f>B91+B94</f>
        <v>44368208.235007398</v>
      </c>
      <c r="C96" s="162">
        <v>44534791.525487833</v>
      </c>
      <c r="D96" s="165">
        <f>B96-C96</f>
        <v>-166583.29048043489</v>
      </c>
      <c r="E96" s="168">
        <f>D96/C96</f>
        <v>-3.7405202713275787E-3</v>
      </c>
      <c r="F96" s="130"/>
    </row>
    <row r="97" spans="1:6" ht="10.8" thickTop="1">
      <c r="A97" s="137" t="s">
        <v>135</v>
      </c>
      <c r="B97" s="143">
        <f>B68+B72+B76+B70+B77+B78+B79+B80+B81+B84+B94</f>
        <v>31739802.81248739</v>
      </c>
      <c r="C97" s="143">
        <v>36119857.397107683</v>
      </c>
      <c r="D97" s="182">
        <f>B97-C97</f>
        <v>-4380054.5846202932</v>
      </c>
      <c r="E97" s="183">
        <f>D97/C97</f>
        <v>-0.1212644484297169</v>
      </c>
      <c r="F97" s="131"/>
    </row>
    <row r="98" spans="1:6" ht="40.799999999999997">
      <c r="A98" s="164" t="s">
        <v>217</v>
      </c>
      <c r="B98" s="126" t="str">
        <f>B66</f>
        <v xml:space="preserve">2015-2020 Forecast Updated October 2015 </v>
      </c>
      <c r="C98" s="126" t="s">
        <v>378</v>
      </c>
      <c r="D98" s="125" t="s">
        <v>92</v>
      </c>
      <c r="E98" s="125" t="s">
        <v>93</v>
      </c>
      <c r="F98" s="125"/>
    </row>
    <row r="99" spans="1:6">
      <c r="A99" s="134"/>
      <c r="B99" s="139"/>
      <c r="C99" s="186"/>
      <c r="D99" s="132"/>
      <c r="E99" s="133"/>
      <c r="F99" s="133"/>
    </row>
    <row r="100" spans="1:6">
      <c r="A100" s="135" t="s">
        <v>79</v>
      </c>
      <c r="B100" s="140">
        <f>Transmission_Revenues!O182+Transmission_Revenues!O183</f>
        <v>8012914.657399999</v>
      </c>
      <c r="C100" s="186">
        <v>8035115.8118799999</v>
      </c>
      <c r="D100" s="127">
        <f t="shared" ref="D100" si="23">B100-C100</f>
        <v>-22201.154480000958</v>
      </c>
      <c r="E100" s="313">
        <f t="shared" ref="E100:E123" si="24">D100/C100</f>
        <v>-2.7630161157324363E-3</v>
      </c>
      <c r="F100" s="130"/>
    </row>
    <row r="101" spans="1:6">
      <c r="A101" s="135" t="s">
        <v>75</v>
      </c>
      <c r="B101" s="140">
        <f>Transmission_Revenues!O184</f>
        <v>349965.69999999995</v>
      </c>
      <c r="C101" s="186">
        <v>350935.33999999997</v>
      </c>
      <c r="D101" s="127">
        <f t="shared" ref="D101:D122" si="25">B101-C101</f>
        <v>-969.64000000001397</v>
      </c>
      <c r="E101" s="313">
        <f t="shared" ref="E101:E122" si="26">D101/C101</f>
        <v>-2.7630161157323569E-3</v>
      </c>
      <c r="F101" s="130"/>
    </row>
    <row r="102" spans="1:6">
      <c r="A102" s="135" t="s">
        <v>125</v>
      </c>
      <c r="B102" s="140">
        <f>Transmission_Revenues!O185+Transmission_Revenues!O186</f>
        <v>2889337.9322600001</v>
      </c>
      <c r="C102" s="186">
        <v>2892602.7136399997</v>
      </c>
      <c r="D102" s="127">
        <f t="shared" si="25"/>
        <v>-3264.7813799995929</v>
      </c>
      <c r="E102" s="313">
        <f t="shared" si="26"/>
        <v>-1.1286656700571405E-3</v>
      </c>
      <c r="F102" s="130"/>
    </row>
    <row r="103" spans="1:6">
      <c r="A103" s="135" t="s">
        <v>126</v>
      </c>
      <c r="B103" s="140">
        <f>Transmission_Revenues!O187</f>
        <v>181717.09920000003</v>
      </c>
      <c r="C103" s="186">
        <v>181922.42880000002</v>
      </c>
      <c r="D103" s="127">
        <f t="shared" si="25"/>
        <v>-205.3295999999973</v>
      </c>
      <c r="E103" s="313">
        <f t="shared" si="26"/>
        <v>-1.128665670057266E-3</v>
      </c>
      <c r="F103" s="130"/>
    </row>
    <row r="104" spans="1:6">
      <c r="A104" s="135" t="s">
        <v>80</v>
      </c>
      <c r="B104" s="140">
        <f>Transmission_Revenues!O188+Transmission_Revenues!O189</f>
        <v>8315883.849169638</v>
      </c>
      <c r="C104" s="186">
        <v>8971720.4849108495</v>
      </c>
      <c r="D104" s="127">
        <f t="shared" si="25"/>
        <v>-655836.63574121147</v>
      </c>
      <c r="E104" s="313">
        <f t="shared" si="26"/>
        <v>-7.3100431165263657E-2</v>
      </c>
      <c r="F104" s="130"/>
    </row>
    <row r="105" spans="1:6">
      <c r="A105" s="135" t="s">
        <v>76</v>
      </c>
      <c r="B105" s="140">
        <f>Transmission_Revenues!O190</f>
        <v>103770.84055017828</v>
      </c>
      <c r="C105" s="186">
        <v>111954.78349465104</v>
      </c>
      <c r="D105" s="127">
        <f t="shared" si="25"/>
        <v>-8183.9429444727575</v>
      </c>
      <c r="E105" s="313">
        <f t="shared" si="26"/>
        <v>-7.3100431165263866E-2</v>
      </c>
      <c r="F105" s="130"/>
    </row>
    <row r="106" spans="1:6">
      <c r="A106" s="135" t="s">
        <v>57</v>
      </c>
      <c r="B106" s="140">
        <f>Transmission_Revenues!O191</f>
        <v>337478.33909526229</v>
      </c>
      <c r="C106" s="186">
        <v>364093.74914212927</v>
      </c>
      <c r="D106" s="127">
        <f t="shared" si="25"/>
        <v>-26615.410046866979</v>
      </c>
      <c r="E106" s="313">
        <f t="shared" si="26"/>
        <v>-7.3100431165263616E-2</v>
      </c>
      <c r="F106" s="130"/>
    </row>
    <row r="107" spans="1:6">
      <c r="A107" s="188" t="s">
        <v>275</v>
      </c>
      <c r="B107" s="140">
        <f>Transmission_Revenues!O192</f>
        <v>247682.59000000003</v>
      </c>
      <c r="C107" s="186">
        <v>247682.59000000003</v>
      </c>
      <c r="D107" s="127">
        <f t="shared" si="25"/>
        <v>0</v>
      </c>
      <c r="E107" s="313">
        <f t="shared" si="26"/>
        <v>0</v>
      </c>
      <c r="F107" s="130"/>
    </row>
    <row r="108" spans="1:6">
      <c r="A108" s="135" t="s">
        <v>129</v>
      </c>
      <c r="B108" s="140">
        <f>Transmission_Revenues!O193+Transmission_Revenues!O194</f>
        <v>13053820.30645914</v>
      </c>
      <c r="C108" s="186">
        <v>13814959.032078998</v>
      </c>
      <c r="D108" s="127">
        <f t="shared" si="25"/>
        <v>-761138.72561985813</v>
      </c>
      <c r="E108" s="313">
        <f t="shared" si="26"/>
        <v>-5.5095257528629468E-2</v>
      </c>
      <c r="F108" s="130"/>
    </row>
    <row r="109" spans="1:6">
      <c r="A109" s="135" t="s">
        <v>184</v>
      </c>
      <c r="B109" s="140">
        <f>Transmission_Revenues!O195+Transmission_Revenues!O196</f>
        <v>2570467.9942055549</v>
      </c>
      <c r="C109" s="186">
        <v>2682078.0875095204</v>
      </c>
      <c r="D109" s="127">
        <f t="shared" si="25"/>
        <v>-111610.0933039654</v>
      </c>
      <c r="E109" s="313">
        <f t="shared" si="26"/>
        <v>-4.1613290017071224E-2</v>
      </c>
      <c r="F109" s="130"/>
    </row>
    <row r="110" spans="1:6">
      <c r="A110" s="135" t="s">
        <v>202</v>
      </c>
      <c r="B110" s="140">
        <f>Transmission_Revenues!O197+Transmission_Revenues!O198</f>
        <v>20832.611683848798</v>
      </c>
      <c r="C110" s="186">
        <v>16376.8676806319</v>
      </c>
      <c r="D110" s="127">
        <f t="shared" si="25"/>
        <v>4455.7440032168979</v>
      </c>
      <c r="E110" s="313">
        <f t="shared" si="26"/>
        <v>0.27207547194671927</v>
      </c>
      <c r="F110" s="130" t="s">
        <v>460</v>
      </c>
    </row>
    <row r="111" spans="1:6">
      <c r="A111" s="135" t="s">
        <v>272</v>
      </c>
      <c r="B111" s="140">
        <f>Transmission_Revenues!O199+Transmission_Revenues!O200</f>
        <v>14424.66</v>
      </c>
      <c r="C111" s="186">
        <v>54464.711365000003</v>
      </c>
      <c r="D111" s="127">
        <f>B111-C111</f>
        <v>-40040.051365000007</v>
      </c>
      <c r="E111" s="313">
        <f>D111/C111</f>
        <v>-0.73515585342347856</v>
      </c>
      <c r="F111" s="130" t="s">
        <v>461</v>
      </c>
    </row>
    <row r="112" spans="1:6">
      <c r="A112" s="135" t="s">
        <v>301</v>
      </c>
      <c r="B112" s="140">
        <f>Transmission_Revenues!O201+Transmission_Revenues!O202</f>
        <v>1099808.6889329599</v>
      </c>
      <c r="C112" s="186">
        <v>69833.222939999992</v>
      </c>
      <c r="D112" s="127">
        <f t="shared" ref="D112:D118" si="27">B112-C112</f>
        <v>1029975.4659929599</v>
      </c>
      <c r="E112" s="313">
        <f t="shared" ref="E112:E118" si="28">D112/C112</f>
        <v>14.749075334499519</v>
      </c>
      <c r="F112" s="130" t="s">
        <v>458</v>
      </c>
    </row>
    <row r="113" spans="1:7">
      <c r="A113" s="135" t="s">
        <v>321</v>
      </c>
      <c r="B113" s="140">
        <f>Transmission_Revenues!O203+Transmission_Revenues!O204+Transmission_Revenues!O205</f>
        <v>672898.3</v>
      </c>
      <c r="C113" s="186">
        <v>1877258.9099399999</v>
      </c>
      <c r="D113" s="127">
        <f t="shared" si="27"/>
        <v>-1204360.6099399999</v>
      </c>
      <c r="E113" s="313">
        <f t="shared" si="28"/>
        <v>-0.64155274670050344</v>
      </c>
      <c r="F113" s="130" t="s">
        <v>452</v>
      </c>
    </row>
    <row r="114" spans="1:7">
      <c r="A114" s="135" t="s">
        <v>13</v>
      </c>
      <c r="B114" s="140">
        <f>Transmission_Revenues!O206</f>
        <v>0</v>
      </c>
      <c r="C114" s="186">
        <v>156095.51999999996</v>
      </c>
      <c r="D114" s="127"/>
      <c r="E114" s="313">
        <f t="shared" si="28"/>
        <v>0</v>
      </c>
      <c r="F114" s="130"/>
    </row>
    <row r="115" spans="1:7">
      <c r="A115" s="135" t="s">
        <v>377</v>
      </c>
      <c r="B115" s="140">
        <f>Transmission_Revenues!O207+Transmission_Revenues!O208+Transmission_Revenues!O209</f>
        <v>368935.65779999999</v>
      </c>
      <c r="C115" s="186"/>
      <c r="D115" s="127">
        <f t="shared" si="27"/>
        <v>368935.65779999999</v>
      </c>
      <c r="E115" s="313" t="e">
        <f t="shared" si="28"/>
        <v>#DIV/0!</v>
      </c>
      <c r="F115" s="130" t="s">
        <v>456</v>
      </c>
      <c r="G115" s="187"/>
    </row>
    <row r="116" spans="1:7">
      <c r="A116" s="135" t="s">
        <v>325</v>
      </c>
      <c r="B116" s="140">
        <f>Transmission_Revenues!O210+Transmission_Revenues!O211+Transmission_Revenues!O212</f>
        <v>1640182.222357685</v>
      </c>
      <c r="C116" s="186">
        <v>1555672.33442</v>
      </c>
      <c r="D116" s="127">
        <f t="shared" si="27"/>
        <v>84509.887937685009</v>
      </c>
      <c r="E116" s="313">
        <f t="shared" si="28"/>
        <v>5.4323706906565745E-2</v>
      </c>
      <c r="F116" s="130"/>
      <c r="G116" s="187"/>
    </row>
    <row r="117" spans="1:7">
      <c r="A117" s="135" t="s">
        <v>436</v>
      </c>
      <c r="B117" s="140">
        <f>Transmission_Revenues!O213+Transmission_Revenues!O214+Transmission_Revenues!O215</f>
        <v>233384.98</v>
      </c>
      <c r="C117" s="186"/>
      <c r="D117" s="127">
        <f t="shared" si="27"/>
        <v>233384.98</v>
      </c>
      <c r="E117" s="313" t="e">
        <f t="shared" si="28"/>
        <v>#DIV/0!</v>
      </c>
      <c r="F117" s="130" t="s">
        <v>455</v>
      </c>
      <c r="G117" s="187"/>
    </row>
    <row r="118" spans="1:7">
      <c r="A118" s="135" t="s">
        <v>448</v>
      </c>
      <c r="B118" s="140">
        <f>Transmission_Revenues!O216+Transmission_Revenues!O217</f>
        <v>444572.0921596</v>
      </c>
      <c r="C118" s="186"/>
      <c r="D118" s="127">
        <f t="shared" si="27"/>
        <v>444572.0921596</v>
      </c>
      <c r="E118" s="313" t="e">
        <f t="shared" si="28"/>
        <v>#DIV/0!</v>
      </c>
      <c r="F118" s="130" t="s">
        <v>455</v>
      </c>
      <c r="G118" s="187"/>
    </row>
    <row r="119" spans="1:7">
      <c r="A119" s="135" t="s">
        <v>14</v>
      </c>
      <c r="B119" s="140">
        <f>Transmission_Revenues!O218+Transmission_Revenues!O219</f>
        <v>5713242.4012800008</v>
      </c>
      <c r="C119" s="186">
        <v>5520913.6012800001</v>
      </c>
      <c r="D119" s="127">
        <f t="shared" si="25"/>
        <v>192328.80000000075</v>
      </c>
      <c r="E119" s="313">
        <f t="shared" si="26"/>
        <v>3.4836408226966299E-2</v>
      </c>
      <c r="F119" s="130"/>
      <c r="G119" s="187"/>
    </row>
    <row r="120" spans="1:7">
      <c r="A120" s="135" t="s">
        <v>77</v>
      </c>
      <c r="B120" s="140">
        <f>Transmission_Revenues!O220</f>
        <v>345623.03999999986</v>
      </c>
      <c r="C120" s="186">
        <v>333527.03999999986</v>
      </c>
      <c r="D120" s="127">
        <f t="shared" si="25"/>
        <v>12096</v>
      </c>
      <c r="E120" s="313">
        <f t="shared" si="26"/>
        <v>3.6266924564796924E-2</v>
      </c>
      <c r="F120" s="130"/>
      <c r="G120" s="187"/>
    </row>
    <row r="121" spans="1:7">
      <c r="A121" s="135" t="s">
        <v>124</v>
      </c>
      <c r="B121" s="140">
        <f>Transmission_Revenues!O221</f>
        <v>86400</v>
      </c>
      <c r="C121" s="186">
        <v>86400</v>
      </c>
      <c r="D121" s="127">
        <f t="shared" si="25"/>
        <v>0</v>
      </c>
      <c r="E121" s="313">
        <f t="shared" si="26"/>
        <v>0</v>
      </c>
      <c r="F121" s="130"/>
    </row>
    <row r="122" spans="1:7">
      <c r="A122" s="135" t="s">
        <v>58</v>
      </c>
      <c r="B122" s="157">
        <f>Transmission_Revenues!O222+Transmission_Revenues!O223</f>
        <v>3665636.9700000007</v>
      </c>
      <c r="C122" s="388">
        <v>3702368.0900000003</v>
      </c>
      <c r="D122" s="127">
        <f t="shared" si="25"/>
        <v>-36731.119999999646</v>
      </c>
      <c r="E122" s="313">
        <f t="shared" si="26"/>
        <v>-9.9209800611693485E-3</v>
      </c>
      <c r="F122" s="130"/>
    </row>
    <row r="123" spans="1:7">
      <c r="A123" s="135" t="s">
        <v>81</v>
      </c>
      <c r="B123" s="140">
        <f>SUM(B100:B122)</f>
        <v>50368980.932553843</v>
      </c>
      <c r="C123" s="140">
        <v>51025975.319081776</v>
      </c>
      <c r="D123" s="295">
        <f>SUM(D100:D122)</f>
        <v>-500898.86652791221</v>
      </c>
      <c r="E123" s="313">
        <f t="shared" si="24"/>
        <v>-9.8165466391505717E-3</v>
      </c>
      <c r="F123" s="130"/>
    </row>
    <row r="124" spans="1:7">
      <c r="A124" s="136"/>
      <c r="B124" s="142"/>
      <c r="C124" s="186"/>
      <c r="D124" s="129"/>
      <c r="E124" s="379"/>
      <c r="F124" s="130"/>
    </row>
    <row r="125" spans="1:7">
      <c r="A125" s="135"/>
      <c r="B125" s="140"/>
      <c r="C125" s="186"/>
      <c r="D125" s="127"/>
      <c r="E125" s="313"/>
      <c r="F125" s="130"/>
    </row>
    <row r="126" spans="1:7">
      <c r="A126" s="135" t="s">
        <v>134</v>
      </c>
      <c r="B126" s="141">
        <f>Transmission_Revenues!O227</f>
        <v>-6797123.0000000028</v>
      </c>
      <c r="C126" s="186">
        <v>-6797123.0000000028</v>
      </c>
      <c r="D126" s="127">
        <f>B126-C126</f>
        <v>0</v>
      </c>
      <c r="E126" s="313">
        <f>D126/C126</f>
        <v>0</v>
      </c>
      <c r="F126" s="130"/>
    </row>
    <row r="127" spans="1:7">
      <c r="A127" s="135"/>
      <c r="B127" s="141"/>
      <c r="C127" s="186"/>
      <c r="D127" s="128"/>
      <c r="E127" s="166"/>
      <c r="F127" s="130"/>
    </row>
    <row r="128" spans="1:7" ht="10.8" thickBot="1">
      <c r="A128" s="136" t="s">
        <v>245</v>
      </c>
      <c r="B128" s="162">
        <f>B123+B126</f>
        <v>43571857.932553843</v>
      </c>
      <c r="C128" s="162">
        <v>43560415.529170178</v>
      </c>
      <c r="D128" s="165">
        <f>B128-C128</f>
        <v>11442.403383664787</v>
      </c>
      <c r="E128" s="168">
        <f>D128/C128</f>
        <v>2.6267893096663405E-4</v>
      </c>
      <c r="F128" s="130"/>
    </row>
    <row r="129" spans="1:6" ht="10.8" thickTop="1">
      <c r="A129" s="137" t="s">
        <v>135</v>
      </c>
      <c r="B129" s="143">
        <f>B100+B104+B108+B102+B109+B110+B111+B112+B113+B116+B126</f>
        <v>31493448.222468812</v>
      </c>
      <c r="C129" s="143">
        <v>36292494.873768434</v>
      </c>
      <c r="D129" s="182">
        <f>B129-C129</f>
        <v>-4799046.6512996219</v>
      </c>
      <c r="E129" s="183">
        <f>D129/C129</f>
        <v>-0.13223248134336135</v>
      </c>
      <c r="F129" s="131"/>
    </row>
    <row r="130" spans="1:6" ht="40.799999999999997">
      <c r="A130" s="164" t="s">
        <v>218</v>
      </c>
      <c r="B130" s="126" t="str">
        <f>B98</f>
        <v xml:space="preserve">2015-2020 Forecast Updated October 2015 </v>
      </c>
      <c r="C130" s="125" t="s">
        <v>378</v>
      </c>
      <c r="D130" s="125" t="s">
        <v>92</v>
      </c>
      <c r="E130" s="125" t="s">
        <v>93</v>
      </c>
      <c r="F130" s="125"/>
    </row>
    <row r="131" spans="1:6">
      <c r="A131" s="134"/>
      <c r="B131" s="139"/>
      <c r="C131" s="186"/>
      <c r="D131" s="132"/>
      <c r="E131" s="133"/>
      <c r="F131" s="133"/>
    </row>
    <row r="132" spans="1:6">
      <c r="A132" s="135" t="s">
        <v>79</v>
      </c>
      <c r="B132" s="140">
        <f>Transmission_Revenues!O234+Transmission_Revenues!O235</f>
        <v>8080987.833420001</v>
      </c>
      <c r="C132" s="186">
        <v>8103512.7413799996</v>
      </c>
      <c r="D132" s="127">
        <f t="shared" ref="D132" si="29">B132-C132</f>
        <v>-22524.907959998585</v>
      </c>
      <c r="E132" s="313">
        <f t="shared" ref="E132" si="30">D132/C132</f>
        <v>-2.77964737995373E-3</v>
      </c>
      <c r="F132" s="130"/>
    </row>
    <row r="133" spans="1:6">
      <c r="A133" s="135" t="s">
        <v>75</v>
      </c>
      <c r="B133" s="140">
        <f>Transmission_Revenues!O236</f>
        <v>352938.81</v>
      </c>
      <c r="C133" s="186">
        <v>353922.59</v>
      </c>
      <c r="D133" s="127">
        <f t="shared" ref="D133:D136" si="31">B133-C133</f>
        <v>-983.78000000002794</v>
      </c>
      <c r="E133" s="313">
        <f t="shared" ref="E133:E136" si="32">D133/C133</f>
        <v>-2.7796473799539833E-3</v>
      </c>
      <c r="F133" s="130"/>
    </row>
    <row r="134" spans="1:6">
      <c r="A134" s="135" t="s">
        <v>125</v>
      </c>
      <c r="B134" s="140">
        <f>Transmission_Revenues!O237+Transmission_Revenues!O238</f>
        <v>2913822.9912400004</v>
      </c>
      <c r="C134" s="186">
        <v>2915454.5805600006</v>
      </c>
      <c r="D134" s="127">
        <f t="shared" si="31"/>
        <v>-1631.5893200002611</v>
      </c>
      <c r="E134" s="313">
        <f t="shared" si="32"/>
        <v>-5.5963462126268674E-4</v>
      </c>
      <c r="F134" s="130"/>
    </row>
    <row r="135" spans="1:6">
      <c r="A135" s="135" t="s">
        <v>126</v>
      </c>
      <c r="B135" s="140">
        <f>Transmission_Revenues!O239</f>
        <v>183257.02080000003</v>
      </c>
      <c r="C135" s="186">
        <v>183359.63520000002</v>
      </c>
      <c r="D135" s="127">
        <f t="shared" si="31"/>
        <v>-102.61439999999129</v>
      </c>
      <c r="E135" s="313">
        <f t="shared" si="32"/>
        <v>-5.5963462126254969E-4</v>
      </c>
      <c r="F135" s="130"/>
    </row>
    <row r="136" spans="1:6">
      <c r="A136" s="135" t="s">
        <v>80</v>
      </c>
      <c r="B136" s="140">
        <f>Transmission_Revenues!O240+Transmission_Revenues!O241</f>
        <v>8509256.1039429456</v>
      </c>
      <c r="C136" s="186">
        <v>9207195.0783698428</v>
      </c>
      <c r="D136" s="127">
        <f t="shared" si="31"/>
        <v>-697938.97442689724</v>
      </c>
      <c r="E136" s="313">
        <f t="shared" si="32"/>
        <v>-7.5803647960771686E-2</v>
      </c>
      <c r="F136" s="130"/>
    </row>
    <row r="137" spans="1:6">
      <c r="A137" s="135" t="s">
        <v>76</v>
      </c>
      <c r="B137" s="140">
        <f>Transmission_Revenues!O242</f>
        <v>106183.86143657666</v>
      </c>
      <c r="C137" s="186">
        <v>114893.18390219055</v>
      </c>
      <c r="D137" s="127">
        <f t="shared" ref="D137:D141" si="33">B137-C137</f>
        <v>-8709.3224656138918</v>
      </c>
      <c r="E137" s="313">
        <f t="shared" ref="E137:E141" si="34">D137/C137</f>
        <v>-7.5803647960772019E-2</v>
      </c>
      <c r="F137" s="130"/>
    </row>
    <row r="138" spans="1:6">
      <c r="A138" s="135" t="s">
        <v>57</v>
      </c>
      <c r="B138" s="140">
        <f>Transmission_Revenues!O243</f>
        <v>345325.84497096279</v>
      </c>
      <c r="C138" s="186">
        <v>373649.86802750896</v>
      </c>
      <c r="D138" s="127">
        <f t="shared" si="33"/>
        <v>-28324.023056546168</v>
      </c>
      <c r="E138" s="313">
        <f t="shared" si="34"/>
        <v>-7.5803647960771894E-2</v>
      </c>
      <c r="F138" s="130"/>
    </row>
    <row r="139" spans="1:6">
      <c r="A139" s="188" t="s">
        <v>275</v>
      </c>
      <c r="B139" s="140">
        <f>Transmission_Revenues!O244</f>
        <v>245082.54999999993</v>
      </c>
      <c r="C139" s="186">
        <v>245082.54999999993</v>
      </c>
      <c r="D139" s="127">
        <f t="shared" si="33"/>
        <v>0</v>
      </c>
      <c r="E139" s="313">
        <f t="shared" si="34"/>
        <v>0</v>
      </c>
      <c r="F139" s="130"/>
    </row>
    <row r="140" spans="1:6">
      <c r="A140" s="135" t="s">
        <v>129</v>
      </c>
      <c r="B140" s="140">
        <f>Transmission_Revenues!O245+Transmission_Revenues!O246</f>
        <v>13101692.567554226</v>
      </c>
      <c r="C140" s="186">
        <v>13862500.531712601</v>
      </c>
      <c r="D140" s="127">
        <f t="shared" si="33"/>
        <v>-760807.96415837482</v>
      </c>
      <c r="E140" s="313">
        <f t="shared" si="34"/>
        <v>-5.4882447969463351E-2</v>
      </c>
      <c r="F140" s="130"/>
    </row>
    <row r="141" spans="1:6">
      <c r="A141" s="135" t="s">
        <v>184</v>
      </c>
      <c r="B141" s="140">
        <f>Transmission_Revenues!O247+Transmission_Revenues!O248</f>
        <v>2596296.8240678697</v>
      </c>
      <c r="C141" s="186">
        <v>2695757.7111888709</v>
      </c>
      <c r="D141" s="127">
        <f t="shared" si="33"/>
        <v>-99460.887121001258</v>
      </c>
      <c r="E141" s="313">
        <f t="shared" si="34"/>
        <v>-3.6895336219640251E-2</v>
      </c>
      <c r="F141" s="130"/>
    </row>
    <row r="142" spans="1:6">
      <c r="A142" s="135" t="s">
        <v>202</v>
      </c>
      <c r="B142" s="140">
        <f>Transmission_Revenues!O249+Transmission_Revenues!O250</f>
        <v>0</v>
      </c>
      <c r="C142" s="186">
        <v>0</v>
      </c>
      <c r="D142" s="127">
        <f t="shared" ref="D142:D155" si="35">B142-C142</f>
        <v>0</v>
      </c>
      <c r="E142" s="313"/>
      <c r="F142" s="130" t="s">
        <v>460</v>
      </c>
    </row>
    <row r="143" spans="1:6">
      <c r="A143" s="135" t="s">
        <v>272</v>
      </c>
      <c r="B143" s="140">
        <f>Transmission_Revenues!O251+Transmission_Revenues!O252</f>
        <v>0</v>
      </c>
      <c r="C143" s="186">
        <v>0</v>
      </c>
      <c r="D143" s="127">
        <f t="shared" si="35"/>
        <v>0</v>
      </c>
      <c r="E143" s="313"/>
      <c r="F143" s="130" t="s">
        <v>461</v>
      </c>
    </row>
    <row r="144" spans="1:6">
      <c r="A144" s="135" t="s">
        <v>301</v>
      </c>
      <c r="B144" s="140">
        <f>Transmission_Revenues!O253+Transmission_Revenues!O254</f>
        <v>1105208.0347052398</v>
      </c>
      <c r="C144" s="186">
        <v>0</v>
      </c>
      <c r="D144" s="127">
        <f t="shared" si="35"/>
        <v>1105208.0347052398</v>
      </c>
      <c r="E144" s="313"/>
      <c r="F144" s="130" t="s">
        <v>458</v>
      </c>
    </row>
    <row r="145" spans="1:7">
      <c r="A145" s="135" t="s">
        <v>321</v>
      </c>
      <c r="B145" s="140">
        <f>Transmission_Revenues!O255+Transmission_Revenues!O256+Transmission_Revenues!O257</f>
        <v>715486.8</v>
      </c>
      <c r="C145" s="186">
        <v>1916436.2865000002</v>
      </c>
      <c r="D145" s="127">
        <f t="shared" si="35"/>
        <v>-1200949.4865000001</v>
      </c>
      <c r="E145" s="313">
        <f t="shared" ref="E145:E155" si="36">D145/C145</f>
        <v>-0.62665766399847389</v>
      </c>
      <c r="F145" s="130" t="s">
        <v>452</v>
      </c>
    </row>
    <row r="146" spans="1:7">
      <c r="A146" s="135" t="s">
        <v>13</v>
      </c>
      <c r="B146" s="140">
        <f>Transmission_Revenues!O258</f>
        <v>0</v>
      </c>
      <c r="C146" s="186">
        <v>156095.51999999996</v>
      </c>
      <c r="D146" s="127">
        <f t="shared" si="35"/>
        <v>-156095.51999999996</v>
      </c>
      <c r="E146" s="313">
        <f t="shared" si="36"/>
        <v>-1</v>
      </c>
      <c r="F146" s="130"/>
    </row>
    <row r="147" spans="1:7">
      <c r="A147" s="135" t="s">
        <v>377</v>
      </c>
      <c r="B147" s="140">
        <f>Transmission_Revenues!O259+Transmission_Revenues!O260+Transmission_Revenues!O261</f>
        <v>457656.02100000001</v>
      </c>
      <c r="C147" s="186">
        <v>0</v>
      </c>
      <c r="D147" s="127">
        <f t="shared" ref="D147" si="37">B147-C147</f>
        <v>457656.02100000001</v>
      </c>
      <c r="E147" s="313" t="e">
        <f t="shared" ref="E147" si="38">D147/C147</f>
        <v>#DIV/0!</v>
      </c>
      <c r="F147" s="130" t="s">
        <v>456</v>
      </c>
    </row>
    <row r="148" spans="1:7">
      <c r="A148" s="135" t="s">
        <v>325</v>
      </c>
      <c r="B148" s="140">
        <f>Transmission_Revenues!O262+Transmission_Revenues!O263+Transmission_Revenues!O264</f>
        <v>1646856.9992961606</v>
      </c>
      <c r="C148" s="186">
        <v>1575262.6254400001</v>
      </c>
      <c r="D148" s="127">
        <f t="shared" si="35"/>
        <v>71594.373856160557</v>
      </c>
      <c r="E148" s="313">
        <f t="shared" si="36"/>
        <v>4.5449166824587689E-2</v>
      </c>
      <c r="F148" s="130"/>
      <c r="G148" s="187"/>
    </row>
    <row r="149" spans="1:7">
      <c r="A149" s="135" t="s">
        <v>436</v>
      </c>
      <c r="B149" s="140">
        <f>Transmission_Revenues!O265+Transmission_Revenues!O266+Transmission_Revenues!O267</f>
        <v>243606.22</v>
      </c>
      <c r="C149" s="186"/>
      <c r="D149" s="127">
        <f t="shared" si="35"/>
        <v>243606.22</v>
      </c>
      <c r="E149" s="313" t="e">
        <f t="shared" si="36"/>
        <v>#DIV/0!</v>
      </c>
      <c r="F149" s="130" t="s">
        <v>455</v>
      </c>
      <c r="G149" s="187"/>
    </row>
    <row r="150" spans="1:7">
      <c r="A150" s="135" t="s">
        <v>448</v>
      </c>
      <c r="B150" s="140">
        <f>Transmission_Revenues!O268+Transmission_Revenues!O269</f>
        <v>444572.0921596</v>
      </c>
      <c r="C150" s="186"/>
      <c r="D150" s="127">
        <f t="shared" si="35"/>
        <v>444572.0921596</v>
      </c>
      <c r="E150" s="313" t="e">
        <f t="shared" si="36"/>
        <v>#DIV/0!</v>
      </c>
      <c r="F150" s="130" t="s">
        <v>455</v>
      </c>
      <c r="G150" s="187"/>
    </row>
    <row r="151" spans="1:7">
      <c r="A151" s="135" t="s">
        <v>14</v>
      </c>
      <c r="B151" s="140">
        <f>Transmission_Revenues!O270+Transmission_Revenues!O271</f>
        <v>4831735.4012800008</v>
      </c>
      <c r="C151" s="186">
        <v>4559269.6012800001</v>
      </c>
      <c r="D151" s="127">
        <f t="shared" si="35"/>
        <v>272465.80000000075</v>
      </c>
      <c r="E151" s="313">
        <f t="shared" si="36"/>
        <v>5.9760844132469564E-2</v>
      </c>
      <c r="F151" s="130"/>
    </row>
    <row r="152" spans="1:7">
      <c r="A152" s="135" t="s">
        <v>77</v>
      </c>
      <c r="B152" s="140">
        <f>Transmission_Revenues!O272</f>
        <v>290183.03999999992</v>
      </c>
      <c r="C152" s="186">
        <v>273047.03999999992</v>
      </c>
      <c r="D152" s="127">
        <f t="shared" si="35"/>
        <v>17136</v>
      </c>
      <c r="E152" s="313">
        <f t="shared" si="36"/>
        <v>6.27584170112227E-2</v>
      </c>
      <c r="F152" s="130"/>
    </row>
    <row r="153" spans="1:7">
      <c r="A153" s="135" t="s">
        <v>124</v>
      </c>
      <c r="B153" s="140">
        <f>Transmission_Revenues!O273</f>
        <v>86400</v>
      </c>
      <c r="C153" s="186">
        <v>86400</v>
      </c>
      <c r="D153" s="127">
        <f t="shared" si="35"/>
        <v>0</v>
      </c>
      <c r="E153" s="313">
        <f t="shared" si="36"/>
        <v>0</v>
      </c>
      <c r="F153" s="130"/>
    </row>
    <row r="154" spans="1:7">
      <c r="A154" s="135" t="s">
        <v>58</v>
      </c>
      <c r="B154" s="157">
        <f>Transmission_Revenues!O274+Transmission_Revenues!O275</f>
        <v>3665636.9700000007</v>
      </c>
      <c r="C154" s="186">
        <v>3702368.0900000003</v>
      </c>
      <c r="D154" s="127">
        <f t="shared" si="35"/>
        <v>-36731.119999999646</v>
      </c>
      <c r="E154" s="313">
        <f t="shared" si="36"/>
        <v>-9.9209800611693485E-3</v>
      </c>
      <c r="F154" s="130"/>
    </row>
    <row r="155" spans="1:7">
      <c r="A155" s="135" t="s">
        <v>81</v>
      </c>
      <c r="B155" s="140">
        <f>SUM(B132:B154)</f>
        <v>49922185.985873565</v>
      </c>
      <c r="C155" s="140">
        <v>50324207.633561023</v>
      </c>
      <c r="D155" s="127">
        <f t="shared" si="35"/>
        <v>-402021.6476874575</v>
      </c>
      <c r="E155" s="313">
        <f t="shared" si="36"/>
        <v>-7.9886334349226953E-3</v>
      </c>
      <c r="F155" s="130"/>
    </row>
    <row r="156" spans="1:7">
      <c r="A156" s="136"/>
      <c r="B156" s="142"/>
      <c r="C156" s="186"/>
      <c r="D156" s="129"/>
      <c r="E156" s="379"/>
      <c r="F156" s="130"/>
    </row>
    <row r="157" spans="1:7">
      <c r="A157" s="135"/>
      <c r="B157" s="140"/>
      <c r="C157" s="186"/>
      <c r="D157" s="127"/>
      <c r="E157" s="313"/>
      <c r="F157" s="130"/>
    </row>
    <row r="158" spans="1:7">
      <c r="A158" s="135" t="s">
        <v>134</v>
      </c>
      <c r="B158" s="141">
        <f>Transmission_Revenues!O279</f>
        <v>-6797123.0000000028</v>
      </c>
      <c r="C158" s="186">
        <v>-6797123.0000000028</v>
      </c>
      <c r="D158" s="127"/>
      <c r="E158" s="313"/>
      <c r="F158" s="130"/>
    </row>
    <row r="159" spans="1:7">
      <c r="A159" s="135"/>
      <c r="B159" s="141"/>
      <c r="C159" s="186"/>
      <c r="D159" s="128"/>
      <c r="E159" s="166"/>
      <c r="F159" s="130"/>
    </row>
    <row r="160" spans="1:7" ht="10.8" thickBot="1">
      <c r="A160" s="136" t="s">
        <v>246</v>
      </c>
      <c r="B160" s="162">
        <f>B155+B158</f>
        <v>43125062.985873565</v>
      </c>
      <c r="C160" s="162">
        <v>43213850.430083618</v>
      </c>
      <c r="D160" s="165">
        <f>B160-C160</f>
        <v>-88787.44421005249</v>
      </c>
      <c r="E160" s="168">
        <f>D160/C160</f>
        <v>-2.0546061812682747E-3</v>
      </c>
      <c r="F160" s="130"/>
    </row>
    <row r="161" spans="1:6" ht="10.8" thickTop="1">
      <c r="A161" s="137" t="s">
        <v>135</v>
      </c>
      <c r="B161" s="143">
        <f>B132+B136+B140+B134+B141+B142+B143+B144+B148+B158</f>
        <v>31156998.354226436</v>
      </c>
      <c r="C161" s="143">
        <v>35635427.613509707</v>
      </c>
      <c r="D161" s="182">
        <f>B161-C161</f>
        <v>-4478429.2592832707</v>
      </c>
      <c r="E161" s="183">
        <f>D161/C161</f>
        <v>-0.12567350974021871</v>
      </c>
      <c r="F161" s="131"/>
    </row>
    <row r="162" spans="1:6" ht="40.799999999999997">
      <c r="A162" s="164" t="s">
        <v>327</v>
      </c>
      <c r="B162" s="126" t="str">
        <f>B130</f>
        <v xml:space="preserve">2015-2020 Forecast Updated October 2015 </v>
      </c>
      <c r="C162" s="125" t="s">
        <v>378</v>
      </c>
      <c r="D162" s="125" t="s">
        <v>92</v>
      </c>
      <c r="E162" s="125" t="s">
        <v>93</v>
      </c>
      <c r="F162" s="125"/>
    </row>
    <row r="163" spans="1:6">
      <c r="A163" s="134"/>
      <c r="B163" s="139"/>
      <c r="C163" s="186"/>
      <c r="D163" s="132"/>
      <c r="E163" s="133"/>
      <c r="F163" s="133"/>
    </row>
    <row r="164" spans="1:6">
      <c r="A164" s="135" t="s">
        <v>79</v>
      </c>
      <c r="B164" s="140">
        <f>Transmission_Revenues!O286+Transmission_Revenues!O287</f>
        <v>8147751.5708600003</v>
      </c>
      <c r="C164" s="186">
        <v>8103512.7413799996</v>
      </c>
      <c r="D164" s="127">
        <f>B164-C164</f>
        <v>44238.829480000772</v>
      </c>
      <c r="E164" s="313">
        <f t="shared" ref="E164:E187" si="39">D164/C164</f>
        <v>5.4592163783612506E-3</v>
      </c>
      <c r="F164" s="130"/>
    </row>
    <row r="165" spans="1:6">
      <c r="A165" s="135" t="s">
        <v>75</v>
      </c>
      <c r="B165" s="140">
        <f>Transmission_Revenues!O288</f>
        <v>355854.73000000004</v>
      </c>
      <c r="C165" s="186">
        <v>353922.59</v>
      </c>
      <c r="D165" s="127">
        <f t="shared" ref="D165:D186" si="40">B165-C165</f>
        <v>1932.140000000014</v>
      </c>
      <c r="E165" s="313">
        <f t="shared" ref="E165:E186" si="41">D165/C165</f>
        <v>5.4592163783611942E-3</v>
      </c>
      <c r="F165" s="130"/>
    </row>
    <row r="166" spans="1:6">
      <c r="A166" s="135" t="s">
        <v>125</v>
      </c>
      <c r="B166" s="140">
        <f>Transmission_Revenues!O289+Transmission_Revenues!O290</f>
        <v>2943204.4209200004</v>
      </c>
      <c r="C166" s="186">
        <v>2946469.2023000005</v>
      </c>
      <c r="D166" s="127">
        <f t="shared" ref="D166:D184" si="42">B166-C166</f>
        <v>-3264.7813800000586</v>
      </c>
      <c r="E166" s="313">
        <f t="shared" ref="E166:E184" si="43">D166/C166</f>
        <v>-1.1080317342029521E-3</v>
      </c>
      <c r="F166" s="130"/>
    </row>
    <row r="167" spans="1:6">
      <c r="A167" s="135" t="s">
        <v>126</v>
      </c>
      <c r="B167" s="140">
        <f>Transmission_Revenues!O291</f>
        <v>185104.88639999999</v>
      </c>
      <c r="C167" s="186">
        <v>185310.21600000001</v>
      </c>
      <c r="D167" s="127">
        <f t="shared" si="42"/>
        <v>-205.3296000000264</v>
      </c>
      <c r="E167" s="313">
        <f t="shared" si="43"/>
        <v>-1.1080317342030748E-3</v>
      </c>
      <c r="F167" s="130"/>
    </row>
    <row r="168" spans="1:6">
      <c r="A168" s="135" t="s">
        <v>80</v>
      </c>
      <c r="B168" s="140">
        <f>Transmission_Revenues!O292+Transmission_Revenues!O293</f>
        <v>8625525.3790117167</v>
      </c>
      <c r="C168" s="186">
        <v>9430731.1775445733</v>
      </c>
      <c r="D168" s="127">
        <f t="shared" si="42"/>
        <v>-805205.79853285663</v>
      </c>
      <c r="E168" s="313">
        <f t="shared" si="43"/>
        <v>-8.5381057245076039E-2</v>
      </c>
      <c r="F168" s="130"/>
    </row>
    <row r="169" spans="1:6">
      <c r="A169" s="135" t="s">
        <v>76</v>
      </c>
      <c r="B169" s="140">
        <f>Transmission_Revenues!O294</f>
        <v>107634.74274070302</v>
      </c>
      <c r="C169" s="186">
        <v>117682.60825267444</v>
      </c>
      <c r="D169" s="127">
        <f t="shared" si="42"/>
        <v>-10047.865511971424</v>
      </c>
      <c r="E169" s="313">
        <f t="shared" si="43"/>
        <v>-8.5381057245075775E-2</v>
      </c>
      <c r="F169" s="130"/>
    </row>
    <row r="170" spans="1:6">
      <c r="A170" s="135" t="s">
        <v>57</v>
      </c>
      <c r="B170" s="140">
        <f>Transmission_Revenues!O295</f>
        <v>350044.32895031699</v>
      </c>
      <c r="C170" s="186">
        <v>382721.49477507488</v>
      </c>
      <c r="D170" s="127">
        <f t="shared" si="42"/>
        <v>-32677.165824757889</v>
      </c>
      <c r="E170" s="313">
        <f t="shared" si="43"/>
        <v>-8.5381057167855781E-2</v>
      </c>
      <c r="F170" s="130"/>
    </row>
    <row r="171" spans="1:6">
      <c r="A171" s="188" t="s">
        <v>275</v>
      </c>
      <c r="B171" s="140">
        <f>Transmission_Revenues!O296</f>
        <v>242482.62000000011</v>
      </c>
      <c r="C171" s="186">
        <v>242482.62000000011</v>
      </c>
      <c r="D171" s="127">
        <f t="shared" si="42"/>
        <v>0</v>
      </c>
      <c r="E171" s="313">
        <f t="shared" si="43"/>
        <v>0</v>
      </c>
      <c r="F171" s="130"/>
    </row>
    <row r="172" spans="1:6">
      <c r="A172" s="135" t="s">
        <v>129</v>
      </c>
      <c r="B172" s="140">
        <f>Transmission_Revenues!O297+Transmission_Revenues!O298</f>
        <v>13149866.473360322</v>
      </c>
      <c r="C172" s="186">
        <v>13910388.415515</v>
      </c>
      <c r="D172" s="127">
        <f t="shared" si="42"/>
        <v>-760521.94215467758</v>
      </c>
      <c r="E172" s="313">
        <f t="shared" si="43"/>
        <v>-5.4672947975085068E-2</v>
      </c>
      <c r="F172" s="130"/>
    </row>
    <row r="173" spans="1:6">
      <c r="A173" s="135" t="s">
        <v>184</v>
      </c>
      <c r="B173" s="140">
        <f>Transmission_Revenues!O299+Transmission_Revenues!O300</f>
        <v>2620769.2570689172</v>
      </c>
      <c r="C173" s="186">
        <v>2709505.6485459991</v>
      </c>
      <c r="D173" s="127">
        <f t="shared" si="42"/>
        <v>-88736.391477081925</v>
      </c>
      <c r="E173" s="313">
        <f t="shared" si="43"/>
        <v>-3.2750030074563785E-2</v>
      </c>
      <c r="F173" s="130"/>
    </row>
    <row r="174" spans="1:6">
      <c r="A174" s="135" t="s">
        <v>202</v>
      </c>
      <c r="B174" s="140">
        <f>Transmission_Revenues!O301+Transmission_Revenues!O302</f>
        <v>0</v>
      </c>
      <c r="C174" s="186">
        <v>0</v>
      </c>
      <c r="D174" s="127">
        <f t="shared" si="42"/>
        <v>0</v>
      </c>
      <c r="E174" s="313"/>
      <c r="F174" s="130" t="s">
        <v>460</v>
      </c>
    </row>
    <row r="175" spans="1:6">
      <c r="A175" s="135" t="s">
        <v>272</v>
      </c>
      <c r="B175" s="140">
        <v>0</v>
      </c>
      <c r="C175" s="186">
        <v>0</v>
      </c>
      <c r="D175" s="127">
        <f t="shared" si="42"/>
        <v>0</v>
      </c>
      <c r="E175" s="313"/>
      <c r="F175" s="130" t="s">
        <v>461</v>
      </c>
    </row>
    <row r="176" spans="1:6">
      <c r="A176" s="135" t="s">
        <v>301</v>
      </c>
      <c r="B176" s="140">
        <f>Transmission_Revenues!O303+Transmission_Revenues!O304</f>
        <v>1105208.0347052398</v>
      </c>
      <c r="C176" s="186">
        <v>0</v>
      </c>
      <c r="D176" s="127">
        <f t="shared" si="42"/>
        <v>1105208.0347052398</v>
      </c>
      <c r="E176" s="313"/>
      <c r="F176" s="130" t="s">
        <v>458</v>
      </c>
    </row>
    <row r="177" spans="1:7">
      <c r="A177" s="135" t="s">
        <v>321</v>
      </c>
      <c r="B177" s="140">
        <f>Transmission_Revenues!O305+Transmission_Revenues!O306</f>
        <v>0</v>
      </c>
      <c r="C177" s="186">
        <v>475028.09490000003</v>
      </c>
      <c r="D177" s="127">
        <f t="shared" si="42"/>
        <v>-475028.09490000003</v>
      </c>
      <c r="E177" s="313">
        <f t="shared" si="43"/>
        <v>-1</v>
      </c>
      <c r="F177" s="130" t="s">
        <v>462</v>
      </c>
    </row>
    <row r="178" spans="1:7">
      <c r="A178" s="135" t="s">
        <v>13</v>
      </c>
      <c r="B178" s="140">
        <f>Transmission_Revenues!O308</f>
        <v>0</v>
      </c>
      <c r="C178" s="186">
        <v>156095.51999999996</v>
      </c>
      <c r="D178" s="127">
        <f t="shared" si="42"/>
        <v>-156095.51999999996</v>
      </c>
      <c r="E178" s="313">
        <f t="shared" si="43"/>
        <v>-1</v>
      </c>
      <c r="F178" s="130"/>
    </row>
    <row r="179" spans="1:7">
      <c r="A179" s="135" t="s">
        <v>377</v>
      </c>
      <c r="B179" s="140">
        <f>Transmission_Revenues!O309+Transmission_Revenues!O310+Transmission_Revenues!O311</f>
        <v>554454.57088000013</v>
      </c>
      <c r="C179" s="186">
        <v>0</v>
      </c>
      <c r="D179" s="127">
        <f t="shared" ref="D179:D182" si="44">B179-C179</f>
        <v>554454.57088000013</v>
      </c>
      <c r="E179" s="313" t="e">
        <f t="shared" ref="E179:E182" si="45">D179/C179</f>
        <v>#DIV/0!</v>
      </c>
      <c r="F179" s="130" t="s">
        <v>463</v>
      </c>
    </row>
    <row r="180" spans="1:7">
      <c r="A180" s="135" t="s">
        <v>325</v>
      </c>
      <c r="B180" s="140">
        <f>Transmission_Revenues!O312+Transmission_Revenues!O313+Transmission_Revenues!O314</f>
        <v>121573.88065537346</v>
      </c>
      <c r="C180" s="186">
        <v>122430.10312000001</v>
      </c>
      <c r="D180" s="127">
        <f t="shared" si="44"/>
        <v>-856.22246462655312</v>
      </c>
      <c r="E180" s="313">
        <f t="shared" si="45"/>
        <v>-6.9935615735561832E-3</v>
      </c>
      <c r="F180" s="130" t="s">
        <v>459</v>
      </c>
      <c r="G180" s="187"/>
    </row>
    <row r="181" spans="1:7">
      <c r="A181" s="135" t="s">
        <v>436</v>
      </c>
      <c r="B181" s="140">
        <f>Transmission_Revenues!O315+Transmission_Revenues!O316+Transmission_Revenues!O317</f>
        <v>253827.46000000002</v>
      </c>
      <c r="C181" s="186">
        <v>0</v>
      </c>
      <c r="D181" s="127">
        <f t="shared" si="44"/>
        <v>253827.46000000002</v>
      </c>
      <c r="E181" s="313" t="e">
        <f t="shared" si="45"/>
        <v>#DIV/0!</v>
      </c>
      <c r="F181" s="130" t="s">
        <v>455</v>
      </c>
      <c r="G181" s="187"/>
    </row>
    <row r="182" spans="1:7">
      <c r="A182" s="135" t="s">
        <v>448</v>
      </c>
      <c r="B182" s="140">
        <f>Transmission_Revenues!O318+Transmission_Revenues!O319</f>
        <v>444572.0921596</v>
      </c>
      <c r="C182" s="186">
        <v>0</v>
      </c>
      <c r="D182" s="127">
        <f t="shared" si="44"/>
        <v>444572.0921596</v>
      </c>
      <c r="E182" s="313" t="e">
        <f t="shared" si="45"/>
        <v>#DIV/0!</v>
      </c>
      <c r="F182" s="130" t="s">
        <v>455</v>
      </c>
      <c r="G182" s="187"/>
    </row>
    <row r="183" spans="1:7">
      <c r="A183" s="135" t="s">
        <v>14</v>
      </c>
      <c r="B183" s="140">
        <f>Transmission_Revenues!O320+Transmission_Revenues!O321</f>
        <v>4751598.4012800008</v>
      </c>
      <c r="C183" s="186">
        <v>4751598.4012800008</v>
      </c>
      <c r="D183" s="127">
        <f t="shared" si="42"/>
        <v>0</v>
      </c>
      <c r="E183" s="313">
        <f t="shared" si="43"/>
        <v>0</v>
      </c>
      <c r="F183" s="130"/>
    </row>
    <row r="184" spans="1:7">
      <c r="A184" s="135" t="s">
        <v>77</v>
      </c>
      <c r="B184" s="140">
        <f>Transmission_Revenues!O322</f>
        <v>285143.03999999992</v>
      </c>
      <c r="C184" s="186">
        <v>285143.03999999992</v>
      </c>
      <c r="D184" s="127">
        <f t="shared" si="42"/>
        <v>0</v>
      </c>
      <c r="E184" s="313">
        <f t="shared" si="43"/>
        <v>0</v>
      </c>
      <c r="F184" s="130"/>
    </row>
    <row r="185" spans="1:7">
      <c r="A185" s="135" t="s">
        <v>124</v>
      </c>
      <c r="B185" s="140">
        <f>Transmission_Revenues!O323</f>
        <v>86400</v>
      </c>
      <c r="C185" s="186">
        <v>86400</v>
      </c>
      <c r="D185" s="127">
        <f t="shared" si="40"/>
        <v>0</v>
      </c>
      <c r="E185" s="313">
        <f t="shared" si="41"/>
        <v>0</v>
      </c>
      <c r="F185" s="130"/>
    </row>
    <row r="186" spans="1:7">
      <c r="A186" s="135" t="s">
        <v>58</v>
      </c>
      <c r="B186" s="157">
        <f>Transmission_Revenues!O324+Transmission_Revenues!O325</f>
        <v>3665636.9700000007</v>
      </c>
      <c r="C186" s="388">
        <v>3665636.9700000007</v>
      </c>
      <c r="D186" s="127">
        <f t="shared" si="40"/>
        <v>0</v>
      </c>
      <c r="E186" s="313">
        <f t="shared" si="41"/>
        <v>0</v>
      </c>
      <c r="F186" s="130"/>
    </row>
    <row r="187" spans="1:7">
      <c r="A187" s="135" t="s">
        <v>81</v>
      </c>
      <c r="B187" s="140">
        <f>SUM(B164:B186)</f>
        <v>47996652.858992189</v>
      </c>
      <c r="C187" s="140">
        <v>47757365.163613327</v>
      </c>
      <c r="D187" s="295">
        <f>B187-C187</f>
        <v>239287.69537886232</v>
      </c>
      <c r="E187" s="313">
        <f t="shared" si="39"/>
        <v>5.0104877972032115E-3</v>
      </c>
      <c r="F187" s="130"/>
    </row>
    <row r="188" spans="1:7">
      <c r="A188" s="136"/>
      <c r="B188" s="142"/>
      <c r="C188" s="186"/>
      <c r="D188" s="129"/>
      <c r="E188" s="379"/>
      <c r="F188" s="130"/>
    </row>
    <row r="189" spans="1:7">
      <c r="A189" s="135" t="s">
        <v>134</v>
      </c>
      <c r="B189" s="141">
        <f>Transmission_Revenues!O329</f>
        <v>-6797123.0000000028</v>
      </c>
      <c r="C189" s="186">
        <v>-6797123.0000000028</v>
      </c>
      <c r="D189" s="127">
        <f>B189-C189</f>
        <v>0</v>
      </c>
      <c r="E189" s="313">
        <f>D189/C189</f>
        <v>0</v>
      </c>
      <c r="F189" s="130"/>
    </row>
    <row r="190" spans="1:7">
      <c r="A190" s="135"/>
      <c r="B190" s="141"/>
      <c r="C190" s="186"/>
      <c r="D190" s="128"/>
      <c r="E190" s="166"/>
      <c r="F190" s="130"/>
    </row>
    <row r="191" spans="1:7" ht="10.8" thickBot="1">
      <c r="A191" s="136" t="s">
        <v>328</v>
      </c>
      <c r="B191" s="162">
        <f>B187+B189</f>
        <v>41199529.858992189</v>
      </c>
      <c r="C191" s="162">
        <v>43481265.702182166</v>
      </c>
      <c r="D191" s="165">
        <f>B191-C191</f>
        <v>-2281735.8431899771</v>
      </c>
      <c r="E191" s="168">
        <f>D191/C191</f>
        <v>-5.2476297696077992E-2</v>
      </c>
      <c r="F191" s="130"/>
    </row>
    <row r="192" spans="1:7" ht="10.8" thickTop="1">
      <c r="A192" s="137" t="s">
        <v>135</v>
      </c>
      <c r="B192" s="143">
        <f>B164+B168+B172+B166+B173+B174+B180+B189</f>
        <v>28811567.981876325</v>
      </c>
      <c r="C192" s="143">
        <v>35705572.993347406</v>
      </c>
      <c r="D192" s="182">
        <f>B192-C192</f>
        <v>-6894005.0114710815</v>
      </c>
      <c r="E192" s="183">
        <f>D192/C192</f>
        <v>-0.19307924319700903</v>
      </c>
      <c r="F192" s="131"/>
    </row>
    <row r="193" spans="1:6" ht="40.799999999999997">
      <c r="A193" s="164" t="s">
        <v>366</v>
      </c>
      <c r="B193" s="126" t="str">
        <f>B162</f>
        <v xml:space="preserve">2015-2020 Forecast Updated October 2015 </v>
      </c>
      <c r="C193" s="126" t="str">
        <f>C162</f>
        <v>2014-2020 Forecast Provided December 2014 New Methodology</v>
      </c>
      <c r="D193" s="125" t="s">
        <v>92</v>
      </c>
      <c r="E193" s="125" t="s">
        <v>93</v>
      </c>
      <c r="F193" s="125"/>
    </row>
    <row r="194" spans="1:6">
      <c r="A194" s="134"/>
      <c r="B194" s="139"/>
      <c r="C194" s="139"/>
      <c r="D194" s="132"/>
      <c r="E194" s="133"/>
      <c r="F194" s="133"/>
    </row>
    <row r="195" spans="1:6">
      <c r="A195" s="135" t="s">
        <v>79</v>
      </c>
      <c r="B195" s="140">
        <f>Transmission_Revenues!O336+Transmission_Revenues!O337</f>
        <v>8174033.3013800019</v>
      </c>
      <c r="C195" s="140"/>
      <c r="D195" s="127">
        <f>B195-C195</f>
        <v>8174033.3013800019</v>
      </c>
      <c r="E195" s="313" t="e">
        <f t="shared" ref="E195:E204" si="46">D195/C195</f>
        <v>#DIV/0!</v>
      </c>
      <c r="F195" s="130"/>
    </row>
    <row r="196" spans="1:6">
      <c r="A196" s="135" t="s">
        <v>75</v>
      </c>
      <c r="B196" s="140">
        <f>Transmission_Revenues!O338</f>
        <v>357002.58999999997</v>
      </c>
      <c r="C196" s="140"/>
      <c r="D196" s="127">
        <f t="shared" ref="D196:D208" si="47">B196-C196</f>
        <v>357002.58999999997</v>
      </c>
      <c r="E196" s="313" t="e">
        <f t="shared" si="46"/>
        <v>#DIV/0!</v>
      </c>
      <c r="F196" s="130"/>
    </row>
    <row r="197" spans="1:6">
      <c r="A197" s="135" t="s">
        <v>125</v>
      </c>
      <c r="B197" s="140">
        <f>Transmission_Revenues!O339+Transmission_Revenues!O340</f>
        <v>2969324.2747</v>
      </c>
      <c r="C197" s="140"/>
      <c r="D197" s="127">
        <f t="shared" si="47"/>
        <v>2969324.2747</v>
      </c>
      <c r="E197" s="313" t="e">
        <f t="shared" si="46"/>
        <v>#DIV/0!</v>
      </c>
      <c r="F197" s="130"/>
    </row>
    <row r="198" spans="1:6">
      <c r="A198" s="135" t="s">
        <v>126</v>
      </c>
      <c r="B198" s="140">
        <f>Transmission_Revenues!O341</f>
        <v>186747.62400000001</v>
      </c>
      <c r="C198" s="140"/>
      <c r="D198" s="127">
        <f t="shared" si="47"/>
        <v>186747.62400000001</v>
      </c>
      <c r="E198" s="313" t="e">
        <f t="shared" si="46"/>
        <v>#DIV/0!</v>
      </c>
      <c r="F198" s="130"/>
    </row>
    <row r="199" spans="1:6">
      <c r="A199" s="135" t="s">
        <v>80</v>
      </c>
      <c r="B199" s="140">
        <f>Transmission_Revenues!O342+Transmission_Revenues!O343</f>
        <v>8783823.5100356601</v>
      </c>
      <c r="C199" s="140"/>
      <c r="D199" s="127">
        <f t="shared" si="47"/>
        <v>8783823.5100356601</v>
      </c>
      <c r="E199" s="313" t="e">
        <f t="shared" si="46"/>
        <v>#DIV/0!</v>
      </c>
      <c r="F199" s="130"/>
    </row>
    <row r="200" spans="1:6">
      <c r="A200" s="135" t="s">
        <v>76</v>
      </c>
      <c r="B200" s="140">
        <f>Transmission_Revenues!O344</f>
        <v>109610.08660213958</v>
      </c>
      <c r="C200" s="140"/>
      <c r="D200" s="127">
        <f t="shared" si="47"/>
        <v>109610.08660213958</v>
      </c>
      <c r="E200" s="313" t="e">
        <f t="shared" si="46"/>
        <v>#DIV/0!</v>
      </c>
      <c r="F200" s="130"/>
    </row>
    <row r="201" spans="1:6">
      <c r="A201" s="135" t="s">
        <v>57</v>
      </c>
      <c r="B201" s="140">
        <f>Transmission_Revenues!O345</f>
        <v>356468.44314314815</v>
      </c>
      <c r="C201" s="140"/>
      <c r="D201" s="127">
        <f t="shared" si="47"/>
        <v>356468.44314314815</v>
      </c>
      <c r="E201" s="313" t="e">
        <f t="shared" si="46"/>
        <v>#DIV/0!</v>
      </c>
      <c r="F201" s="130"/>
    </row>
    <row r="202" spans="1:6">
      <c r="A202" s="188" t="s">
        <v>275</v>
      </c>
      <c r="B202" s="140">
        <f>Transmission_Revenues!O346</f>
        <v>240099.25000000003</v>
      </c>
      <c r="C202" s="140"/>
      <c r="D202" s="127">
        <f t="shared" si="47"/>
        <v>240099.25000000003</v>
      </c>
      <c r="E202" s="313" t="e">
        <f t="shared" si="46"/>
        <v>#DIV/0!</v>
      </c>
      <c r="F202" s="130"/>
    </row>
    <row r="203" spans="1:6">
      <c r="A203" s="135" t="s">
        <v>129</v>
      </c>
      <c r="B203" s="140">
        <f>Transmission_Revenues!O347+Transmission_Revenues!O348</f>
        <v>13198313.609991079</v>
      </c>
      <c r="C203" s="140"/>
      <c r="D203" s="127">
        <f t="shared" si="47"/>
        <v>13198313.609991079</v>
      </c>
      <c r="E203" s="313" t="e">
        <f t="shared" si="46"/>
        <v>#DIV/0!</v>
      </c>
      <c r="F203" s="130"/>
    </row>
    <row r="204" spans="1:6">
      <c r="A204" s="135" t="s">
        <v>184</v>
      </c>
      <c r="B204" s="140">
        <f>Transmission_Revenues!O349+Transmission_Revenues!O350</f>
        <v>2645471.3007415971</v>
      </c>
      <c r="C204" s="140"/>
      <c r="D204" s="127">
        <f t="shared" si="47"/>
        <v>2645471.3007415971</v>
      </c>
      <c r="E204" s="313" t="e">
        <f t="shared" si="46"/>
        <v>#DIV/0!</v>
      </c>
      <c r="F204" s="130"/>
    </row>
    <row r="205" spans="1:6">
      <c r="A205" s="135" t="s">
        <v>202</v>
      </c>
      <c r="B205" s="140">
        <f>Transmission_Revenues!O351</f>
        <v>0</v>
      </c>
      <c r="C205" s="140"/>
      <c r="D205" s="127">
        <f t="shared" si="47"/>
        <v>0</v>
      </c>
      <c r="E205" s="313"/>
      <c r="F205" s="130" t="s">
        <v>460</v>
      </c>
    </row>
    <row r="206" spans="1:6">
      <c r="A206" s="135" t="s">
        <v>272</v>
      </c>
      <c r="B206" s="140">
        <v>0</v>
      </c>
      <c r="C206" s="140">
        <v>0</v>
      </c>
      <c r="D206" s="127"/>
      <c r="E206" s="313"/>
      <c r="F206" s="130" t="s">
        <v>461</v>
      </c>
    </row>
    <row r="207" spans="1:6">
      <c r="A207" s="135" t="s">
        <v>301</v>
      </c>
      <c r="B207" s="140">
        <v>0</v>
      </c>
      <c r="C207" s="140">
        <v>0</v>
      </c>
      <c r="D207" s="127"/>
      <c r="E207" s="313"/>
      <c r="F207" s="130" t="s">
        <v>458</v>
      </c>
    </row>
    <row r="208" spans="1:6">
      <c r="A208" s="135" t="s">
        <v>321</v>
      </c>
      <c r="B208" s="140">
        <f>Transmission_Revenues!O353+Transmission_Revenues!O354</f>
        <v>0</v>
      </c>
      <c r="C208" s="140">
        <v>0</v>
      </c>
      <c r="D208" s="127">
        <f t="shared" si="47"/>
        <v>0</v>
      </c>
      <c r="E208" s="313" t="e">
        <f t="shared" ref="E208:E209" si="48">D208/C208</f>
        <v>#DIV/0!</v>
      </c>
      <c r="F208" s="130" t="s">
        <v>462</v>
      </c>
    </row>
    <row r="209" spans="1:7">
      <c r="A209" s="135" t="s">
        <v>13</v>
      </c>
      <c r="B209" s="140">
        <f>Transmission_Revenues!O355</f>
        <v>0</v>
      </c>
      <c r="C209" s="140"/>
      <c r="D209" s="127">
        <f>B209-C209</f>
        <v>0</v>
      </c>
      <c r="E209" s="313" t="e">
        <f t="shared" si="48"/>
        <v>#DIV/0!</v>
      </c>
      <c r="F209" s="130"/>
    </row>
    <row r="210" spans="1:7">
      <c r="A210" s="135" t="s">
        <v>377</v>
      </c>
      <c r="B210" s="140">
        <f>Transmission_Revenues!O356+Transmission_Revenues!O357+Transmission_Revenues!O358</f>
        <v>50089.18662</v>
      </c>
      <c r="C210" s="140"/>
      <c r="D210" s="127">
        <f t="shared" ref="D210:D214" si="49">B210-C210</f>
        <v>50089.18662</v>
      </c>
      <c r="E210" s="313" t="e">
        <f t="shared" ref="E210:E214" si="50">D210/C210</f>
        <v>#DIV/0!</v>
      </c>
      <c r="F210" s="130"/>
    </row>
    <row r="211" spans="1:7">
      <c r="A211" s="135" t="s">
        <v>436</v>
      </c>
      <c r="B211" s="140">
        <f>Transmission_Revenues!O362+Transmission_Revenues!O363+Transmission_Revenues!O364</f>
        <v>940439.25699999998</v>
      </c>
      <c r="C211" s="140"/>
      <c r="D211" s="127">
        <f t="shared" si="49"/>
        <v>940439.25699999998</v>
      </c>
      <c r="E211" s="313" t="e">
        <f t="shared" si="50"/>
        <v>#DIV/0!</v>
      </c>
      <c r="F211" s="130" t="s">
        <v>455</v>
      </c>
    </row>
    <row r="212" spans="1:7">
      <c r="A212" s="135" t="s">
        <v>448</v>
      </c>
      <c r="B212" s="140">
        <f>Transmission_Revenues!O365+Transmission_Revenues!O366</f>
        <v>444572.0921596</v>
      </c>
      <c r="C212" s="140"/>
      <c r="D212" s="127">
        <f t="shared" si="49"/>
        <v>444572.0921596</v>
      </c>
      <c r="E212" s="313" t="e">
        <f t="shared" si="50"/>
        <v>#DIV/0!</v>
      </c>
      <c r="F212" s="130" t="s">
        <v>455</v>
      </c>
    </row>
    <row r="213" spans="1:7">
      <c r="A213" s="135" t="s">
        <v>325</v>
      </c>
      <c r="B213" s="140">
        <f>Transmission_Revenues!O359+Transmission_Revenues!O360</f>
        <v>0</v>
      </c>
      <c r="C213" s="140"/>
      <c r="D213" s="127">
        <f t="shared" si="49"/>
        <v>0</v>
      </c>
      <c r="E213" s="313" t="e">
        <f t="shared" si="50"/>
        <v>#DIV/0!</v>
      </c>
      <c r="F213" s="130" t="s">
        <v>459</v>
      </c>
      <c r="G213" s="187"/>
    </row>
    <row r="214" spans="1:7">
      <c r="A214" s="135" t="s">
        <v>14</v>
      </c>
      <c r="B214" s="140">
        <f>Transmission_Revenues!O367+Transmission_Revenues!O368</f>
        <v>4046392.8012800002</v>
      </c>
      <c r="C214" s="140"/>
      <c r="D214" s="127">
        <f t="shared" si="49"/>
        <v>4046392.8012800002</v>
      </c>
      <c r="E214" s="313" t="e">
        <f t="shared" si="50"/>
        <v>#DIV/0!</v>
      </c>
      <c r="F214" s="130"/>
    </row>
    <row r="215" spans="1:7">
      <c r="A215" s="135" t="s">
        <v>77</v>
      </c>
      <c r="B215" s="140">
        <f>+Transmission_Revenues!O369</f>
        <v>240791.03999999992</v>
      </c>
      <c r="C215" s="140"/>
      <c r="D215" s="127">
        <f t="shared" ref="D215:D217" si="51">B215-C215</f>
        <v>240791.03999999992</v>
      </c>
      <c r="E215" s="313" t="e">
        <f t="shared" ref="E215:E218" si="52">D215/C215</f>
        <v>#DIV/0!</v>
      </c>
      <c r="F215" s="130"/>
    </row>
    <row r="216" spans="1:7">
      <c r="A216" s="135" t="s">
        <v>124</v>
      </c>
      <c r="B216" s="140">
        <f>+Transmission_Revenues!O370</f>
        <v>86400</v>
      </c>
      <c r="C216" s="140"/>
      <c r="D216" s="127">
        <f t="shared" si="51"/>
        <v>86400</v>
      </c>
      <c r="E216" s="313" t="e">
        <f t="shared" si="52"/>
        <v>#DIV/0!</v>
      </c>
      <c r="F216" s="130"/>
    </row>
    <row r="217" spans="1:7">
      <c r="A217" s="135" t="s">
        <v>58</v>
      </c>
      <c r="B217" s="157">
        <f>+Transmission_Revenues!O371+Transmission_Revenues!O372</f>
        <v>3665636.9700000007</v>
      </c>
      <c r="C217" s="157"/>
      <c r="D217" s="127">
        <f t="shared" si="51"/>
        <v>3665636.9700000007</v>
      </c>
      <c r="E217" s="313" t="e">
        <f t="shared" si="52"/>
        <v>#DIV/0!</v>
      </c>
      <c r="F217" s="130"/>
    </row>
    <row r="218" spans="1:7">
      <c r="A218" s="135" t="s">
        <v>81</v>
      </c>
      <c r="B218" s="140">
        <f>SUM(B195:B217)</f>
        <v>46495215.33765322</v>
      </c>
      <c r="C218" s="140"/>
      <c r="D218" s="295">
        <f>B218-C218</f>
        <v>46495215.33765322</v>
      </c>
      <c r="E218" s="313" t="e">
        <f t="shared" si="52"/>
        <v>#DIV/0!</v>
      </c>
      <c r="F218" s="130"/>
    </row>
    <row r="219" spans="1:7">
      <c r="A219" s="136"/>
      <c r="B219" s="142"/>
      <c r="C219" s="142"/>
      <c r="D219" s="129"/>
      <c r="E219" s="379"/>
      <c r="F219" s="130"/>
    </row>
    <row r="220" spans="1:7">
      <c r="A220" s="135" t="s">
        <v>134</v>
      </c>
      <c r="B220" s="141">
        <f>Transmission_Revenues!O376</f>
        <v>-6797123.0000000028</v>
      </c>
      <c r="C220" s="141">
        <v>-6797123.0000000028</v>
      </c>
      <c r="D220" s="127">
        <f>B220-C220</f>
        <v>0</v>
      </c>
      <c r="E220" s="313">
        <f>D220/C220</f>
        <v>0</v>
      </c>
      <c r="F220" s="130"/>
    </row>
    <row r="221" spans="1:7">
      <c r="A221" s="135"/>
      <c r="B221" s="141"/>
      <c r="C221" s="141"/>
      <c r="D221" s="128"/>
      <c r="E221" s="166"/>
      <c r="F221" s="130"/>
    </row>
    <row r="222" spans="1:7" ht="10.8" thickBot="1">
      <c r="A222" s="136" t="s">
        <v>367</v>
      </c>
      <c r="B222" s="162">
        <f>B218+B220</f>
        <v>39698092.33765322</v>
      </c>
      <c r="C222" s="162"/>
      <c r="D222" s="165">
        <f>B222-C222</f>
        <v>39698092.33765322</v>
      </c>
      <c r="E222" s="168" t="e">
        <f>D222/C222</f>
        <v>#DIV/0!</v>
      </c>
      <c r="F222" s="130" t="s">
        <v>469</v>
      </c>
    </row>
    <row r="223" spans="1:7" ht="10.8" thickTop="1">
      <c r="A223" s="137" t="s">
        <v>135</v>
      </c>
      <c r="B223" s="143">
        <f>B195+B199+B203+B197+B204+B205+B213+B220</f>
        <v>28973842.996848334</v>
      </c>
      <c r="C223" s="143">
        <v>35705572.993347406</v>
      </c>
      <c r="D223" s="182">
        <f>B223-C223</f>
        <v>-6731729.9964990728</v>
      </c>
      <c r="E223" s="183">
        <f>D223/C223</f>
        <v>-0.18853443404348436</v>
      </c>
      <c r="F223" s="131"/>
    </row>
    <row r="224" spans="1:7">
      <c r="A224" s="164"/>
      <c r="B224" s="126"/>
      <c r="C224" s="125"/>
      <c r="D224" s="125"/>
      <c r="E224" s="125"/>
      <c r="F224" s="126"/>
    </row>
  </sheetData>
  <pageMargins left="0.7" right="0.7" top="0.75" bottom="0.75" header="0.3" footer="0.3"/>
  <pageSetup scale="74" fitToHeight="0" orientation="landscape" r:id="rId1"/>
  <rowBreaks count="5" manualBreakCount="5">
    <brk id="35" max="5" man="1"/>
    <brk id="65" max="5" man="1"/>
    <brk id="97" max="5" man="1"/>
    <brk id="129" max="5" man="1"/>
    <brk id="16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G136"/>
  <sheetViews>
    <sheetView zoomScaleNormal="75" workbookViewId="0">
      <selection activeCell="A2" sqref="A1:A2"/>
    </sheetView>
  </sheetViews>
  <sheetFormatPr defaultColWidth="9" defaultRowHeight="10.199999999999999"/>
  <cols>
    <col min="1" max="1" width="34.33203125" style="6" customWidth="1"/>
    <col min="2" max="2" width="16.88671875" style="6" customWidth="1"/>
    <col min="3" max="3" width="17" style="7" customWidth="1"/>
    <col min="4" max="4" width="10.109375" style="6" customWidth="1"/>
    <col min="5" max="5" width="7.77734375" style="6" customWidth="1"/>
    <col min="6" max="6" width="52.6640625" style="6" customWidth="1"/>
    <col min="7" max="7" width="0" style="6" hidden="1" customWidth="1"/>
    <col min="8" max="16384" width="9" style="6"/>
  </cols>
  <sheetData>
    <row r="1" spans="1:6" ht="13.2">
      <c r="A1" s="480" t="s">
        <v>480</v>
      </c>
    </row>
    <row r="2" spans="1:6" ht="13.2">
      <c r="A2" s="480" t="s">
        <v>473</v>
      </c>
    </row>
    <row r="3" spans="1:6" ht="13.2">
      <c r="A3" s="91" t="s">
        <v>111</v>
      </c>
    </row>
    <row r="4" spans="1:6" ht="11.4">
      <c r="A4" s="92" t="s">
        <v>193</v>
      </c>
    </row>
    <row r="5" spans="1:6" ht="11.4">
      <c r="A5" s="158"/>
      <c r="C5" s="38"/>
      <c r="D5" s="39"/>
    </row>
    <row r="7" spans="1:6" ht="35.25" customHeight="1">
      <c r="A7" s="164" t="s">
        <v>56</v>
      </c>
      <c r="B7" s="126" t="s">
        <v>215</v>
      </c>
      <c r="C7" s="126" t="s">
        <v>216</v>
      </c>
      <c r="D7" s="125" t="s">
        <v>92</v>
      </c>
      <c r="E7" s="125" t="s">
        <v>93</v>
      </c>
      <c r="F7" s="125" t="s">
        <v>94</v>
      </c>
    </row>
    <row r="8" spans="1:6" s="10" customFormat="1">
      <c r="A8" s="134"/>
      <c r="B8" s="139"/>
      <c r="C8" s="184"/>
      <c r="D8" s="132"/>
      <c r="E8" s="185"/>
      <c r="F8" s="133"/>
    </row>
    <row r="9" spans="1:6">
      <c r="A9" s="135" t="s">
        <v>79</v>
      </c>
      <c r="B9" s="140">
        <f>Transmission_Revenues!O45+Transmission_Revenues!O46</f>
        <v>7822908.2276600003</v>
      </c>
      <c r="C9" s="186">
        <v>9483962.6000000015</v>
      </c>
      <c r="D9" s="127">
        <f t="shared" ref="D9:D17" si="0">B9-C9</f>
        <v>-1661054.3723400012</v>
      </c>
      <c r="E9" s="187">
        <f t="shared" ref="E9:E25" si="1">D9/C9</f>
        <v>-0.1751434967004194</v>
      </c>
      <c r="F9" s="130"/>
    </row>
    <row r="10" spans="1:6">
      <c r="A10" s="135" t="s">
        <v>75</v>
      </c>
      <c r="B10" s="140">
        <f>Transmission_Revenues!O47</f>
        <v>341667.13000000006</v>
      </c>
      <c r="C10" s="186">
        <v>412346.2</v>
      </c>
      <c r="D10" s="127">
        <f t="shared" si="0"/>
        <v>-70679.069999999949</v>
      </c>
      <c r="E10" s="187">
        <f t="shared" si="1"/>
        <v>-0.17140710888083835</v>
      </c>
      <c r="F10" s="130"/>
    </row>
    <row r="11" spans="1:6">
      <c r="A11" s="188" t="s">
        <v>125</v>
      </c>
      <c r="B11" s="140">
        <f>Transmission_Revenues!O48+Transmission_Revenues!O49</f>
        <v>2976551.0293599996</v>
      </c>
      <c r="C11" s="186">
        <v>2892463.21</v>
      </c>
      <c r="D11" s="127">
        <f t="shared" si="0"/>
        <v>84087.819359999616</v>
      </c>
      <c r="E11" s="187">
        <f t="shared" si="1"/>
        <v>2.9071353118437629E-2</v>
      </c>
      <c r="F11" s="130"/>
    </row>
    <row r="12" spans="1:6">
      <c r="A12" s="188" t="s">
        <v>126</v>
      </c>
      <c r="B12" s="140">
        <f>Transmission_Revenues!O50</f>
        <v>187202.1312</v>
      </c>
      <c r="C12" s="186">
        <v>181093.34880000001</v>
      </c>
      <c r="D12" s="127">
        <f t="shared" si="0"/>
        <v>6108.7823999999964</v>
      </c>
      <c r="E12" s="187">
        <f t="shared" si="1"/>
        <v>3.3732781686789351E-2</v>
      </c>
      <c r="F12" s="130"/>
    </row>
    <row r="13" spans="1:6">
      <c r="A13" s="135" t="s">
        <v>80</v>
      </c>
      <c r="B13" s="140">
        <f>Transmission_Revenues!O51+Transmission_Revenues!O52</f>
        <v>8500093.6239225678</v>
      </c>
      <c r="C13" s="186">
        <v>17997334.841675177</v>
      </c>
      <c r="D13" s="127">
        <f t="shared" si="0"/>
        <v>-9497241.2177526094</v>
      </c>
      <c r="E13" s="187">
        <f t="shared" si="1"/>
        <v>-0.52770264604737516</v>
      </c>
      <c r="F13" s="130"/>
    </row>
    <row r="14" spans="1:6">
      <c r="A14" s="135" t="s">
        <v>76</v>
      </c>
      <c r="B14" s="140">
        <f>Transmission_Revenues!O53</f>
        <v>106069.52623535406</v>
      </c>
      <c r="C14" s="186">
        <v>223569.37691521959</v>
      </c>
      <c r="D14" s="127">
        <f t="shared" si="0"/>
        <v>-117499.85067986553</v>
      </c>
      <c r="E14" s="187">
        <f t="shared" si="1"/>
        <v>-0.52556326050156232</v>
      </c>
      <c r="F14" s="130"/>
    </row>
    <row r="15" spans="1:6">
      <c r="A15" s="135" t="s">
        <v>57</v>
      </c>
      <c r="B15" s="140">
        <f>Transmission_Revenues!O54</f>
        <v>344954.00974630669</v>
      </c>
      <c r="C15" s="186">
        <v>727081.14913483127</v>
      </c>
      <c r="D15" s="127">
        <f t="shared" si="0"/>
        <v>-382127.13938852458</v>
      </c>
      <c r="E15" s="187">
        <f t="shared" si="1"/>
        <v>-0.52556326050156232</v>
      </c>
      <c r="F15" s="130"/>
    </row>
    <row r="16" spans="1:6">
      <c r="A16" s="89" t="s">
        <v>183</v>
      </c>
      <c r="B16" s="140">
        <f>Transmission_Revenues!O55</f>
        <v>474347.32999999996</v>
      </c>
      <c r="C16" s="186">
        <v>129769.20000000003</v>
      </c>
      <c r="D16" s="127">
        <f t="shared" si="0"/>
        <v>344578.12999999995</v>
      </c>
      <c r="E16" s="187">
        <f t="shared" si="1"/>
        <v>2.6553152057653118</v>
      </c>
      <c r="F16" s="130" t="s">
        <v>195</v>
      </c>
    </row>
    <row r="17" spans="1:6">
      <c r="A17" s="135" t="s">
        <v>129</v>
      </c>
      <c r="B17" s="140">
        <f>Transmission_Revenues!O56+Transmission_Revenues!O57</f>
        <v>12920376.3182</v>
      </c>
      <c r="C17" s="186">
        <v>4146787.6610999997</v>
      </c>
      <c r="D17" s="127">
        <f t="shared" si="0"/>
        <v>8773588.6570999995</v>
      </c>
      <c r="E17" s="187">
        <f t="shared" si="1"/>
        <v>2.1157554652250194</v>
      </c>
      <c r="F17" s="130"/>
    </row>
    <row r="18" spans="1:6">
      <c r="A18" s="135" t="s">
        <v>184</v>
      </c>
      <c r="B18" s="140">
        <f>Transmission_Revenues!O58+Transmission_Revenues!O59</f>
        <v>2451857.2273400002</v>
      </c>
      <c r="C18" s="186"/>
      <c r="D18" s="127"/>
      <c r="E18" s="187"/>
      <c r="F18" s="130"/>
    </row>
    <row r="19" spans="1:6">
      <c r="A19" s="135" t="s">
        <v>202</v>
      </c>
      <c r="B19" s="140">
        <f>Transmission_Revenues!O60+Transmission_Revenues!O61</f>
        <v>222009.94206000003</v>
      </c>
      <c r="C19" s="186"/>
      <c r="D19" s="127"/>
      <c r="E19" s="187"/>
      <c r="F19" s="130"/>
    </row>
    <row r="20" spans="1:6">
      <c r="A20" s="135" t="s">
        <v>13</v>
      </c>
      <c r="B20" s="140">
        <f>Transmission_Revenues!O65</f>
        <v>156095.51999999996</v>
      </c>
      <c r="C20" s="186">
        <v>149832.66214</v>
      </c>
      <c r="D20" s="127">
        <f>B20-C20</f>
        <v>6262.8578599999601</v>
      </c>
      <c r="E20" s="187">
        <f t="shared" si="1"/>
        <v>4.179901611938322E-2</v>
      </c>
      <c r="F20" s="130" t="s">
        <v>213</v>
      </c>
    </row>
    <row r="21" spans="1:6">
      <c r="A21" s="135" t="s">
        <v>14</v>
      </c>
      <c r="B21" s="140">
        <f>Transmission_Revenues!O68+Transmission_Revenues!O69</f>
        <v>1516494.9578600002</v>
      </c>
      <c r="C21" s="186">
        <v>4098531.9200000004</v>
      </c>
      <c r="D21" s="127">
        <f>B21-C21</f>
        <v>-2582036.9621400004</v>
      </c>
      <c r="E21" s="187">
        <f t="shared" si="1"/>
        <v>-0.62999069240871008</v>
      </c>
      <c r="F21" s="130" t="s">
        <v>214</v>
      </c>
    </row>
    <row r="22" spans="1:6">
      <c r="A22" s="135" t="s">
        <v>77</v>
      </c>
      <c r="B22" s="140">
        <f>Transmission_Revenues!O70</f>
        <v>9598308.4800000004</v>
      </c>
      <c r="C22" s="186">
        <v>248842.13759999999</v>
      </c>
      <c r="D22" s="127">
        <f>B22-C22</f>
        <v>9349466.3424000014</v>
      </c>
      <c r="E22" s="187">
        <f t="shared" si="1"/>
        <v>37.57187762720779</v>
      </c>
      <c r="F22" s="130" t="s">
        <v>214</v>
      </c>
    </row>
    <row r="23" spans="1:6">
      <c r="A23" s="188" t="s">
        <v>124</v>
      </c>
      <c r="B23" s="140">
        <f>Transmission_Revenues!O72</f>
        <v>594800.63999999978</v>
      </c>
      <c r="C23" s="186">
        <v>72000</v>
      </c>
      <c r="D23" s="127">
        <f>B23-C23</f>
        <v>522800.63999999978</v>
      </c>
      <c r="E23" s="187">
        <f t="shared" si="1"/>
        <v>7.2611199999999974</v>
      </c>
      <c r="F23" s="130" t="s">
        <v>196</v>
      </c>
    </row>
    <row r="24" spans="1:6">
      <c r="A24" s="135" t="s">
        <v>58</v>
      </c>
      <c r="B24" s="157">
        <f>Transmission_Revenues!O74+Transmission_Revenues!O75</f>
        <v>3665636.9700000007</v>
      </c>
      <c r="C24" s="138">
        <v>2689791.5722222216</v>
      </c>
      <c r="D24" s="128">
        <f>B24-C24</f>
        <v>975845.39777777903</v>
      </c>
      <c r="E24" s="166">
        <f t="shared" si="1"/>
        <v>0.36279591618006524</v>
      </c>
      <c r="F24" s="130" t="s">
        <v>197</v>
      </c>
    </row>
    <row r="25" spans="1:6">
      <c r="A25" s="167" t="s">
        <v>81</v>
      </c>
      <c r="B25" s="140">
        <f>SUM(B9:B24)</f>
        <v>51879373.063584223</v>
      </c>
      <c r="C25" s="140">
        <f>SUM(C9:C24)</f>
        <v>43453405.879587442</v>
      </c>
      <c r="D25" s="295">
        <f>SUM(D9:D24)</f>
        <v>5752100.0145967798</v>
      </c>
      <c r="E25" s="187">
        <f t="shared" si="1"/>
        <v>0.13237397387298636</v>
      </c>
      <c r="F25" s="130"/>
    </row>
    <row r="26" spans="1:6">
      <c r="A26" s="136"/>
      <c r="B26" s="142"/>
      <c r="C26" s="186"/>
      <c r="D26" s="129"/>
      <c r="E26" s="189"/>
      <c r="F26" s="130"/>
    </row>
    <row r="27" spans="1:6">
      <c r="A27" s="135" t="s">
        <v>133</v>
      </c>
      <c r="B27" s="140" t="e">
        <f>Transmission_Revenues!#REF!+Transmission_Revenues!#REF!+Transmission_Revenues!#REF!+Transmission_Revenues!#REF!+Transmission_Revenues!#REF!</f>
        <v>#REF!</v>
      </c>
      <c r="C27" s="186">
        <v>-614346.30999999994</v>
      </c>
      <c r="D27" s="127" t="e">
        <f>B27-C27</f>
        <v>#REF!</v>
      </c>
      <c r="E27" s="187" t="e">
        <f>D27/C27</f>
        <v>#REF!</v>
      </c>
      <c r="F27" s="130" t="s">
        <v>205</v>
      </c>
    </row>
    <row r="28" spans="1:6">
      <c r="A28" s="135"/>
      <c r="B28" s="140"/>
      <c r="C28" s="186"/>
      <c r="D28" s="127"/>
      <c r="E28" s="187"/>
      <c r="F28" s="130"/>
    </row>
    <row r="29" spans="1:6">
      <c r="A29" s="135" t="s">
        <v>134</v>
      </c>
      <c r="B29" s="141">
        <f>Transmission_Revenues!O79</f>
        <v>-6797123.0000000028</v>
      </c>
      <c r="C29" s="186">
        <v>-6796999.9200000009</v>
      </c>
      <c r="D29" s="127">
        <f>B29-C29</f>
        <v>-123.08000000193715</v>
      </c>
      <c r="E29" s="187">
        <f>D29/C29</f>
        <v>1.8107989032010632E-5</v>
      </c>
      <c r="F29" s="130"/>
    </row>
    <row r="30" spans="1:6">
      <c r="A30" s="135"/>
      <c r="B30" s="141"/>
      <c r="C30" s="186"/>
      <c r="D30" s="128"/>
      <c r="E30" s="187"/>
      <c r="F30" s="130"/>
    </row>
    <row r="31" spans="1:6" ht="10.8" thickBot="1">
      <c r="A31" s="136" t="s">
        <v>74</v>
      </c>
      <c r="B31" s="162" t="e">
        <f>B25+B27+B29</f>
        <v>#REF!</v>
      </c>
      <c r="C31" s="163">
        <f>C25+C27+C29</f>
        <v>36042059.649587438</v>
      </c>
      <c r="D31" s="165" t="e">
        <f>B31-C31</f>
        <v>#REF!</v>
      </c>
      <c r="E31" s="168" t="e">
        <f>D31/C31</f>
        <v>#REF!</v>
      </c>
      <c r="F31" s="130"/>
    </row>
    <row r="32" spans="1:6" ht="10.8" thickTop="1">
      <c r="A32" s="135" t="s">
        <v>135</v>
      </c>
      <c r="B32" s="143">
        <f>B9+B13+B17+B11+B18+B19</f>
        <v>34893796.368542567</v>
      </c>
      <c r="C32" s="143">
        <f>C9+C13+C17+C11</f>
        <v>34520548.31277518</v>
      </c>
      <c r="D32" s="182">
        <f>B32-C32</f>
        <v>373248.05576738715</v>
      </c>
      <c r="E32" s="183">
        <f>D32/C32</f>
        <v>1.0812344357498444E-2</v>
      </c>
      <c r="F32" s="131" t="s">
        <v>206</v>
      </c>
    </row>
    <row r="33" spans="1:7" ht="20.399999999999999">
      <c r="A33" s="164" t="s">
        <v>109</v>
      </c>
      <c r="B33" s="126" t="str">
        <f>B7</f>
        <v>Revised Forecast            July 22,2011</v>
      </c>
      <c r="C33" s="126" t="str">
        <f>C7</f>
        <v>Previous Forecast dated March 11,2011</v>
      </c>
      <c r="D33" s="125" t="s">
        <v>92</v>
      </c>
      <c r="E33" s="125" t="s">
        <v>93</v>
      </c>
      <c r="F33" s="125" t="s">
        <v>94</v>
      </c>
    </row>
    <row r="34" spans="1:7">
      <c r="A34" s="134"/>
      <c r="B34" s="139"/>
      <c r="C34" s="186"/>
      <c r="D34" s="132"/>
      <c r="E34" s="12"/>
      <c r="F34" s="133"/>
    </row>
    <row r="35" spans="1:7">
      <c r="A35" s="135" t="s">
        <v>79</v>
      </c>
      <c r="B35" s="140">
        <f>Transmission_Revenues!O85+Transmission_Revenues!O86</f>
        <v>7883956.5942599988</v>
      </c>
      <c r="C35" s="186">
        <v>9663796.3800000008</v>
      </c>
      <c r="D35" s="127">
        <f t="shared" ref="D35:D43" si="2">B35-C35</f>
        <v>-1779839.7857400021</v>
      </c>
      <c r="E35" s="187">
        <f t="shared" ref="E35:E51" si="3">D35/C35</f>
        <v>-0.18417604383961594</v>
      </c>
      <c r="F35" s="130"/>
    </row>
    <row r="36" spans="1:7">
      <c r="A36" s="135" t="s">
        <v>75</v>
      </c>
      <c r="B36" s="140">
        <f>Transmission_Revenues!O87</f>
        <v>344333.43000000005</v>
      </c>
      <c r="C36" s="186">
        <v>420165.06000000011</v>
      </c>
      <c r="D36" s="127">
        <f t="shared" si="2"/>
        <v>-75831.630000000063</v>
      </c>
      <c r="E36" s="187">
        <f t="shared" si="3"/>
        <v>-0.18048057113554383</v>
      </c>
      <c r="F36" s="130"/>
    </row>
    <row r="37" spans="1:7">
      <c r="A37" s="188" t="s">
        <v>125</v>
      </c>
      <c r="B37" s="140">
        <f>Transmission_Revenues!O88+Transmission_Revenues!O89</f>
        <v>2830570.2646800005</v>
      </c>
      <c r="C37" s="186">
        <v>2950933.58</v>
      </c>
      <c r="D37" s="127">
        <f t="shared" si="2"/>
        <v>-120363.31531999959</v>
      </c>
      <c r="E37" s="187">
        <f t="shared" si="3"/>
        <v>-4.0788215680543916E-2</v>
      </c>
      <c r="F37" s="130"/>
    </row>
    <row r="38" spans="1:7">
      <c r="A38" s="188" t="s">
        <v>126</v>
      </c>
      <c r="B38" s="140">
        <f>Transmission_Revenues!O90</f>
        <v>178021.06559999997</v>
      </c>
      <c r="C38" s="186">
        <v>184754.10239999997</v>
      </c>
      <c r="D38" s="127">
        <f t="shared" si="2"/>
        <v>-6733.0368000000017</v>
      </c>
      <c r="E38" s="187">
        <f t="shared" si="3"/>
        <v>-3.6443232992048588E-2</v>
      </c>
      <c r="F38" s="130"/>
    </row>
    <row r="39" spans="1:7">
      <c r="A39" s="135" t="s">
        <v>80</v>
      </c>
      <c r="B39" s="140">
        <f>Transmission_Revenues!O91+Transmission_Revenues!O92</f>
        <v>8522664.252837494</v>
      </c>
      <c r="C39" s="186">
        <v>18530016.25127681</v>
      </c>
      <c r="D39" s="127">
        <f t="shared" si="2"/>
        <v>-10007351.998439316</v>
      </c>
      <c r="E39" s="187">
        <f t="shared" si="3"/>
        <v>-0.54006169572300078</v>
      </c>
      <c r="F39" s="130"/>
    </row>
    <row r="40" spans="1:7">
      <c r="A40" s="135" t="s">
        <v>76</v>
      </c>
      <c r="B40" s="140">
        <f>Transmission_Revenues!O93</f>
        <v>106351.17677024963</v>
      </c>
      <c r="C40" s="186">
        <v>230186.53728294178</v>
      </c>
      <c r="D40" s="127">
        <f t="shared" si="2"/>
        <v>-123835.36051269215</v>
      </c>
      <c r="E40" s="187">
        <f t="shared" si="3"/>
        <v>-0.53797829349366166</v>
      </c>
      <c r="F40" s="130"/>
    </row>
    <row r="41" spans="1:7">
      <c r="A41" s="135" t="s">
        <v>57</v>
      </c>
      <c r="B41" s="140">
        <f>Transmission_Revenues!O94</f>
        <v>345869.97953336727</v>
      </c>
      <c r="C41" s="186">
        <v>748601.14722471894</v>
      </c>
      <c r="D41" s="127">
        <f t="shared" si="2"/>
        <v>-402731.16769135167</v>
      </c>
      <c r="E41" s="187">
        <f t="shared" si="3"/>
        <v>-0.53797829349366166</v>
      </c>
      <c r="F41" s="130"/>
    </row>
    <row r="42" spans="1:7">
      <c r="A42" s="135" t="s">
        <v>183</v>
      </c>
      <c r="B42" s="140">
        <f>Transmission_Revenues!O95</f>
        <v>445524.3899999999</v>
      </c>
      <c r="C42" s="186">
        <v>129769.20000000003</v>
      </c>
      <c r="D42" s="127">
        <f t="shared" si="2"/>
        <v>315755.18999999989</v>
      </c>
      <c r="E42" s="187">
        <f t="shared" si="3"/>
        <v>2.4332059533386952</v>
      </c>
      <c r="F42" s="130" t="s">
        <v>195</v>
      </c>
    </row>
    <row r="43" spans="1:7">
      <c r="A43" s="135" t="s">
        <v>129</v>
      </c>
      <c r="B43" s="140">
        <f>Transmission_Revenues!O96+Transmission_Revenues!O97</f>
        <v>13759621.023149049</v>
      </c>
      <c r="C43" s="186">
        <v>4176614.2957000006</v>
      </c>
      <c r="D43" s="127">
        <f t="shared" si="2"/>
        <v>9583006.7274490483</v>
      </c>
      <c r="E43" s="187">
        <f t="shared" si="3"/>
        <v>2.2944437884329312</v>
      </c>
      <c r="F43" s="130"/>
    </row>
    <row r="44" spans="1:7">
      <c r="A44" s="135" t="s">
        <v>184</v>
      </c>
      <c r="B44" s="140">
        <f>Transmission_Revenues!O98+Transmission_Revenues!O99</f>
        <v>2526727.4698709706</v>
      </c>
      <c r="C44" s="186"/>
      <c r="D44" s="127"/>
      <c r="E44" s="187"/>
      <c r="F44" s="130"/>
    </row>
    <row r="45" spans="1:7">
      <c r="A45" s="135" t="s">
        <v>202</v>
      </c>
      <c r="B45" s="140">
        <f>Transmission_Revenues!O100+Transmission_Revenues!O101</f>
        <v>224383.6</v>
      </c>
      <c r="C45" s="186"/>
      <c r="D45" s="127"/>
      <c r="E45" s="187"/>
      <c r="F45" s="130"/>
    </row>
    <row r="46" spans="1:7">
      <c r="A46" s="135" t="s">
        <v>13</v>
      </c>
      <c r="B46" s="140">
        <f>Transmission_Revenues!O109</f>
        <v>0</v>
      </c>
      <c r="C46" s="186">
        <v>149832.66214</v>
      </c>
      <c r="D46" s="127">
        <f>B46-C46</f>
        <v>-149832.66214</v>
      </c>
      <c r="E46" s="187">
        <f t="shared" si="3"/>
        <v>-1</v>
      </c>
      <c r="F46" s="187"/>
      <c r="G46" s="187">
        <f>F46/E46</f>
        <v>0</v>
      </c>
    </row>
    <row r="47" spans="1:7">
      <c r="A47" s="135" t="s">
        <v>14</v>
      </c>
      <c r="B47" s="140">
        <f>Transmission_Revenues!O116+Transmission_Revenues!O117</f>
        <v>8888270.3412800003</v>
      </c>
      <c r="C47" s="186">
        <v>4251481.9200000009</v>
      </c>
      <c r="D47" s="127">
        <f>B47-C47</f>
        <v>4636788.4212799994</v>
      </c>
      <c r="E47" s="187">
        <f t="shared" si="3"/>
        <v>1.0906287521693139</v>
      </c>
      <c r="F47" s="187"/>
      <c r="G47" s="187">
        <f>F47/E47</f>
        <v>0</v>
      </c>
    </row>
    <row r="48" spans="1:7">
      <c r="A48" s="135" t="s">
        <v>77</v>
      </c>
      <c r="B48" s="140">
        <f>Transmission_Revenues!O118</f>
        <v>545307.83999999985</v>
      </c>
      <c r="C48" s="186">
        <v>258418.13759999999</v>
      </c>
      <c r="D48" s="127">
        <f>B48-C48</f>
        <v>286889.70239999983</v>
      </c>
      <c r="E48" s="187">
        <f t="shared" si="3"/>
        <v>1.1101763408111485</v>
      </c>
      <c r="F48" s="187"/>
      <c r="G48" s="187">
        <f>F48/E48</f>
        <v>0</v>
      </c>
    </row>
    <row r="49" spans="1:6">
      <c r="A49" s="188" t="s">
        <v>124</v>
      </c>
      <c r="B49" s="140">
        <f>Transmission_Revenues!O119</f>
        <v>86400</v>
      </c>
      <c r="C49" s="186">
        <v>72000</v>
      </c>
      <c r="D49" s="127">
        <f>B49-C49</f>
        <v>14400</v>
      </c>
      <c r="E49" s="187">
        <f t="shared" si="3"/>
        <v>0.2</v>
      </c>
      <c r="F49" s="130" t="s">
        <v>196</v>
      </c>
    </row>
    <row r="50" spans="1:6">
      <c r="A50" s="135" t="s">
        <v>58</v>
      </c>
      <c r="B50" s="157">
        <f>Transmission_Revenues!O120+Transmission_Revenues!O121</f>
        <v>3665636.9700000007</v>
      </c>
      <c r="C50" s="138">
        <v>2689791.5722222216</v>
      </c>
      <c r="D50" s="128">
        <f>B50-C50</f>
        <v>975845.39777777903</v>
      </c>
      <c r="E50" s="166">
        <f t="shared" si="3"/>
        <v>0.36279591618006524</v>
      </c>
      <c r="F50" s="130" t="s">
        <v>197</v>
      </c>
    </row>
    <row r="51" spans="1:6">
      <c r="A51" s="167" t="s">
        <v>81</v>
      </c>
      <c r="B51" s="140">
        <f>SUM(B35:B50)</f>
        <v>50353638.397981122</v>
      </c>
      <c r="C51" s="170">
        <f>SUM(C35:C50)</f>
        <v>44456360.845846683</v>
      </c>
      <c r="D51" s="295">
        <f>SUM(D35:D50)</f>
        <v>3146166.4822634631</v>
      </c>
      <c r="E51" s="187">
        <f t="shared" si="3"/>
        <v>7.0769771128429929E-2</v>
      </c>
      <c r="F51" s="130"/>
    </row>
    <row r="52" spans="1:6">
      <c r="A52" s="136"/>
      <c r="B52" s="142"/>
      <c r="C52" s="186"/>
      <c r="D52" s="129"/>
      <c r="E52" s="189"/>
      <c r="F52" s="130"/>
    </row>
    <row r="53" spans="1:6">
      <c r="A53" s="135" t="s">
        <v>133</v>
      </c>
      <c r="B53" s="140" t="e">
        <f>Transmission_Revenues!#REF!+Transmission_Revenues!#REF!+Transmission_Revenues!#REF!+Transmission_Revenues!#REF!+Transmission_Revenues!#REF!</f>
        <v>#REF!</v>
      </c>
      <c r="C53" s="186">
        <v>-614346.30999999994</v>
      </c>
      <c r="D53" s="127" t="e">
        <f>B53-C53</f>
        <v>#REF!</v>
      </c>
      <c r="E53" s="187" t="e">
        <f>D53/C53</f>
        <v>#REF!</v>
      </c>
      <c r="F53" s="130" t="s">
        <v>205</v>
      </c>
    </row>
    <row r="54" spans="1:6">
      <c r="A54" s="135"/>
      <c r="B54" s="140"/>
      <c r="C54" s="186"/>
      <c r="D54" s="127"/>
      <c r="E54" s="187"/>
      <c r="F54" s="130"/>
    </row>
    <row r="55" spans="1:6">
      <c r="A55" s="135" t="s">
        <v>134</v>
      </c>
      <c r="B55" s="141">
        <f>Transmission_Revenues!O125</f>
        <v>-6797123.0000000028</v>
      </c>
      <c r="C55" s="186">
        <v>-6796999.9200000009</v>
      </c>
      <c r="D55" s="127">
        <f>B55-C55</f>
        <v>-123.08000000193715</v>
      </c>
      <c r="E55" s="187">
        <f>D55/C55</f>
        <v>1.8107989032010632E-5</v>
      </c>
      <c r="F55" s="130"/>
    </row>
    <row r="56" spans="1:6">
      <c r="A56" s="135"/>
      <c r="B56" s="141"/>
      <c r="C56" s="186"/>
      <c r="D56" s="128"/>
      <c r="E56" s="187"/>
      <c r="F56" s="130"/>
    </row>
    <row r="57" spans="1:6" ht="10.8" thickBot="1">
      <c r="A57" s="136" t="s">
        <v>110</v>
      </c>
      <c r="B57" s="162" t="e">
        <f>B51+B53+B55</f>
        <v>#REF!</v>
      </c>
      <c r="C57" s="163">
        <f>C51+C53+C55</f>
        <v>37045014.615846679</v>
      </c>
      <c r="D57" s="165" t="e">
        <f>B57-C57</f>
        <v>#REF!</v>
      </c>
      <c r="E57" s="168" t="e">
        <f>D57/C57</f>
        <v>#REF!</v>
      </c>
      <c r="F57" s="130"/>
    </row>
    <row r="58" spans="1:6" ht="10.8" thickTop="1">
      <c r="A58" s="135" t="s">
        <v>135</v>
      </c>
      <c r="B58" s="143">
        <f>B35+B39+B43+B37+B44+B45</f>
        <v>35747923.204797521</v>
      </c>
      <c r="C58" s="143">
        <f>C35+C39+C43+C37</f>
        <v>35321360.506976806</v>
      </c>
      <c r="D58" s="182">
        <f>B58-C58</f>
        <v>426562.69782071561</v>
      </c>
      <c r="E58" s="183">
        <f>D58/C58</f>
        <v>1.2076621389950689E-2</v>
      </c>
      <c r="F58" s="131" t="s">
        <v>206</v>
      </c>
    </row>
    <row r="59" spans="1:6" ht="20.399999999999999">
      <c r="A59" s="164" t="s">
        <v>114</v>
      </c>
      <c r="B59" s="126" t="str">
        <f>B33</f>
        <v>Revised Forecast            July 22,2011</v>
      </c>
      <c r="C59" s="125" t="s">
        <v>92</v>
      </c>
      <c r="D59" s="125" t="s">
        <v>92</v>
      </c>
      <c r="E59" s="125" t="s">
        <v>93</v>
      </c>
      <c r="F59" s="125"/>
    </row>
    <row r="60" spans="1:6">
      <c r="A60" s="134"/>
      <c r="B60" s="139"/>
      <c r="C60" s="184"/>
      <c r="D60" s="132"/>
      <c r="E60" s="185"/>
      <c r="F60" s="133"/>
    </row>
    <row r="61" spans="1:6">
      <c r="A61" s="135" t="s">
        <v>79</v>
      </c>
      <c r="B61" s="140">
        <f>Transmission_Revenues!O131+Transmission_Revenues!O132</f>
        <v>7947131.79684</v>
      </c>
      <c r="C61" s="186">
        <v>9840999.4200000018</v>
      </c>
      <c r="D61" s="127">
        <f t="shared" ref="D61:D69" si="4">B61-C61</f>
        <v>-1893867.6231600018</v>
      </c>
      <c r="E61" s="187">
        <f t="shared" ref="E61:E77" si="5">D61/C61</f>
        <v>-0.19244667562026962</v>
      </c>
      <c r="F61" s="130"/>
    </row>
    <row r="62" spans="1:6">
      <c r="A62" s="135" t="s">
        <v>75</v>
      </c>
      <c r="B62" s="140">
        <f>Transmission_Revenues!O133</f>
        <v>347092.62000000011</v>
      </c>
      <c r="C62" s="186">
        <v>427869.5400000001</v>
      </c>
      <c r="D62" s="127">
        <f t="shared" si="4"/>
        <v>-80776.919999999984</v>
      </c>
      <c r="E62" s="187">
        <f t="shared" si="5"/>
        <v>-0.18878866675108485</v>
      </c>
      <c r="F62" s="130"/>
    </row>
    <row r="63" spans="1:6">
      <c r="A63" s="188" t="s">
        <v>125</v>
      </c>
      <c r="B63" s="140">
        <f>Transmission_Revenues!O134+Transmission_Revenues!O135</f>
        <v>2861584.8864200003</v>
      </c>
      <c r="C63" s="186">
        <v>2997367.59</v>
      </c>
      <c r="D63" s="127">
        <f t="shared" si="4"/>
        <v>-135782.70357999951</v>
      </c>
      <c r="E63" s="187">
        <f t="shared" si="5"/>
        <v>-4.5300651155702767E-2</v>
      </c>
      <c r="F63" s="130"/>
    </row>
    <row r="64" spans="1:6">
      <c r="A64" s="188" t="s">
        <v>126</v>
      </c>
      <c r="B64" s="140">
        <f>Transmission_Revenues!O136</f>
        <v>179971.6464</v>
      </c>
      <c r="C64" s="186">
        <v>187661.2752</v>
      </c>
      <c r="D64" s="127">
        <f t="shared" si="4"/>
        <v>-7689.6288000000059</v>
      </c>
      <c r="E64" s="187">
        <f t="shared" si="5"/>
        <v>-4.0976108639381163E-2</v>
      </c>
      <c r="F64" s="130"/>
    </row>
    <row r="65" spans="1:7">
      <c r="A65" s="135" t="s">
        <v>80</v>
      </c>
      <c r="B65" s="140">
        <f>Transmission_Revenues!O137+Transmission_Revenues!O138</f>
        <v>8197641.9710239442</v>
      </c>
      <c r="C65" s="186">
        <v>9278293.5035750736</v>
      </c>
      <c r="D65" s="127">
        <f t="shared" si="4"/>
        <v>-1080651.5325511293</v>
      </c>
      <c r="E65" s="187">
        <f t="shared" si="5"/>
        <v>-0.11647093639953696</v>
      </c>
      <c r="F65" s="130"/>
    </row>
    <row r="66" spans="1:7">
      <c r="A66" s="135" t="s">
        <v>76</v>
      </c>
      <c r="B66" s="140">
        <f>Transmission_Revenues!O139</f>
        <v>102295.34386143657</v>
      </c>
      <c r="C66" s="186">
        <v>115258.30439223693</v>
      </c>
      <c r="D66" s="127">
        <f t="shared" si="4"/>
        <v>-12962.960530800352</v>
      </c>
      <c r="E66" s="187">
        <f t="shared" si="5"/>
        <v>-0.11246877697147049</v>
      </c>
      <c r="F66" s="130"/>
    </row>
    <row r="67" spans="1:7">
      <c r="A67" s="135" t="s">
        <v>57</v>
      </c>
      <c r="B67" s="140">
        <f>Transmission_Revenues!O140</f>
        <v>332679.80253897089</v>
      </c>
      <c r="C67" s="186">
        <v>374837.29462921328</v>
      </c>
      <c r="D67" s="127">
        <f t="shared" si="4"/>
        <v>-42157.492090242391</v>
      </c>
      <c r="E67" s="187">
        <f t="shared" si="5"/>
        <v>-0.11246877697147056</v>
      </c>
      <c r="F67" s="130"/>
    </row>
    <row r="68" spans="1:7">
      <c r="A68" s="135" t="s">
        <v>183</v>
      </c>
      <c r="B68" s="140">
        <f>Transmission_Revenues!O141</f>
        <v>266143.2900000001</v>
      </c>
      <c r="C68" s="186">
        <v>129769.20000000003</v>
      </c>
      <c r="D68" s="127">
        <f t="shared" si="4"/>
        <v>136374.09000000008</v>
      </c>
      <c r="E68" s="187">
        <f t="shared" si="5"/>
        <v>1.050897208274383</v>
      </c>
      <c r="F68" s="130" t="s">
        <v>195</v>
      </c>
    </row>
    <row r="69" spans="1:7">
      <c r="A69" s="135" t="s">
        <v>129</v>
      </c>
      <c r="B69" s="140">
        <f>Transmission_Revenues!O142+Transmission_Revenues!O143</f>
        <v>13121303.314182486</v>
      </c>
      <c r="C69" s="186">
        <v>14684840.3807</v>
      </c>
      <c r="D69" s="127">
        <f t="shared" si="4"/>
        <v>-1563537.0665175132</v>
      </c>
      <c r="E69" s="187">
        <f t="shared" si="5"/>
        <v>-0.1064728676637466</v>
      </c>
      <c r="F69" s="130"/>
    </row>
    <row r="70" spans="1:7">
      <c r="A70" s="135" t="s">
        <v>184</v>
      </c>
      <c r="B70" s="140">
        <f>Transmission_Revenues!O144+Transmission_Revenues!O145</f>
        <v>2543400.7044760501</v>
      </c>
      <c r="C70" s="186"/>
      <c r="D70" s="127"/>
      <c r="E70" s="187"/>
      <c r="F70" s="130"/>
    </row>
    <row r="71" spans="1:7">
      <c r="A71" s="135" t="s">
        <v>202</v>
      </c>
      <c r="B71" s="140">
        <f>Transmission_Revenues!O146+Transmission_Revenues!O147</f>
        <v>250027.44</v>
      </c>
      <c r="C71" s="186"/>
      <c r="D71" s="127"/>
      <c r="E71" s="187"/>
      <c r="F71" s="187"/>
    </row>
    <row r="72" spans="1:7">
      <c r="A72" s="135" t="s">
        <v>13</v>
      </c>
      <c r="B72" s="140">
        <f>Transmission_Revenues!O155</f>
        <v>0</v>
      </c>
      <c r="C72" s="186">
        <v>149832.66214</v>
      </c>
      <c r="D72" s="127">
        <f>B72-C72</f>
        <v>-149832.66214</v>
      </c>
      <c r="E72" s="187">
        <f t="shared" si="5"/>
        <v>-1</v>
      </c>
      <c r="F72" s="187">
        <f t="shared" ref="F72:G74" si="6">E72/D72</f>
        <v>6.6741122110319599E-6</v>
      </c>
      <c r="G72" s="187">
        <f t="shared" si="6"/>
        <v>-6.6741122110319599E-6</v>
      </c>
    </row>
    <row r="73" spans="1:7">
      <c r="A73" s="135" t="s">
        <v>14</v>
      </c>
      <c r="B73" s="140">
        <f>Transmission_Revenues!O167+Transmission_Revenues!O168</f>
        <v>6242146.6012800001</v>
      </c>
      <c r="C73" s="186">
        <v>6193141.9200000009</v>
      </c>
      <c r="D73" s="127">
        <f>B73-C73</f>
        <v>49004.681279999204</v>
      </c>
      <c r="E73" s="187">
        <f t="shared" si="5"/>
        <v>7.9127334579148795E-3</v>
      </c>
      <c r="F73" s="187">
        <f t="shared" si="6"/>
        <v>1.6146893013554577E-7</v>
      </c>
      <c r="G73" s="187">
        <f t="shared" si="6"/>
        <v>2.0406213730608231E-5</v>
      </c>
    </row>
    <row r="74" spans="1:7">
      <c r="A74" s="135" t="s">
        <v>77</v>
      </c>
      <c r="B74" s="140">
        <f>Transmission_Revenues!O169</f>
        <v>378887.03999999992</v>
      </c>
      <c r="C74" s="186">
        <v>379982.93759999995</v>
      </c>
      <c r="D74" s="127">
        <f>B74-C74</f>
        <v>-1095.8976000000257</v>
      </c>
      <c r="E74" s="187">
        <f t="shared" si="5"/>
        <v>-2.8840705504352255E-3</v>
      </c>
      <c r="F74" s="187">
        <f t="shared" si="6"/>
        <v>2.6316971133390179E-6</v>
      </c>
      <c r="G74" s="187">
        <f t="shared" si="6"/>
        <v>-9.1249401403924646E-4</v>
      </c>
    </row>
    <row r="75" spans="1:7">
      <c r="A75" s="188" t="s">
        <v>124</v>
      </c>
      <c r="B75" s="140">
        <f>Transmission_Revenues!O170</f>
        <v>86400</v>
      </c>
      <c r="C75" s="186">
        <v>72000</v>
      </c>
      <c r="D75" s="127">
        <f>B75-C75</f>
        <v>14400</v>
      </c>
      <c r="E75" s="187">
        <f t="shared" si="5"/>
        <v>0.2</v>
      </c>
      <c r="F75" s="130" t="s">
        <v>196</v>
      </c>
    </row>
    <row r="76" spans="1:7">
      <c r="A76" s="135" t="s">
        <v>58</v>
      </c>
      <c r="B76" s="157">
        <f>Transmission_Revenues!O171+Transmission_Revenues!O172</f>
        <v>3665636.9700000007</v>
      </c>
      <c r="C76" s="138">
        <v>2689791.5722222216</v>
      </c>
      <c r="D76" s="128">
        <f>B76-C76</f>
        <v>975845.39777777903</v>
      </c>
      <c r="E76" s="166">
        <f t="shared" si="5"/>
        <v>0.36279591618006524</v>
      </c>
      <c r="F76" s="130" t="s">
        <v>197</v>
      </c>
    </row>
    <row r="77" spans="1:7">
      <c r="A77" s="167" t="s">
        <v>81</v>
      </c>
      <c r="B77" s="140">
        <f>SUM(B61:B76)</f>
        <v>46522343.427022882</v>
      </c>
      <c r="C77" s="170">
        <f>SUM(C61:C76)</f>
        <v>47521645.600458741</v>
      </c>
      <c r="D77" s="295">
        <f>SUM(D61:D76)</f>
        <v>-3792730.317911908</v>
      </c>
      <c r="E77" s="187">
        <f t="shared" si="5"/>
        <v>-7.9810584629150458E-2</v>
      </c>
      <c r="F77" s="130"/>
    </row>
    <row r="78" spans="1:7">
      <c r="A78" s="136"/>
      <c r="B78" s="142"/>
      <c r="C78" s="186"/>
      <c r="D78" s="129"/>
      <c r="E78" s="189"/>
      <c r="F78" s="130"/>
    </row>
    <row r="79" spans="1:7">
      <c r="A79" s="135" t="s">
        <v>133</v>
      </c>
      <c r="B79" s="140" t="e">
        <f>Transmission_Revenues!#REF!+Transmission_Revenues!#REF!+Transmission_Revenues!#REF!+Transmission_Revenues!#REF!+Transmission_Revenues!#REF!</f>
        <v>#REF!</v>
      </c>
      <c r="C79" s="186">
        <v>-614346.30999999994</v>
      </c>
      <c r="D79" s="127" t="e">
        <f>B79-C79</f>
        <v>#REF!</v>
      </c>
      <c r="E79" s="187" t="e">
        <f>D79/C79</f>
        <v>#REF!</v>
      </c>
      <c r="F79" s="130" t="s">
        <v>205</v>
      </c>
    </row>
    <row r="80" spans="1:7">
      <c r="A80" s="135"/>
      <c r="B80" s="140"/>
      <c r="C80" s="186"/>
      <c r="D80" s="127"/>
      <c r="E80" s="187"/>
      <c r="F80" s="130"/>
    </row>
    <row r="81" spans="1:6">
      <c r="A81" s="135" t="s">
        <v>134</v>
      </c>
      <c r="B81" s="141">
        <f>Transmission_Revenues!O176</f>
        <v>-6797123.0000000028</v>
      </c>
      <c r="C81" s="186">
        <v>-6796999.9200000009</v>
      </c>
      <c r="D81" s="127">
        <f>B81-C81</f>
        <v>-123.08000000193715</v>
      </c>
      <c r="E81" s="187">
        <f>D81/C81</f>
        <v>1.8107989032010632E-5</v>
      </c>
      <c r="F81" s="130"/>
    </row>
    <row r="82" spans="1:6">
      <c r="A82" s="135"/>
      <c r="B82" s="141"/>
      <c r="C82" s="186"/>
      <c r="D82" s="128"/>
      <c r="E82" s="187"/>
      <c r="F82" s="130"/>
    </row>
    <row r="83" spans="1:6" ht="10.8" thickBot="1">
      <c r="A83" s="136" t="s">
        <v>115</v>
      </c>
      <c r="B83" s="162" t="e">
        <f>B77+B79+B81</f>
        <v>#REF!</v>
      </c>
      <c r="C83" s="293">
        <f>C77+C79+C81</f>
        <v>40110299.370458737</v>
      </c>
      <c r="D83" s="165" t="e">
        <f>B83-C83</f>
        <v>#REF!</v>
      </c>
      <c r="E83" s="168" t="e">
        <f>D83/C83</f>
        <v>#REF!</v>
      </c>
      <c r="F83" s="130"/>
    </row>
    <row r="84" spans="1:6" ht="10.8" thickTop="1">
      <c r="A84" s="137" t="s">
        <v>135</v>
      </c>
      <c r="B84" s="143">
        <f>B61+B65+B69+B63+B70+B71</f>
        <v>34921090.11294248</v>
      </c>
      <c r="C84" s="143">
        <f>C61+C65+C69+C63</f>
        <v>36801500.894275069</v>
      </c>
      <c r="D84" s="182">
        <f>B84-C84</f>
        <v>-1880410.7813325897</v>
      </c>
      <c r="E84" s="183">
        <f>D84/C84</f>
        <v>-5.1096035097446556E-2</v>
      </c>
      <c r="F84" s="131" t="s">
        <v>206</v>
      </c>
    </row>
    <row r="85" spans="1:6" ht="20.399999999999999">
      <c r="A85" s="164" t="s">
        <v>147</v>
      </c>
      <c r="B85" s="126" t="str">
        <f>B59</f>
        <v>Revised Forecast            July 22,2011</v>
      </c>
      <c r="C85" s="126" t="str">
        <f>C59</f>
        <v>Variance</v>
      </c>
      <c r="D85" s="125" t="s">
        <v>92</v>
      </c>
      <c r="E85" s="125" t="s">
        <v>93</v>
      </c>
      <c r="F85" s="125"/>
    </row>
    <row r="86" spans="1:6">
      <c r="A86" s="134"/>
      <c r="B86" s="139"/>
      <c r="C86" s="186"/>
      <c r="D86" s="132"/>
      <c r="E86" s="12"/>
      <c r="F86" s="133"/>
    </row>
    <row r="87" spans="1:6">
      <c r="A87" s="135" t="s">
        <v>79</v>
      </c>
      <c r="B87" s="140">
        <f>Transmission_Revenues!O182+Transmission_Revenues!O183</f>
        <v>8012914.657399999</v>
      </c>
      <c r="C87" s="186">
        <v>9984997.8199999984</v>
      </c>
      <c r="D87" s="127">
        <f t="shared" ref="D87:D95" si="7">B87-C87</f>
        <v>-1972083.1625999995</v>
      </c>
      <c r="E87" s="187">
        <f t="shared" ref="E87:E103" si="8">D87/C87</f>
        <v>-0.19750461624036686</v>
      </c>
      <c r="F87" s="130"/>
    </row>
    <row r="88" spans="1:6">
      <c r="A88" s="135" t="s">
        <v>75</v>
      </c>
      <c r="B88" s="140">
        <f>Transmission_Revenues!O184</f>
        <v>349965.69999999995</v>
      </c>
      <c r="C88" s="186">
        <v>434130.34</v>
      </c>
      <c r="D88" s="127">
        <f t="shared" si="7"/>
        <v>-84164.640000000072</v>
      </c>
      <c r="E88" s="187">
        <f t="shared" si="8"/>
        <v>-0.19386951854136725</v>
      </c>
      <c r="F88" s="130"/>
    </row>
    <row r="89" spans="1:6">
      <c r="A89" s="135" t="s">
        <v>125</v>
      </c>
      <c r="B89" s="140">
        <f>Transmission_Revenues!O185+Transmission_Revenues!O186</f>
        <v>2889337.9322600001</v>
      </c>
      <c r="C89" s="186">
        <v>3057109.86</v>
      </c>
      <c r="D89" s="127">
        <f t="shared" si="7"/>
        <v>-167771.92773999972</v>
      </c>
      <c r="E89" s="187">
        <f t="shared" si="8"/>
        <v>-5.4879260289324286E-2</v>
      </c>
      <c r="F89" s="130"/>
    </row>
    <row r="90" spans="1:6">
      <c r="A90" s="135" t="s">
        <v>126</v>
      </c>
      <c r="B90" s="140">
        <f>Transmission_Revenues!O187</f>
        <v>181717.09920000003</v>
      </c>
      <c r="C90" s="186">
        <v>191401.66080000001</v>
      </c>
      <c r="D90" s="127">
        <f t="shared" si="7"/>
        <v>-9684.5615999999864</v>
      </c>
      <c r="E90" s="187">
        <f t="shared" si="8"/>
        <v>-5.0598106408907322E-2</v>
      </c>
      <c r="F90" s="130"/>
    </row>
    <row r="91" spans="1:6">
      <c r="A91" s="135" t="s">
        <v>80</v>
      </c>
      <c r="B91" s="140">
        <f>Transmission_Revenues!O188+Transmission_Revenues!O189</f>
        <v>8315883.849169638</v>
      </c>
      <c r="C91" s="186">
        <v>9460744.8212461695</v>
      </c>
      <c r="D91" s="127">
        <f t="shared" si="7"/>
        <v>-1144860.9720765315</v>
      </c>
      <c r="E91" s="187">
        <f t="shared" si="8"/>
        <v>-0.1210117166996721</v>
      </c>
      <c r="F91" s="130"/>
    </row>
    <row r="92" spans="1:6">
      <c r="A92" s="135" t="s">
        <v>76</v>
      </c>
      <c r="B92" s="140">
        <f>Transmission_Revenues!O190</f>
        <v>103770.84055017828</v>
      </c>
      <c r="C92" s="186">
        <v>117524.78038815118</v>
      </c>
      <c r="D92" s="127">
        <f t="shared" si="7"/>
        <v>-13753.939837972895</v>
      </c>
      <c r="E92" s="187">
        <f t="shared" si="8"/>
        <v>-0.11703012583854668</v>
      </c>
      <c r="F92" s="130"/>
    </row>
    <row r="93" spans="1:6">
      <c r="A93" s="135" t="s">
        <v>57</v>
      </c>
      <c r="B93" s="140">
        <f>Transmission_Revenues!O191</f>
        <v>337478.33909526229</v>
      </c>
      <c r="C93" s="186">
        <v>382208.21453932585</v>
      </c>
      <c r="D93" s="127">
        <f t="shared" si="7"/>
        <v>-44729.875444063568</v>
      </c>
      <c r="E93" s="187">
        <f t="shared" si="8"/>
        <v>-0.11703012583854672</v>
      </c>
      <c r="F93" s="130"/>
    </row>
    <row r="94" spans="1:6">
      <c r="A94" s="135" t="s">
        <v>183</v>
      </c>
      <c r="B94" s="140">
        <f>Transmission_Revenues!O192</f>
        <v>247682.59000000003</v>
      </c>
      <c r="C94" s="186">
        <v>111600</v>
      </c>
      <c r="D94" s="127">
        <f t="shared" si="7"/>
        <v>136082.59000000003</v>
      </c>
      <c r="E94" s="187">
        <f t="shared" si="8"/>
        <v>1.2193780465949824</v>
      </c>
      <c r="F94" s="130" t="s">
        <v>195</v>
      </c>
    </row>
    <row r="95" spans="1:6">
      <c r="A95" s="135" t="s">
        <v>129</v>
      </c>
      <c r="B95" s="140">
        <f>Transmission_Revenues!O193+Transmission_Revenues!O194</f>
        <v>13053820.30645914</v>
      </c>
      <c r="C95" s="186">
        <v>14788716.9045</v>
      </c>
      <c r="D95" s="127">
        <f t="shared" si="7"/>
        <v>-1734896.5980408601</v>
      </c>
      <c r="E95" s="187">
        <f t="shared" si="8"/>
        <v>-0.11731217855099757</v>
      </c>
      <c r="F95" s="187">
        <f>E95/D95</f>
        <v>6.7619118443988462E-8</v>
      </c>
    </row>
    <row r="96" spans="1:6">
      <c r="A96" s="135" t="s">
        <v>184</v>
      </c>
      <c r="B96" s="140">
        <f>Transmission_Revenues!O195+Transmission_Revenues!O196</f>
        <v>2570467.9942055549</v>
      </c>
      <c r="C96" s="186"/>
      <c r="D96" s="127"/>
      <c r="E96" s="187"/>
      <c r="F96" s="187"/>
    </row>
    <row r="97" spans="1:7">
      <c r="A97" s="135" t="s">
        <v>202</v>
      </c>
      <c r="B97" s="140">
        <f>Transmission_Revenues!O197+Transmission_Revenues!O198</f>
        <v>20832.611683848798</v>
      </c>
      <c r="C97" s="186"/>
      <c r="D97" s="127"/>
      <c r="E97" s="187"/>
      <c r="F97" s="187"/>
    </row>
    <row r="98" spans="1:7">
      <c r="A98" s="135" t="s">
        <v>13</v>
      </c>
      <c r="B98" s="140">
        <f>Transmission_Revenues!O206</f>
        <v>0</v>
      </c>
      <c r="C98" s="186">
        <v>149832.66214</v>
      </c>
      <c r="D98" s="127">
        <f>B98-C98</f>
        <v>-149832.66214</v>
      </c>
      <c r="E98" s="187">
        <f t="shared" si="8"/>
        <v>-1</v>
      </c>
      <c r="F98" s="187">
        <f t="shared" ref="F98:G100" si="9">E98/D98</f>
        <v>6.6741122110319599E-6</v>
      </c>
      <c r="G98" s="187">
        <f t="shared" si="9"/>
        <v>-6.6741122110319599E-6</v>
      </c>
    </row>
    <row r="99" spans="1:7">
      <c r="A99" s="135" t="s">
        <v>14</v>
      </c>
      <c r="B99" s="140">
        <f>Transmission_Revenues!O218+Transmission_Revenues!O219</f>
        <v>5713242.4012800008</v>
      </c>
      <c r="C99" s="186">
        <v>7323361.9200000009</v>
      </c>
      <c r="D99" s="127">
        <f>B99-C99</f>
        <v>-1610119.5187200001</v>
      </c>
      <c r="E99" s="187">
        <f t="shared" si="8"/>
        <v>-0.21986070554874337</v>
      </c>
      <c r="F99" s="187">
        <f t="shared" si="9"/>
        <v>1.3654930767097743E-7</v>
      </c>
      <c r="G99" s="187">
        <f t="shared" si="9"/>
        <v>-6.2107190700661281E-7</v>
      </c>
    </row>
    <row r="100" spans="1:7">
      <c r="A100" s="135" t="s">
        <v>77</v>
      </c>
      <c r="B100" s="140">
        <f>Transmission_Revenues!O220</f>
        <v>345623.03999999986</v>
      </c>
      <c r="C100" s="186">
        <v>450744.53760000016</v>
      </c>
      <c r="D100" s="127">
        <f>B100-C100</f>
        <v>-105121.49760000029</v>
      </c>
      <c r="E100" s="187">
        <f t="shared" si="8"/>
        <v>-0.23321746317708511</v>
      </c>
      <c r="F100" s="187">
        <f t="shared" si="9"/>
        <v>2.2185515665359437E-6</v>
      </c>
      <c r="G100" s="187">
        <f t="shared" si="9"/>
        <v>-9.512802070277936E-6</v>
      </c>
    </row>
    <row r="101" spans="1:7">
      <c r="A101" s="135" t="s">
        <v>124</v>
      </c>
      <c r="B101" s="140">
        <f>Transmission_Revenues!O221</f>
        <v>86400</v>
      </c>
      <c r="C101" s="186">
        <v>72000</v>
      </c>
      <c r="D101" s="127">
        <f>B101-C101</f>
        <v>14400</v>
      </c>
      <c r="E101" s="187">
        <f t="shared" si="8"/>
        <v>0.2</v>
      </c>
      <c r="F101" s="187">
        <f>E101/D101</f>
        <v>1.388888888888889E-5</v>
      </c>
    </row>
    <row r="102" spans="1:7">
      <c r="A102" s="135" t="s">
        <v>58</v>
      </c>
      <c r="B102" s="157">
        <f>Transmission_Revenues!O222+Transmission_Revenues!O223</f>
        <v>3665636.9700000007</v>
      </c>
      <c r="C102" s="138">
        <v>2689791.5722222216</v>
      </c>
      <c r="D102" s="128">
        <f>B102-C102</f>
        <v>975845.39777777903</v>
      </c>
      <c r="E102" s="166">
        <f t="shared" si="8"/>
        <v>0.36279591618006524</v>
      </c>
      <c r="F102" s="130" t="s">
        <v>197</v>
      </c>
    </row>
    <row r="103" spans="1:7">
      <c r="A103" s="167" t="s">
        <v>81</v>
      </c>
      <c r="B103" s="140">
        <f>SUM(B87:B102)</f>
        <v>45894774.331303611</v>
      </c>
      <c r="C103" s="170">
        <f>SUM(C87:C102)</f>
        <v>49214165.093435869</v>
      </c>
      <c r="D103" s="295">
        <f>SUM(D87:D102)</f>
        <v>-5910691.3680216484</v>
      </c>
      <c r="E103" s="187">
        <f t="shared" si="8"/>
        <v>-0.12010142520552503</v>
      </c>
      <c r="F103" s="130"/>
    </row>
    <row r="104" spans="1:7">
      <c r="A104" s="136"/>
      <c r="B104" s="142"/>
      <c r="C104" s="186"/>
      <c r="D104" s="129"/>
      <c r="E104" s="189"/>
      <c r="F104" s="130"/>
    </row>
    <row r="105" spans="1:7">
      <c r="A105" s="135" t="s">
        <v>133</v>
      </c>
      <c r="B105" s="140" t="e">
        <f>Transmission_Revenues!#REF!+Transmission_Revenues!#REF!+Transmission_Revenues!#REF!+Transmission_Revenues!#REF!+Transmission_Revenues!#REF!</f>
        <v>#REF!</v>
      </c>
      <c r="C105" s="294">
        <v>-450121.76</v>
      </c>
      <c r="D105" s="127" t="e">
        <f>B105-C105</f>
        <v>#REF!</v>
      </c>
      <c r="E105" s="187" t="e">
        <f>D105/C105</f>
        <v>#REF!</v>
      </c>
      <c r="F105" s="130" t="s">
        <v>205</v>
      </c>
    </row>
    <row r="106" spans="1:7">
      <c r="A106" s="135"/>
      <c r="B106" s="140"/>
      <c r="C106" s="186"/>
      <c r="D106" s="127"/>
      <c r="E106" s="187"/>
      <c r="F106" s="130"/>
    </row>
    <row r="107" spans="1:7">
      <c r="A107" s="135" t="s">
        <v>134</v>
      </c>
      <c r="B107" s="141">
        <f>Transmission_Revenues!O227</f>
        <v>-6797123.0000000028</v>
      </c>
      <c r="C107" s="186">
        <v>-6796999.9200000009</v>
      </c>
      <c r="D107" s="127">
        <f>B107-C107</f>
        <v>-123.08000000193715</v>
      </c>
      <c r="E107" s="187">
        <f>D107/C107</f>
        <v>1.8107989032010632E-5</v>
      </c>
      <c r="F107" s="130"/>
    </row>
    <row r="108" spans="1:7">
      <c r="A108" s="135"/>
      <c r="B108" s="141"/>
      <c r="C108" s="186"/>
      <c r="D108" s="128"/>
      <c r="E108" s="187"/>
      <c r="F108" s="130"/>
    </row>
    <row r="109" spans="1:7" ht="10.8" thickBot="1">
      <c r="A109" s="136" t="s">
        <v>148</v>
      </c>
      <c r="B109" s="162" t="e">
        <f>B103+B105+B107</f>
        <v>#REF!</v>
      </c>
      <c r="C109" s="293">
        <f>C103+C105+C107</f>
        <v>41967043.413435869</v>
      </c>
      <c r="D109" s="165" t="e">
        <f>B109-C109</f>
        <v>#REF!</v>
      </c>
      <c r="E109" s="168" t="e">
        <f>D109/C109</f>
        <v>#REF!</v>
      </c>
      <c r="F109" s="130"/>
    </row>
    <row r="110" spans="1:7" ht="10.8" thickTop="1">
      <c r="A110" s="137" t="s">
        <v>135</v>
      </c>
      <c r="B110" s="143">
        <f>B87+B91+B95+B89+B96+B97</f>
        <v>34863257.351178177</v>
      </c>
      <c r="C110" s="143">
        <f>C87+C91+C95+C89</f>
        <v>37291569.405746169</v>
      </c>
      <c r="D110" s="182">
        <f>B110-C110</f>
        <v>-2428312.0545679927</v>
      </c>
      <c r="E110" s="183">
        <f>D110/C110</f>
        <v>-6.5116917664339968E-2</v>
      </c>
      <c r="F110" s="131" t="s">
        <v>206</v>
      </c>
    </row>
    <row r="111" spans="1:7" ht="20.399999999999999">
      <c r="A111" s="164" t="s">
        <v>180</v>
      </c>
      <c r="B111" s="126" t="str">
        <f>B85</f>
        <v>Revised Forecast            July 22,2011</v>
      </c>
      <c r="C111" s="125" t="s">
        <v>92</v>
      </c>
      <c r="D111" s="125" t="s">
        <v>92</v>
      </c>
      <c r="E111" s="125" t="s">
        <v>93</v>
      </c>
      <c r="F111" s="125"/>
    </row>
    <row r="112" spans="1:7">
      <c r="A112" s="134"/>
      <c r="B112" s="139"/>
      <c r="C112" s="186"/>
      <c r="D112" s="132"/>
      <c r="E112" s="12"/>
      <c r="F112" s="133"/>
    </row>
    <row r="113" spans="1:6">
      <c r="A113" s="135" t="s">
        <v>79</v>
      </c>
      <c r="B113" s="140">
        <f>Transmission_Revenues!O234+Transmission_Revenues!O235</f>
        <v>8080987.833420001</v>
      </c>
      <c r="C113" s="186"/>
      <c r="D113" s="127"/>
      <c r="E113" s="187"/>
      <c r="F113" s="130"/>
    </row>
    <row r="114" spans="1:6">
      <c r="A114" s="135" t="s">
        <v>75</v>
      </c>
      <c r="B114" s="140">
        <f>Transmission_Revenues!O236</f>
        <v>352938.81</v>
      </c>
      <c r="C114" s="186"/>
      <c r="D114" s="127"/>
      <c r="E114" s="187"/>
      <c r="F114" s="130"/>
    </row>
    <row r="115" spans="1:6">
      <c r="A115" s="135" t="s">
        <v>125</v>
      </c>
      <c r="B115" s="140">
        <f>Transmission_Revenues!O237+Transmission_Revenues!O238</f>
        <v>2913822.9912400004</v>
      </c>
      <c r="C115" s="186"/>
      <c r="D115" s="127"/>
      <c r="E115" s="187"/>
      <c r="F115" s="130"/>
    </row>
    <row r="116" spans="1:6">
      <c r="A116" s="135" t="s">
        <v>126</v>
      </c>
      <c r="B116" s="140">
        <f>Transmission_Revenues!O239</f>
        <v>183257.02080000003</v>
      </c>
      <c r="C116" s="186"/>
      <c r="D116" s="127"/>
      <c r="E116" s="187"/>
      <c r="F116" s="130"/>
    </row>
    <row r="117" spans="1:6">
      <c r="A117" s="135" t="s">
        <v>80</v>
      </c>
      <c r="B117" s="140">
        <f>Transmission_Revenues!O240+Transmission_Revenues!O241</f>
        <v>8509256.1039429456</v>
      </c>
      <c r="C117" s="186"/>
      <c r="D117" s="127"/>
      <c r="E117" s="187"/>
      <c r="F117" s="130"/>
    </row>
    <row r="118" spans="1:6">
      <c r="A118" s="135" t="s">
        <v>76</v>
      </c>
      <c r="B118" s="140">
        <f>Transmission_Revenues!O242</f>
        <v>106183.86143657666</v>
      </c>
      <c r="C118" s="186"/>
      <c r="D118" s="127"/>
      <c r="E118" s="187"/>
      <c r="F118" s="130"/>
    </row>
    <row r="119" spans="1:6">
      <c r="A119" s="135" t="s">
        <v>57</v>
      </c>
      <c r="B119" s="140">
        <f>Transmission_Revenues!O243</f>
        <v>345325.84497096279</v>
      </c>
      <c r="C119" s="186"/>
      <c r="D119" s="127"/>
      <c r="E119" s="187"/>
      <c r="F119" s="130"/>
    </row>
    <row r="120" spans="1:6">
      <c r="A120" s="135" t="s">
        <v>183</v>
      </c>
      <c r="B120" s="140">
        <f>Transmission_Revenues!O244</f>
        <v>245082.54999999993</v>
      </c>
      <c r="C120" s="186"/>
      <c r="D120" s="127"/>
      <c r="E120" s="187"/>
      <c r="F120" s="130"/>
    </row>
    <row r="121" spans="1:6">
      <c r="A121" s="135" t="s">
        <v>129</v>
      </c>
      <c r="B121" s="140">
        <f>Transmission_Revenues!O245+Transmission_Revenues!O246</f>
        <v>13101692.567554226</v>
      </c>
      <c r="C121" s="186"/>
      <c r="D121" s="127"/>
      <c r="E121" s="187"/>
      <c r="F121" s="130"/>
    </row>
    <row r="122" spans="1:6">
      <c r="A122" s="135" t="s">
        <v>184</v>
      </c>
      <c r="B122" s="140">
        <f>Transmission_Revenues!O247+Transmission_Revenues!O248</f>
        <v>2596296.8240678697</v>
      </c>
      <c r="C122" s="186"/>
      <c r="D122" s="127"/>
      <c r="E122" s="187"/>
      <c r="F122" s="130"/>
    </row>
    <row r="123" spans="1:6">
      <c r="A123" s="135" t="s">
        <v>202</v>
      </c>
      <c r="B123" s="140">
        <f>Transmission_Revenues!O249+Transmission_Revenues!O250</f>
        <v>0</v>
      </c>
      <c r="C123" s="186"/>
      <c r="D123" s="127"/>
      <c r="E123" s="187"/>
      <c r="F123" s="130"/>
    </row>
    <row r="124" spans="1:6">
      <c r="A124" s="135" t="s">
        <v>13</v>
      </c>
      <c r="B124" s="140">
        <f>Transmission_Revenues!O258</f>
        <v>0</v>
      </c>
      <c r="C124" s="186"/>
      <c r="D124" s="127"/>
      <c r="E124" s="187"/>
      <c r="F124" s="130"/>
    </row>
    <row r="125" spans="1:6">
      <c r="A125" s="135" t="s">
        <v>14</v>
      </c>
      <c r="B125" s="140">
        <f>Transmission_Revenues!O270+Transmission_Revenues!O271</f>
        <v>4831735.4012800008</v>
      </c>
      <c r="C125" s="186"/>
      <c r="D125" s="127"/>
      <c r="E125" s="187"/>
      <c r="F125" s="130"/>
    </row>
    <row r="126" spans="1:6">
      <c r="A126" s="135" t="s">
        <v>77</v>
      </c>
      <c r="B126" s="140">
        <f>Transmission_Revenues!O272</f>
        <v>290183.03999999992</v>
      </c>
      <c r="C126" s="186"/>
      <c r="D126" s="127"/>
      <c r="E126" s="187"/>
      <c r="F126" s="130"/>
    </row>
    <row r="127" spans="1:6">
      <c r="A127" s="135" t="s">
        <v>124</v>
      </c>
      <c r="B127" s="140">
        <f>Transmission_Revenues!O273</f>
        <v>86400</v>
      </c>
      <c r="C127" s="186"/>
      <c r="D127" s="127"/>
      <c r="E127" s="187"/>
      <c r="F127" s="130"/>
    </row>
    <row r="128" spans="1:6">
      <c r="A128" s="135" t="s">
        <v>58</v>
      </c>
      <c r="B128" s="157">
        <f>Transmission_Revenues!O274+Transmission_Revenues!O275</f>
        <v>3665636.9700000007</v>
      </c>
      <c r="C128" s="138"/>
      <c r="D128" s="128"/>
      <c r="E128" s="166"/>
      <c r="F128" s="130"/>
    </row>
    <row r="129" spans="1:6">
      <c r="A129" s="167" t="s">
        <v>81</v>
      </c>
      <c r="B129" s="140">
        <f>SUM(B113:B128)</f>
        <v>45308799.818712577</v>
      </c>
      <c r="C129" s="170"/>
      <c r="D129" s="295"/>
      <c r="E129" s="187"/>
      <c r="F129" s="130"/>
    </row>
    <row r="130" spans="1:6">
      <c r="A130" s="136"/>
      <c r="B130" s="142"/>
      <c r="C130" s="186"/>
      <c r="D130" s="129"/>
      <c r="E130" s="189"/>
      <c r="F130" s="130"/>
    </row>
    <row r="131" spans="1:6">
      <c r="A131" s="135" t="s">
        <v>133</v>
      </c>
      <c r="B131" s="140">
        <f>SUM(Transmission_Revenues!O226:O226)</f>
        <v>0</v>
      </c>
      <c r="C131" s="186"/>
      <c r="D131" s="127"/>
      <c r="E131" s="187"/>
      <c r="F131" s="130"/>
    </row>
    <row r="132" spans="1:6">
      <c r="A132" s="135"/>
      <c r="B132" s="140"/>
      <c r="C132" s="186"/>
      <c r="D132" s="127"/>
      <c r="E132" s="187"/>
      <c r="F132" s="130"/>
    </row>
    <row r="133" spans="1:6">
      <c r="A133" s="135" t="s">
        <v>134</v>
      </c>
      <c r="B133" s="141">
        <f>Transmission_Revenues!O279</f>
        <v>-6797123.0000000028</v>
      </c>
      <c r="C133" s="186"/>
      <c r="D133" s="127"/>
      <c r="E133" s="187"/>
      <c r="F133" s="130"/>
    </row>
    <row r="134" spans="1:6">
      <c r="A134" s="135"/>
      <c r="B134" s="141"/>
      <c r="C134" s="186"/>
      <c r="D134" s="128"/>
      <c r="E134" s="187"/>
      <c r="F134" s="130"/>
    </row>
    <row r="135" spans="1:6" ht="10.8" thickBot="1">
      <c r="A135" s="136" t="s">
        <v>181</v>
      </c>
      <c r="B135" s="162">
        <f>B129+B131+B133</f>
        <v>38511676.818712577</v>
      </c>
      <c r="C135" s="163"/>
      <c r="D135" s="165"/>
      <c r="E135" s="168"/>
      <c r="F135" s="130"/>
    </row>
    <row r="136" spans="1:6" ht="10.8" thickTop="1">
      <c r="A136" s="137" t="s">
        <v>135</v>
      </c>
      <c r="B136" s="143">
        <f>B113+B117+B121+B115+B122+B123</f>
        <v>35202056.320225045</v>
      </c>
      <c r="C136" s="143"/>
      <c r="D136" s="182"/>
      <c r="E136" s="183"/>
      <c r="F136" s="131"/>
    </row>
  </sheetData>
  <phoneticPr fontId="23" type="noConversion"/>
  <pageMargins left="0.44" right="0" top="0.24" bottom="0" header="0.28000000000000003" footer="0.21"/>
  <pageSetup scale="75" fitToHeight="3" pageOrder="overThenDown" orientation="portrait" horizontalDpi="300" verticalDpi="300" r:id="rId1"/>
  <headerFooter alignWithMargins="0">
    <oddHeader>&amp;R&amp;"Arial,Regular"&amp;8Page No. &amp;P of  &amp;N</oddHeader>
    <oddFooter>&amp;L&amp;"Times New Roman,Bold"&amp;8Note: FPL NED transmission revenues &amp;Unot&amp;U included in this transmission revenue forecast.
January 2010 actuals not yet available.&amp;R&amp;"Times New Roman,Bold"&amp;8&amp;D &amp;T</oddFooter>
  </headerFooter>
  <rowBreaks count="1" manualBreakCount="1">
    <brk id="8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Q378"/>
  <sheetViews>
    <sheetView zoomScale="150" zoomScaleNormal="150" workbookViewId="0">
      <pane xSplit="2" ySplit="10" topLeftCell="E299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2" sqref="A1:A2"/>
    </sheetView>
  </sheetViews>
  <sheetFormatPr defaultColWidth="9" defaultRowHeight="10.199999999999999"/>
  <cols>
    <col min="1" max="1" width="35" style="6" customWidth="1"/>
    <col min="2" max="2" width="7.88671875" style="6" customWidth="1"/>
    <col min="3" max="3" width="10.109375" style="6" customWidth="1"/>
    <col min="4" max="4" width="8.21875" style="6" customWidth="1"/>
    <col min="5" max="5" width="8.33203125" style="6" customWidth="1"/>
    <col min="6" max="6" width="9.109375" style="6" customWidth="1"/>
    <col min="7" max="7" width="9.44140625" style="6" customWidth="1"/>
    <col min="8" max="8" width="8.109375" style="6" customWidth="1"/>
    <col min="9" max="9" width="8.33203125" style="6" customWidth="1"/>
    <col min="10" max="10" width="8.109375" style="6" customWidth="1"/>
    <col min="11" max="11" width="8.33203125" style="6" bestFit="1" customWidth="1"/>
    <col min="12" max="12" width="8.109375" style="6" customWidth="1"/>
    <col min="13" max="13" width="8.44140625" style="6" customWidth="1"/>
    <col min="14" max="14" width="8.21875" style="6" customWidth="1"/>
    <col min="15" max="15" width="10.6640625" style="6" customWidth="1"/>
    <col min="16" max="16" width="10.77734375" style="7" customWidth="1"/>
    <col min="17" max="17" width="11.33203125" style="6" customWidth="1"/>
    <col min="18" max="16384" width="9" style="6"/>
  </cols>
  <sheetData>
    <row r="1" spans="1:17" ht="13.2">
      <c r="A1" s="480" t="s">
        <v>481</v>
      </c>
      <c r="B1" s="8"/>
      <c r="C1" s="5"/>
    </row>
    <row r="2" spans="1:17" ht="13.2">
      <c r="A2" s="480" t="s">
        <v>473</v>
      </c>
      <c r="B2" s="8"/>
      <c r="C2" s="9"/>
    </row>
    <row r="3" spans="1:17" ht="13.2">
      <c r="A3" s="91" t="s">
        <v>111</v>
      </c>
      <c r="B3" s="91"/>
    </row>
    <row r="4" spans="1:17" ht="11.4">
      <c r="A4" s="92" t="str">
        <f>Revenue_Variance.!A4</f>
        <v>YEARS 2015-2020 - Updated to include approved forecast October 2015 (all amounts are expressed in dollars)</v>
      </c>
      <c r="B4" s="92"/>
    </row>
    <row r="5" spans="1:17" ht="11.4">
      <c r="A5" s="158" t="s">
        <v>112</v>
      </c>
      <c r="B5" s="158"/>
      <c r="P5" s="38"/>
      <c r="Q5" s="39"/>
    </row>
    <row r="7" spans="1:17">
      <c r="A7" s="357" t="s">
        <v>204</v>
      </c>
      <c r="B7" s="310"/>
      <c r="C7" s="10"/>
    </row>
    <row r="8" spans="1:17">
      <c r="A8" s="88"/>
      <c r="B8" s="8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5"/>
      <c r="Q8" s="11"/>
    </row>
    <row r="9" spans="1:17">
      <c r="A9" s="203" t="s">
        <v>54</v>
      </c>
      <c r="B9" s="210" t="s">
        <v>152</v>
      </c>
      <c r="C9" s="201" t="s">
        <v>0</v>
      </c>
      <c r="D9" s="201" t="s">
        <v>1</v>
      </c>
      <c r="E9" s="201" t="s">
        <v>2</v>
      </c>
      <c r="F9" s="201" t="s">
        <v>3</v>
      </c>
      <c r="G9" s="201" t="s">
        <v>4</v>
      </c>
      <c r="H9" s="201" t="s">
        <v>5</v>
      </c>
      <c r="I9" s="201" t="s">
        <v>6</v>
      </c>
      <c r="J9" s="201" t="s">
        <v>7</v>
      </c>
      <c r="K9" s="201" t="s">
        <v>8</v>
      </c>
      <c r="L9" s="201" t="s">
        <v>9</v>
      </c>
      <c r="M9" s="201" t="s">
        <v>10</v>
      </c>
      <c r="N9" s="201" t="s">
        <v>11</v>
      </c>
      <c r="O9" s="202" t="s">
        <v>12</v>
      </c>
      <c r="Q9" s="11"/>
    </row>
    <row r="10" spans="1:17" s="10" customFormat="1">
      <c r="A10" s="90"/>
      <c r="B10" s="90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11"/>
    </row>
    <row r="11" spans="1:17">
      <c r="A11" s="89" t="s">
        <v>79</v>
      </c>
      <c r="B11" s="216">
        <v>456.21100000000001</v>
      </c>
      <c r="C11" s="40">
        <v>456.23099999999999</v>
      </c>
      <c r="D11" s="40">
        <f>'FMPA Network'!C141</f>
        <v>650195.52</v>
      </c>
      <c r="E11" s="40">
        <f>'FMPA Network'!D141</f>
        <v>568576.05000000005</v>
      </c>
      <c r="F11" s="40"/>
      <c r="G11" s="40">
        <f>'FMPA Network'!F141</f>
        <v>689384.25</v>
      </c>
      <c r="H11" s="40">
        <f>'FMPA Network'!G141</f>
        <v>749789.94000000006</v>
      </c>
      <c r="I11" s="40">
        <f>'FMPA Network'!H141</f>
        <v>775700.58000000007</v>
      </c>
      <c r="J11" s="40">
        <f>'FMPA Network'!I141</f>
        <v>788978.67</v>
      </c>
      <c r="K11" s="40">
        <f>'FMPA Network'!J141</f>
        <v>719829.57000000007</v>
      </c>
      <c r="L11" s="40">
        <f>'FMPA Network'!K141</f>
        <v>665093.82000000007</v>
      </c>
      <c r="M11" s="40">
        <f>'FMPA Network'!L141</f>
        <v>595458.18000000005</v>
      </c>
      <c r="N11" s="40">
        <f>'FMPA Network'!M141</f>
        <v>571492.11</v>
      </c>
      <c r="O11" s="40">
        <f>SUM(C11:N11)</f>
        <v>6774954.921000001</v>
      </c>
      <c r="Q11" s="11"/>
    </row>
    <row r="12" spans="1:17">
      <c r="A12" s="89" t="s">
        <v>142</v>
      </c>
      <c r="B12" s="216">
        <v>456.221</v>
      </c>
      <c r="C12" s="40">
        <f>'FMPA Network'!B148</f>
        <v>5588.6303200000002</v>
      </c>
      <c r="D12" s="40">
        <f>'FMPA Network'!C148</f>
        <v>5209.7427200000002</v>
      </c>
      <c r="E12" s="40">
        <f>'FMPA Network'!D148</f>
        <v>4555.7602999999999</v>
      </c>
      <c r="F12" s="40">
        <f>'FMPA Network'!E148</f>
        <v>4895.7272000000003</v>
      </c>
      <c r="G12" s="40">
        <f>'FMPA Network'!F148</f>
        <v>5523.7455</v>
      </c>
      <c r="H12" s="40">
        <f>'FMPA Network'!G148</f>
        <v>6007.7508399999997</v>
      </c>
      <c r="I12" s="40">
        <f>'FMPA Network'!H148</f>
        <v>6215.3618799999995</v>
      </c>
      <c r="J12" s="40">
        <f>'FMPA Network'!I148</f>
        <v>6321.7536199999995</v>
      </c>
      <c r="K12" s="40">
        <f>'FMPA Network'!J148</f>
        <v>5767.6910200000002</v>
      </c>
      <c r="L12" s="40">
        <f>'FMPA Network'!K148</f>
        <v>5329.1165199999996</v>
      </c>
      <c r="M12" s="40">
        <f>'FMPA Network'!L148</f>
        <v>4771.1554799999994</v>
      </c>
      <c r="N12" s="40">
        <f>'FMPA Network'!M148</f>
        <v>4579.1254600000002</v>
      </c>
      <c r="O12" s="40">
        <f>SUM(C12:N12)</f>
        <v>64765.560860000005</v>
      </c>
      <c r="Q12" s="11"/>
    </row>
    <row r="13" spans="1:17">
      <c r="A13" s="89" t="s">
        <v>75</v>
      </c>
      <c r="B13" s="216">
        <v>456.22199999999998</v>
      </c>
      <c r="C13" s="40">
        <f>'FMPA Network'!B155</f>
        <v>30706.760000000002</v>
      </c>
      <c r="D13" s="40">
        <f>'FMPA Network'!C155</f>
        <v>28624.960000000003</v>
      </c>
      <c r="E13" s="40">
        <f>'FMPA Network'!D155</f>
        <v>25031.65</v>
      </c>
      <c r="F13" s="40">
        <f>'FMPA Network'!E155</f>
        <v>26899.600000000002</v>
      </c>
      <c r="G13" s="40">
        <f>'FMPA Network'!F155</f>
        <v>30350.250000000004</v>
      </c>
      <c r="H13" s="40">
        <f>'FMPA Network'!G155</f>
        <v>33009.620000000003</v>
      </c>
      <c r="I13" s="40">
        <f>'FMPA Network'!H155</f>
        <v>34150.340000000004</v>
      </c>
      <c r="J13" s="40">
        <f>'FMPA Network'!I155</f>
        <v>34734.910000000003</v>
      </c>
      <c r="K13" s="40">
        <f>'FMPA Network'!J155</f>
        <v>31690.610000000004</v>
      </c>
      <c r="L13" s="40">
        <f>'FMPA Network'!K155</f>
        <v>29280.860000000004</v>
      </c>
      <c r="M13" s="40">
        <f>'FMPA Network'!L155</f>
        <v>26215.140000000003</v>
      </c>
      <c r="N13" s="40">
        <f>'FMPA Network'!M155</f>
        <v>25160.030000000002</v>
      </c>
      <c r="O13" s="40">
        <f>SUM(C13:N13)</f>
        <v>355854.73000000004</v>
      </c>
      <c r="Q13" s="11"/>
    </row>
    <row r="14" spans="1:17">
      <c r="A14" s="89" t="s">
        <v>125</v>
      </c>
      <c r="B14" s="216">
        <v>456.21100000000001</v>
      </c>
      <c r="C14" s="40">
        <f>'Vero Beach Network'!B15</f>
        <v>297388.83</v>
      </c>
      <c r="D14" s="40">
        <f>'Vero Beach Network'!C15</f>
        <v>239008.80000000002</v>
      </c>
      <c r="E14" s="40">
        <f>'Vero Beach Network'!D15</f>
        <v>209018.22</v>
      </c>
      <c r="F14" s="40">
        <f>'Vero Beach Network'!E15</f>
        <v>216095.31</v>
      </c>
      <c r="G14" s="40">
        <f>'Vero Beach Network'!F15</f>
        <v>240516.12000000002</v>
      </c>
      <c r="H14" s="40">
        <f>'Vero Beach Network'!G15</f>
        <v>262750.68</v>
      </c>
      <c r="I14" s="40">
        <f>'Vero Beach Network'!H15</f>
        <v>260418.15000000002</v>
      </c>
      <c r="J14" s="40">
        <f>'Vero Beach Network'!I15</f>
        <v>280498.26</v>
      </c>
      <c r="K14" s="40">
        <f>'Vero Beach Network'!J15</f>
        <v>263819.16000000003</v>
      </c>
      <c r="L14" s="40">
        <f>'Vero Beach Network'!K15</f>
        <v>245779.02000000002</v>
      </c>
      <c r="M14" s="40">
        <f>'Vero Beach Network'!L15</f>
        <v>213163.35</v>
      </c>
      <c r="N14" s="40">
        <f>'Vero Beach Network'!M15</f>
        <v>224434.86000000002</v>
      </c>
      <c r="O14" s="40">
        <f>SUM(C14:N14)</f>
        <v>2952890.76</v>
      </c>
      <c r="Q14" s="11"/>
    </row>
    <row r="15" spans="1:17">
      <c r="A15" s="89" t="s">
        <v>143</v>
      </c>
      <c r="B15" s="216">
        <v>456.221</v>
      </c>
      <c r="C15" s="40">
        <f>'Vero Beach Network'!B22</f>
        <v>2382.8513800000001</v>
      </c>
      <c r="D15" s="40">
        <f>'Vero Beach Network'!C22</f>
        <v>1915.0768</v>
      </c>
      <c r="E15" s="40">
        <f>'Vero Beach Network'!D22</f>
        <v>1674.7749199999998</v>
      </c>
      <c r="F15" s="40">
        <f>'Vero Beach Network'!E22</f>
        <v>1731.4806599999999</v>
      </c>
      <c r="G15" s="40">
        <f>'Vero Beach Network'!F22</f>
        <v>1927.1543199999999</v>
      </c>
      <c r="H15" s="40">
        <f>'Vero Beach Network'!G22</f>
        <v>2105.3104800000001</v>
      </c>
      <c r="I15" s="40">
        <f>'Vero Beach Network'!H22</f>
        <v>2086.6208999999999</v>
      </c>
      <c r="J15" s="40">
        <f>'Vero Beach Network'!I22</f>
        <v>2247.5143600000001</v>
      </c>
      <c r="K15" s="40">
        <f>'Vero Beach Network'!J22</f>
        <v>2113.87176</v>
      </c>
      <c r="L15" s="40">
        <f>'Vero Beach Network'!K22</f>
        <v>1969.3237199999999</v>
      </c>
      <c r="M15" s="40">
        <f>'Vero Beach Network'!L22</f>
        <v>1707.9881</v>
      </c>
      <c r="N15" s="40">
        <f>'Vero Beach Network'!M22</f>
        <v>1798.30196</v>
      </c>
      <c r="O15" s="40">
        <f>SUM(C15:N15)</f>
        <v>23660.269359999998</v>
      </c>
      <c r="Q15" s="11"/>
    </row>
    <row r="16" spans="1:17">
      <c r="A16" s="89" t="s">
        <v>126</v>
      </c>
      <c r="B16" s="216">
        <v>456.22199999999998</v>
      </c>
      <c r="C16" s="40">
        <f>'Vero Beach Network'!B29</f>
        <v>18853.329600000001</v>
      </c>
      <c r="D16" s="40">
        <f>'Vero Beach Network'!C29</f>
        <v>15152.255999999999</v>
      </c>
      <c r="E16" s="40">
        <f>'Vero Beach Network'!D29</f>
        <v>13250.966399999999</v>
      </c>
      <c r="F16" s="40">
        <f>'Vero Beach Network'!E29</f>
        <v>13699.627200000001</v>
      </c>
      <c r="G16" s="40">
        <f>'Vero Beach Network'!F29</f>
        <v>15247.814399999999</v>
      </c>
      <c r="H16" s="40">
        <f>'Vero Beach Network'!G29</f>
        <v>16657.401600000001</v>
      </c>
      <c r="I16" s="40">
        <f>'Vero Beach Network'!H29</f>
        <v>16509.527999999998</v>
      </c>
      <c r="J16" s="40">
        <f>'Vero Beach Network'!I29</f>
        <v>17782.531200000001</v>
      </c>
      <c r="K16" s="40">
        <f>'Vero Beach Network'!J29</f>
        <v>16725.139200000001</v>
      </c>
      <c r="L16" s="40">
        <f>'Vero Beach Network'!K29</f>
        <v>15581.4624</v>
      </c>
      <c r="M16" s="40">
        <f>'Vero Beach Network'!L29</f>
        <v>13513.752</v>
      </c>
      <c r="N16" s="40">
        <f>'Vero Beach Network'!M29</f>
        <v>14228.323200000001</v>
      </c>
      <c r="O16" s="40">
        <f t="shared" ref="O16:O22" si="0">SUM(C16:N16)</f>
        <v>187202.1312</v>
      </c>
      <c r="Q16" s="11"/>
    </row>
    <row r="17" spans="1:17">
      <c r="A17" s="89" t="s">
        <v>80</v>
      </c>
      <c r="B17" s="216">
        <v>456.21100000000001</v>
      </c>
      <c r="C17" s="40" t="e">
        <f>'SECI Network'!#REF!</f>
        <v>#REF!</v>
      </c>
      <c r="D17" s="40" t="e">
        <f>'SECI Network'!#REF!</f>
        <v>#REF!</v>
      </c>
      <c r="E17" s="40" t="e">
        <f>'SECI Network'!#REF!</f>
        <v>#REF!</v>
      </c>
      <c r="F17" s="40" t="e">
        <f>'SECI Network'!#REF!</f>
        <v>#REF!</v>
      </c>
      <c r="G17" s="40" t="e">
        <f>'SECI Network'!#REF!</f>
        <v>#REF!</v>
      </c>
      <c r="H17" s="40" t="e">
        <f>'SECI Network'!#REF!</f>
        <v>#REF!</v>
      </c>
      <c r="I17" s="40" t="e">
        <f>'SECI Network'!#REF!</f>
        <v>#REF!</v>
      </c>
      <c r="J17" s="40" t="e">
        <f>'SECI Network'!#REF!</f>
        <v>#REF!</v>
      </c>
      <c r="K17" s="40" t="e">
        <f>'SECI Network'!#REF!</f>
        <v>#REF!</v>
      </c>
      <c r="L17" s="40" t="e">
        <f>'SECI Network'!#REF!</f>
        <v>#REF!</v>
      </c>
      <c r="M17" s="40" t="e">
        <f>'SECI Network'!#REF!</f>
        <v>#REF!</v>
      </c>
      <c r="N17" s="40" t="e">
        <f>'SECI Network'!#REF!</f>
        <v>#REF!</v>
      </c>
      <c r="O17" s="40" t="e">
        <f t="shared" si="0"/>
        <v>#REF!</v>
      </c>
      <c r="Q17" s="11"/>
    </row>
    <row r="18" spans="1:17">
      <c r="A18" s="89" t="s">
        <v>144</v>
      </c>
      <c r="B18" s="216">
        <v>456.221</v>
      </c>
      <c r="C18" s="40" t="e">
        <f>'SECI Network'!#REF!</f>
        <v>#REF!</v>
      </c>
      <c r="D18" s="40" t="e">
        <f>'SECI Network'!#REF!</f>
        <v>#REF!</v>
      </c>
      <c r="E18" s="40" t="e">
        <f>'SECI Network'!#REF!</f>
        <v>#REF!</v>
      </c>
      <c r="F18" s="40" t="e">
        <f>'SECI Network'!#REF!</f>
        <v>#REF!</v>
      </c>
      <c r="G18" s="40" t="e">
        <f>'SECI Network'!#REF!</f>
        <v>#REF!</v>
      </c>
      <c r="H18" s="40" t="e">
        <f>'SECI Network'!#REF!</f>
        <v>#REF!</v>
      </c>
      <c r="I18" s="40" t="e">
        <f>'SECI Network'!#REF!</f>
        <v>#REF!</v>
      </c>
      <c r="J18" s="40" t="e">
        <f>'SECI Network'!#REF!</f>
        <v>#REF!</v>
      </c>
      <c r="K18" s="40" t="e">
        <f>'SECI Network'!#REF!</f>
        <v>#REF!</v>
      </c>
      <c r="L18" s="40" t="e">
        <f>'SECI Network'!#REF!</f>
        <v>#REF!</v>
      </c>
      <c r="M18" s="40" t="e">
        <f>'SECI Network'!#REF!</f>
        <v>#REF!</v>
      </c>
      <c r="N18" s="40" t="e">
        <f>'SECI Network'!#REF!</f>
        <v>#REF!</v>
      </c>
      <c r="O18" s="40" t="e">
        <f t="shared" si="0"/>
        <v>#REF!</v>
      </c>
      <c r="Q18" s="11"/>
    </row>
    <row r="19" spans="1:17">
      <c r="A19" s="89" t="s">
        <v>76</v>
      </c>
      <c r="B19" s="216">
        <v>456.22199999999998</v>
      </c>
      <c r="C19" s="40" t="e">
        <f>'SECI Network'!#REF!</f>
        <v>#REF!</v>
      </c>
      <c r="D19" s="40" t="e">
        <f>'SECI Network'!#REF!</f>
        <v>#REF!</v>
      </c>
      <c r="E19" s="40" t="e">
        <f>'SECI Network'!#REF!</f>
        <v>#REF!</v>
      </c>
      <c r="F19" s="40" t="e">
        <f>'SECI Network'!#REF!</f>
        <v>#REF!</v>
      </c>
      <c r="G19" s="40" t="e">
        <f>'SECI Network'!#REF!</f>
        <v>#REF!</v>
      </c>
      <c r="H19" s="40" t="e">
        <f>'SECI Network'!#REF!</f>
        <v>#REF!</v>
      </c>
      <c r="I19" s="40" t="e">
        <f>'SECI Network'!#REF!</f>
        <v>#REF!</v>
      </c>
      <c r="J19" s="40" t="e">
        <f>'SECI Network'!#REF!</f>
        <v>#REF!</v>
      </c>
      <c r="K19" s="40" t="e">
        <f>'SECI Network'!#REF!</f>
        <v>#REF!</v>
      </c>
      <c r="L19" s="40" t="e">
        <f>'SECI Network'!#REF!</f>
        <v>#REF!</v>
      </c>
      <c r="M19" s="40" t="e">
        <f>'SECI Network'!#REF!</f>
        <v>#REF!</v>
      </c>
      <c r="N19" s="40" t="e">
        <f>'SECI Network'!#REF!</f>
        <v>#REF!</v>
      </c>
      <c r="O19" s="40" t="e">
        <f t="shared" si="0"/>
        <v>#REF!</v>
      </c>
      <c r="Q19" s="11"/>
    </row>
    <row r="20" spans="1:17">
      <c r="A20" s="89" t="s">
        <v>57</v>
      </c>
      <c r="B20" s="216">
        <v>456.22399999999999</v>
      </c>
      <c r="C20" s="40">
        <f>SECI_Regulation_Imbalance!B92</f>
        <v>4.8179999999999996</v>
      </c>
      <c r="D20" s="40">
        <f>SECI_Regulation_Imbalance!C92</f>
        <v>4.8179999999999996</v>
      </c>
      <c r="E20" s="40">
        <f>SECI_Regulation_Imbalance!D92</f>
        <v>4.8179999999999996</v>
      </c>
      <c r="F20" s="40">
        <f>SECI_Regulation_Imbalance!E92</f>
        <v>4.8179999999999996</v>
      </c>
      <c r="G20" s="40">
        <f>SECI_Regulation_Imbalance!F92</f>
        <v>4.8179999999999996</v>
      </c>
      <c r="H20" s="40">
        <f>SECI_Regulation_Imbalance!G92</f>
        <v>4.8179999999999996</v>
      </c>
      <c r="I20" s="40">
        <f>SECI_Regulation_Imbalance!H92</f>
        <v>4.8179999999999996</v>
      </c>
      <c r="J20" s="40">
        <f>SECI_Regulation_Imbalance!I92</f>
        <v>4.8179999999999996</v>
      </c>
      <c r="K20" s="40">
        <f>SECI_Regulation_Imbalance!J92</f>
        <v>4.8179999999999996</v>
      </c>
      <c r="L20" s="40">
        <f>SECI_Regulation_Imbalance!K92</f>
        <v>4.8179999999999996</v>
      </c>
      <c r="M20" s="40">
        <f>SECI_Regulation_Imbalance!L92</f>
        <v>4.8179999999999996</v>
      </c>
      <c r="N20" s="40">
        <f>SECI_Regulation_Imbalance!M92</f>
        <v>4.8179999999999996</v>
      </c>
      <c r="O20" s="40">
        <f t="shared" si="0"/>
        <v>57.815999999999981</v>
      </c>
      <c r="Q20" s="11"/>
    </row>
    <row r="21" spans="1:17">
      <c r="A21" s="89" t="s">
        <v>113</v>
      </c>
      <c r="B21" s="216">
        <v>456.24900000000002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f>'Radial Facilities'!H19</f>
        <v>39444.43</v>
      </c>
      <c r="J21" s="44">
        <f>'Radial Facilities'!I19</f>
        <v>39444.43</v>
      </c>
      <c r="K21" s="44">
        <f>'Radial Facilities'!J19</f>
        <v>39444.43</v>
      </c>
      <c r="L21" s="44">
        <f>'Radial Facilities'!K19</f>
        <v>39444.43</v>
      </c>
      <c r="M21" s="44">
        <f>'Radial Facilities'!L19</f>
        <v>39444.43</v>
      </c>
      <c r="N21" s="44">
        <f>'Radial Facilities'!M19</f>
        <v>39444.43</v>
      </c>
      <c r="O21" s="41">
        <f t="shared" si="0"/>
        <v>236666.58</v>
      </c>
      <c r="Q21" s="11"/>
    </row>
    <row r="22" spans="1:17">
      <c r="A22" s="89" t="s">
        <v>129</v>
      </c>
      <c r="B22" s="216">
        <v>456.21100000000001</v>
      </c>
      <c r="C22" s="44">
        <f>'LCEC Network'!B16</f>
        <v>291494.7</v>
      </c>
      <c r="D22" s="44">
        <f>'LCEC Network'!C16</f>
        <v>1230755.4000000001</v>
      </c>
      <c r="E22" s="44">
        <f>'LCEC Network'!D16</f>
        <v>900394.74</v>
      </c>
      <c r="F22" s="44" t="s">
        <v>214</v>
      </c>
      <c r="G22" s="44">
        <f>'LCEC Network'!F16</f>
        <v>1151404.8600000001</v>
      </c>
      <c r="H22" s="44">
        <f>'LCEC Network'!G16</f>
        <v>1178934.1200000001</v>
      </c>
      <c r="I22" s="44">
        <f>'LCEC Network'!H16</f>
        <v>1264763.9100000001</v>
      </c>
      <c r="J22" s="44">
        <f>'LCEC Network'!I16</f>
        <v>1174076.6700000002</v>
      </c>
      <c r="K22" s="44">
        <f>'LCEC Network'!J16</f>
        <v>1342495.83</v>
      </c>
      <c r="L22" s="44">
        <f>'LCEC Network'!K16</f>
        <v>1135210.71</v>
      </c>
      <c r="M22" s="44">
        <f>'LCEC Network'!L16</f>
        <v>1230755.4000000001</v>
      </c>
      <c r="N22" s="44">
        <f>'LCEC Network'!M16</f>
        <v>968410.17</v>
      </c>
      <c r="O22" s="41">
        <f t="shared" si="0"/>
        <v>11868696.510000002</v>
      </c>
      <c r="Q22" s="11"/>
    </row>
    <row r="23" spans="1:17">
      <c r="A23" s="89" t="s">
        <v>145</v>
      </c>
      <c r="B23" s="216">
        <v>456.221</v>
      </c>
      <c r="C23" s="44">
        <f>'LCEC Network'!B25</f>
        <v>2335.6241999999997</v>
      </c>
      <c r="D23" s="44">
        <f>'LCEC Network'!C25</f>
        <v>9861.5244000000002</v>
      </c>
      <c r="E23" s="44">
        <f>'LCEC Network'!D25</f>
        <v>7214.4836399999995</v>
      </c>
      <c r="F23" s="44">
        <f>'LCEC Network'!E25</f>
        <v>7603.7543399999995</v>
      </c>
      <c r="G23" s="44">
        <f>'LCEC Network'!F25</f>
        <v>9225.7219599999989</v>
      </c>
      <c r="H23" s="44">
        <f>'LCEC Network'!G25</f>
        <v>9446.3023199999989</v>
      </c>
      <c r="I23" s="44">
        <f>'LCEC Network'!H25</f>
        <v>10134.020259999999</v>
      </c>
      <c r="J23" s="44">
        <f>'LCEC Network'!I25</f>
        <v>9407.3816200000001</v>
      </c>
      <c r="K23" s="44">
        <f>'LCEC Network'!J25</f>
        <v>10756.85338</v>
      </c>
      <c r="L23" s="44">
        <f>'LCEC Network'!K25</f>
        <v>9095.9650600000004</v>
      </c>
      <c r="M23" s="44">
        <f>'LCEC Network'!L25</f>
        <v>9861.5244000000002</v>
      </c>
      <c r="N23" s="44">
        <f>'LCEC Network'!M25</f>
        <v>7759.4626199999993</v>
      </c>
      <c r="O23" s="41">
        <f t="shared" ref="O23:O28" si="1">SUM(C23:N23)</f>
        <v>102702.61820000001</v>
      </c>
      <c r="Q23" s="11"/>
    </row>
    <row r="24" spans="1:17">
      <c r="A24" s="89" t="s">
        <v>13</v>
      </c>
      <c r="B24" s="216">
        <v>456.21300000000002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f>'New Smyrna Beach'!H9</f>
        <v>13007.96</v>
      </c>
      <c r="J24" s="43">
        <f>'New Smyrna Beach'!I9</f>
        <v>13007.96</v>
      </c>
      <c r="K24" s="43">
        <f>'New Smyrna Beach'!J9</f>
        <v>13007.96</v>
      </c>
      <c r="L24" s="43">
        <f>'New Smyrna Beach'!K9</f>
        <v>13007.96</v>
      </c>
      <c r="M24" s="43">
        <f>'New Smyrna Beach'!L9</f>
        <v>13007.96</v>
      </c>
      <c r="N24" s="43">
        <f>'New Smyrna Beach'!M9</f>
        <v>13007.96</v>
      </c>
      <c r="O24" s="43">
        <f t="shared" si="1"/>
        <v>78047.759999999995</v>
      </c>
      <c r="Q24" s="11"/>
    </row>
    <row r="25" spans="1:17">
      <c r="A25" s="89" t="s">
        <v>14</v>
      </c>
      <c r="B25" s="216">
        <v>456.21100000000001</v>
      </c>
      <c r="C25" s="40" t="e">
        <f>'TSAS Demand Revenues (7)'!#REF!</f>
        <v>#REF!</v>
      </c>
      <c r="D25" s="296" t="e">
        <f>'TSAS Demand Revenues (7)'!#REF!</f>
        <v>#REF!</v>
      </c>
      <c r="E25" s="40" t="e">
        <f>'TSAS Demand Revenues (7)'!#REF!</f>
        <v>#REF!</v>
      </c>
      <c r="F25" s="40" t="e">
        <f>'TSAS Demand Revenues (7)'!#REF!</f>
        <v>#REF!</v>
      </c>
      <c r="G25" s="40" t="e">
        <f>'TSAS Demand Revenues (7)'!#REF!</f>
        <v>#REF!</v>
      </c>
      <c r="H25" s="40" t="e">
        <f>'TSAS Demand Revenues (7)'!#REF!</f>
        <v>#REF!</v>
      </c>
      <c r="I25" s="40" t="e">
        <f>'TSAS Demand Revenues (7)'!#REF!</f>
        <v>#REF!</v>
      </c>
      <c r="J25" s="40" t="e">
        <f>'TSAS Demand Revenues (7)'!#REF!</f>
        <v>#REF!</v>
      </c>
      <c r="K25" s="40" t="e">
        <f>'TSAS Demand Revenues (7)'!#REF!</f>
        <v>#REF!</v>
      </c>
      <c r="L25" s="40" t="e">
        <f>'TSAS Demand Revenues (7)'!#REF!</f>
        <v>#REF!</v>
      </c>
      <c r="M25" s="40" t="e">
        <f>'TSAS Demand Revenues (7)'!#REF!</f>
        <v>#REF!</v>
      </c>
      <c r="N25" s="40" t="e">
        <f>'TSAS Demand Revenues (7)'!#REF!</f>
        <v>#REF!</v>
      </c>
      <c r="O25" s="40" t="e">
        <f t="shared" si="1"/>
        <v>#REF!</v>
      </c>
      <c r="Q25" s="11"/>
    </row>
    <row r="26" spans="1:17">
      <c r="A26" s="89" t="s">
        <v>146</v>
      </c>
      <c r="B26" s="216">
        <v>456.221</v>
      </c>
      <c r="C26" s="40">
        <f>'TSAS Scheduling Revenue (1)'!B67</f>
        <v>6408.9334399999998</v>
      </c>
      <c r="D26" s="40">
        <f>'TSAS Scheduling Revenue (1)'!C67</f>
        <v>6408.9334399999998</v>
      </c>
      <c r="E26" s="40">
        <f>'TSAS Scheduling Revenue (1)'!D67</f>
        <v>6408.9334399999998</v>
      </c>
      <c r="F26" s="40">
        <f>'TSAS Scheduling Revenue (1)'!E67</f>
        <v>6408.9334399999998</v>
      </c>
      <c r="G26" s="40">
        <f>'TSAS Scheduling Revenue (1)'!F67</f>
        <v>6408.9334399999998</v>
      </c>
      <c r="H26" s="40">
        <f>'TSAS Scheduling Revenue (1)'!G67</f>
        <v>6408.9334399999998</v>
      </c>
      <c r="I26" s="40">
        <f>'TSAS Scheduling Revenue (1)'!H67</f>
        <v>6408.9334399999998</v>
      </c>
      <c r="J26" s="40">
        <f>'TSAS Scheduling Revenue (1)'!I67</f>
        <v>6408.9334399999998</v>
      </c>
      <c r="K26" s="40">
        <f>'TSAS Scheduling Revenue (1)'!J67</f>
        <v>6408.9334399999998</v>
      </c>
      <c r="L26" s="40">
        <f>'TSAS Scheduling Revenue (1)'!K67</f>
        <v>6408.9334399999998</v>
      </c>
      <c r="M26" s="40">
        <f>'TSAS Scheduling Revenue (1)'!L67</f>
        <v>6408.9334399999998</v>
      </c>
      <c r="N26" s="40">
        <f>'TSAS Scheduling Revenue (1)'!M67</f>
        <v>6408.9334399999998</v>
      </c>
      <c r="O26" s="40">
        <f t="shared" si="1"/>
        <v>76907.201279999994</v>
      </c>
      <c r="Q26" s="11"/>
    </row>
    <row r="27" spans="1:17">
      <c r="A27" s="89" t="s">
        <v>77</v>
      </c>
      <c r="B27" s="216">
        <v>456.22199999999998</v>
      </c>
      <c r="C27" s="40">
        <f>'TSAS Reactive Revenues (2)'!B67</f>
        <v>49566.719999999994</v>
      </c>
      <c r="D27" s="40">
        <f>'TSAS Reactive Revenues (2)'!C67</f>
        <v>49566.719999999994</v>
      </c>
      <c r="E27" s="40">
        <f>'TSAS Reactive Revenues (2)'!D67</f>
        <v>49566.719999999994</v>
      </c>
      <c r="F27" s="40" t="s">
        <v>205</v>
      </c>
      <c r="G27" s="40">
        <f>'TSAS Reactive Revenues (2)'!F67</f>
        <v>49566.719999999994</v>
      </c>
      <c r="H27" s="40">
        <f>'TSAS Reactive Revenues (2)'!G67</f>
        <v>49566.719999999994</v>
      </c>
      <c r="I27" s="40">
        <f>'TSAS Reactive Revenues (2)'!H67</f>
        <v>49566.719999999994</v>
      </c>
      <c r="J27" s="40">
        <f>'TSAS Reactive Revenues (2)'!I67</f>
        <v>49566.719999999994</v>
      </c>
      <c r="K27" s="40">
        <f>'TSAS Reactive Revenues (2)'!J67</f>
        <v>49566.719999999994</v>
      </c>
      <c r="L27" s="40">
        <f>'TSAS Reactive Revenues (2)'!K67</f>
        <v>49566.719999999994</v>
      </c>
      <c r="M27" s="40">
        <f>'TSAS Reactive Revenues (2)'!L67</f>
        <v>49566.719999999994</v>
      </c>
      <c r="N27" s="40">
        <f>'TSAS Reactive Revenues (2)'!M67</f>
        <v>49566.719999999994</v>
      </c>
      <c r="O27" s="40">
        <f t="shared" si="1"/>
        <v>545233.91999999981</v>
      </c>
      <c r="Q27" s="11"/>
    </row>
    <row r="28" spans="1:17">
      <c r="A28" s="89" t="s">
        <v>124</v>
      </c>
      <c r="B28" s="216">
        <v>456.14499999999998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f>Dynamic_Scheduling!H16</f>
        <v>7200</v>
      </c>
      <c r="J28" s="40">
        <f>Dynamic_Scheduling!I16</f>
        <v>7200</v>
      </c>
      <c r="K28" s="40">
        <f>Dynamic_Scheduling!J16</f>
        <v>7200</v>
      </c>
      <c r="L28" s="40">
        <f>Dynamic_Scheduling!K16</f>
        <v>7200</v>
      </c>
      <c r="M28" s="40">
        <f>Dynamic_Scheduling!L16</f>
        <v>7200</v>
      </c>
      <c r="N28" s="40">
        <f>Dynamic_Scheduling!M16</f>
        <v>7200</v>
      </c>
      <c r="O28" s="43">
        <f t="shared" si="1"/>
        <v>43200</v>
      </c>
      <c r="Q28" s="11"/>
    </row>
    <row r="29" spans="1:17">
      <c r="A29" s="89" t="s">
        <v>153</v>
      </c>
      <c r="B29" s="216">
        <v>456.21300000000002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f>st_nf!J9</f>
        <v>225520.52</v>
      </c>
      <c r="J29" s="40">
        <f>st_nf!K9</f>
        <v>328491.74</v>
      </c>
      <c r="K29" s="40">
        <f>st_nf!L9</f>
        <v>320710.51</v>
      </c>
      <c r="L29" s="40">
        <f>st_nf!M9</f>
        <v>438157.95</v>
      </c>
      <c r="M29" s="40">
        <f>st_nf!N9</f>
        <v>323720.68</v>
      </c>
      <c r="N29" s="40">
        <f>st_nf!O9</f>
        <v>226700.14</v>
      </c>
      <c r="O29" s="43">
        <f>SUM(C29:N29)</f>
        <v>1863301.54</v>
      </c>
      <c r="Q29" s="11"/>
    </row>
    <row r="30" spans="1:17">
      <c r="A30" s="89" t="s">
        <v>154</v>
      </c>
      <c r="B30" s="216">
        <v>456.22300000000001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f>st_nf!J10</f>
        <v>25237.65</v>
      </c>
      <c r="J30" s="217">
        <f>st_nf!K10</f>
        <v>31769.99</v>
      </c>
      <c r="K30" s="217">
        <f>st_nf!L10</f>
        <v>41391.03</v>
      </c>
      <c r="L30" s="217">
        <f>st_nf!M10</f>
        <v>29168.31</v>
      </c>
      <c r="M30" s="217">
        <f>st_nf!N10</f>
        <v>28251.96</v>
      </c>
      <c r="N30" s="217">
        <f>st_nf!O10</f>
        <v>31973.599999999999</v>
      </c>
      <c r="O30" s="217">
        <f>SUM(C30:N30)</f>
        <v>187792.54</v>
      </c>
      <c r="Q30" s="11"/>
    </row>
    <row r="31" spans="1:17">
      <c r="A31" s="89" t="s">
        <v>155</v>
      </c>
      <c r="B31" s="89"/>
      <c r="C31" s="40" t="e">
        <f t="shared" ref="C31:O31" si="2">SUM(C11:C30)</f>
        <v>#REF!</v>
      </c>
      <c r="D31" s="40" t="e">
        <f t="shared" si="2"/>
        <v>#REF!</v>
      </c>
      <c r="E31" s="40" t="e">
        <f t="shared" si="2"/>
        <v>#REF!</v>
      </c>
      <c r="F31" s="40" t="e">
        <f t="shared" si="2"/>
        <v>#REF!</v>
      </c>
      <c r="G31" s="40" t="e">
        <f t="shared" si="2"/>
        <v>#REF!</v>
      </c>
      <c r="H31" s="40" t="e">
        <f t="shared" si="2"/>
        <v>#REF!</v>
      </c>
      <c r="I31" s="40" t="e">
        <f t="shared" si="2"/>
        <v>#REF!</v>
      </c>
      <c r="J31" s="40" t="e">
        <f t="shared" si="2"/>
        <v>#REF!</v>
      </c>
      <c r="K31" s="40" t="e">
        <f t="shared" si="2"/>
        <v>#REF!</v>
      </c>
      <c r="L31" s="40" t="e">
        <f t="shared" si="2"/>
        <v>#REF!</v>
      </c>
      <c r="M31" s="40" t="e">
        <f t="shared" si="2"/>
        <v>#REF!</v>
      </c>
      <c r="N31" s="40" t="e">
        <f t="shared" si="2"/>
        <v>#REF!</v>
      </c>
      <c r="O31" s="40" t="e">
        <f t="shared" si="2"/>
        <v>#REF!</v>
      </c>
      <c r="Q31" s="11"/>
    </row>
    <row r="32" spans="1:17">
      <c r="A32" s="88"/>
      <c r="B32" s="88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Q32" s="11"/>
    </row>
    <row r="33" spans="1:17">
      <c r="A33" s="89" t="s">
        <v>156</v>
      </c>
      <c r="B33" s="211">
        <v>456.22500000000002</v>
      </c>
      <c r="C33" s="311">
        <f>C7</f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4" t="e">
        <f>#REF!</f>
        <v>#REF!</v>
      </c>
      <c r="J33" s="44" t="e">
        <f>#REF!</f>
        <v>#REF!</v>
      </c>
      <c r="K33" s="44" t="e">
        <f>#REF!</f>
        <v>#REF!</v>
      </c>
      <c r="L33" s="44" t="e">
        <f>#REF!</f>
        <v>#REF!</v>
      </c>
      <c r="M33" s="44" t="e">
        <f>#REF!</f>
        <v>#REF!</v>
      </c>
      <c r="N33" s="44" t="e">
        <f>#REF!</f>
        <v>#REF!</v>
      </c>
      <c r="O33" s="41" t="e">
        <f>SUM(C33:N33)</f>
        <v>#REF!</v>
      </c>
      <c r="Q33" s="11"/>
    </row>
    <row r="34" spans="1:17">
      <c r="A34" s="89" t="s">
        <v>157</v>
      </c>
      <c r="B34" s="211">
        <v>456.23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4" t="e">
        <f>#REF!</f>
        <v>#REF!</v>
      </c>
      <c r="J34" s="44" t="e">
        <f>#REF!</f>
        <v>#REF!</v>
      </c>
      <c r="K34" s="44" t="e">
        <f>#REF!</f>
        <v>#REF!</v>
      </c>
      <c r="L34" s="44" t="e">
        <f>#REF!</f>
        <v>#REF!</v>
      </c>
      <c r="M34" s="44" t="e">
        <f>#REF!</f>
        <v>#REF!</v>
      </c>
      <c r="N34" s="44" t="e">
        <f>#REF!</f>
        <v>#REF!</v>
      </c>
      <c r="O34" s="41" t="e">
        <f>SUM(C34:N34)</f>
        <v>#REF!</v>
      </c>
      <c r="Q34" s="11"/>
    </row>
    <row r="35" spans="1:17">
      <c r="A35" s="89" t="s">
        <v>158</v>
      </c>
      <c r="B35" s="211">
        <v>456.23099999999999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4" t="e">
        <f>#REF!</f>
        <v>#REF!</v>
      </c>
      <c r="J35" s="44" t="e">
        <f>#REF!</f>
        <v>#REF!</v>
      </c>
      <c r="K35" s="44" t="e">
        <f>#REF!</f>
        <v>#REF!</v>
      </c>
      <c r="L35" s="44" t="e">
        <f>#REF!</f>
        <v>#REF!</v>
      </c>
      <c r="M35" s="44" t="e">
        <f>#REF!</f>
        <v>#REF!</v>
      </c>
      <c r="N35" s="44" t="e">
        <f>#REF!</f>
        <v>#REF!</v>
      </c>
      <c r="O35" s="41" t="e">
        <f>SUM(C35:N35)</f>
        <v>#REF!</v>
      </c>
      <c r="Q35" s="11"/>
    </row>
    <row r="36" spans="1:17">
      <c r="A36" s="89" t="s">
        <v>159</v>
      </c>
      <c r="B36" s="211">
        <v>456.23200000000003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4" t="e">
        <f>#REF!</f>
        <v>#REF!</v>
      </c>
      <c r="J36" s="44" t="e">
        <f>#REF!</f>
        <v>#REF!</v>
      </c>
      <c r="K36" s="44" t="e">
        <f>#REF!</f>
        <v>#REF!</v>
      </c>
      <c r="L36" s="44" t="e">
        <f>#REF!</f>
        <v>#REF!</v>
      </c>
      <c r="M36" s="44" t="e">
        <f>#REF!</f>
        <v>#REF!</v>
      </c>
      <c r="N36" s="44" t="e">
        <f>#REF!</f>
        <v>#REF!</v>
      </c>
      <c r="O36" s="41" t="e">
        <f>SUM(C36:N36)</f>
        <v>#REF!</v>
      </c>
      <c r="Q36" s="11"/>
    </row>
    <row r="37" spans="1:17">
      <c r="A37" s="89" t="s">
        <v>160</v>
      </c>
      <c r="B37" s="211">
        <v>456.233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4" t="e">
        <f>#REF!</f>
        <v>#REF!</v>
      </c>
      <c r="J37" s="44" t="e">
        <f>#REF!</f>
        <v>#REF!</v>
      </c>
      <c r="K37" s="44" t="e">
        <f>#REF!</f>
        <v>#REF!</v>
      </c>
      <c r="L37" s="44" t="e">
        <f>#REF!</f>
        <v>#REF!</v>
      </c>
      <c r="M37" s="44" t="e">
        <f>#REF!</f>
        <v>#REF!</v>
      </c>
      <c r="N37" s="44" t="e">
        <f>#REF!</f>
        <v>#REF!</v>
      </c>
      <c r="O37" s="41" t="e">
        <f>SUM(C37:N37)</f>
        <v>#REF!</v>
      </c>
      <c r="Q37" s="11"/>
    </row>
    <row r="38" spans="1:17">
      <c r="A38" s="89"/>
      <c r="B38" s="89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0"/>
      <c r="Q38" s="11"/>
    </row>
    <row r="39" spans="1:17">
      <c r="A39" s="89" t="s">
        <v>131</v>
      </c>
      <c r="B39" s="216">
        <v>456.25200000000001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f t="shared" ref="I39:N39" si="3">(400000+150000+11583.33+4833.33)*-1</f>
        <v>-566416.65999999992</v>
      </c>
      <c r="J39" s="44">
        <f t="shared" si="3"/>
        <v>-566416.65999999992</v>
      </c>
      <c r="K39" s="44">
        <f t="shared" si="3"/>
        <v>-566416.65999999992</v>
      </c>
      <c r="L39" s="44">
        <f t="shared" si="3"/>
        <v>-566416.65999999992</v>
      </c>
      <c r="M39" s="44">
        <f t="shared" si="3"/>
        <v>-566416.65999999992</v>
      </c>
      <c r="N39" s="44">
        <f t="shared" si="3"/>
        <v>-566416.65999999992</v>
      </c>
      <c r="O39" s="41">
        <f>SUM(C39:N39)</f>
        <v>-3398499.96</v>
      </c>
      <c r="Q39" s="11"/>
    </row>
    <row r="40" spans="1:17">
      <c r="A40" s="88"/>
      <c r="B40" s="88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Q40" s="11"/>
    </row>
    <row r="41" spans="1:17">
      <c r="A41" s="88" t="s">
        <v>73</v>
      </c>
      <c r="B41" s="88"/>
      <c r="C41" s="40" t="e">
        <f>C31+C33+C34+C35+C36+C37+C39</f>
        <v>#REF!</v>
      </c>
      <c r="D41" s="40" t="e">
        <f t="shared" ref="D41:O41" si="4">D31+D33+D34+D35+D36+D37+D39</f>
        <v>#REF!</v>
      </c>
      <c r="E41" s="40" t="e">
        <f t="shared" si="4"/>
        <v>#REF!</v>
      </c>
      <c r="F41" s="40" t="e">
        <f t="shared" si="4"/>
        <v>#REF!</v>
      </c>
      <c r="G41" s="40" t="e">
        <f t="shared" si="4"/>
        <v>#REF!</v>
      </c>
      <c r="H41" s="40" t="e">
        <f t="shared" si="4"/>
        <v>#REF!</v>
      </c>
      <c r="I41" s="40" t="e">
        <f t="shared" si="4"/>
        <v>#REF!</v>
      </c>
      <c r="J41" s="40" t="e">
        <f t="shared" si="4"/>
        <v>#REF!</v>
      </c>
      <c r="K41" s="40" t="e">
        <f t="shared" si="4"/>
        <v>#REF!</v>
      </c>
      <c r="L41" s="40" t="e">
        <f t="shared" si="4"/>
        <v>#REF!</v>
      </c>
      <c r="M41" s="40" t="e">
        <f t="shared" si="4"/>
        <v>#REF!</v>
      </c>
      <c r="N41" s="40" t="e">
        <f t="shared" si="4"/>
        <v>#REF!</v>
      </c>
      <c r="O41" s="40" t="e">
        <f t="shared" si="4"/>
        <v>#REF!</v>
      </c>
      <c r="Q41" s="11"/>
    </row>
    <row r="42" spans="1:17">
      <c r="A42" s="89"/>
      <c r="B42" s="89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11"/>
    </row>
    <row r="43" spans="1:17">
      <c r="A43" s="203" t="s">
        <v>114</v>
      </c>
      <c r="B43" s="209"/>
      <c r="C43" s="201" t="s">
        <v>0</v>
      </c>
      <c r="D43" s="201" t="s">
        <v>1</v>
      </c>
      <c r="E43" s="201" t="s">
        <v>2</v>
      </c>
      <c r="F43" s="201" t="s">
        <v>3</v>
      </c>
      <c r="G43" s="201" t="s">
        <v>4</v>
      </c>
      <c r="H43" s="201" t="s">
        <v>5</v>
      </c>
      <c r="I43" s="201" t="s">
        <v>6</v>
      </c>
      <c r="J43" s="201" t="s">
        <v>7</v>
      </c>
      <c r="K43" s="201" t="s">
        <v>8</v>
      </c>
      <c r="L43" s="201" t="s">
        <v>9</v>
      </c>
      <c r="M43" s="201" t="s">
        <v>10</v>
      </c>
      <c r="N43" s="201" t="s">
        <v>11</v>
      </c>
      <c r="O43" s="202" t="s">
        <v>12</v>
      </c>
      <c r="Q43" s="11"/>
    </row>
    <row r="44" spans="1:17">
      <c r="A44" s="90"/>
      <c r="B44" s="90"/>
      <c r="Q44" s="11"/>
    </row>
    <row r="45" spans="1:17">
      <c r="A45" s="89" t="s">
        <v>79</v>
      </c>
      <c r="B45" s="216">
        <v>456.21100000000001</v>
      </c>
      <c r="C45" s="40">
        <f>'FMPA Network'!B16</f>
        <v>669141.96000000008</v>
      </c>
      <c r="D45" s="40">
        <f>'FMPA Network'!C16</f>
        <v>624284.88</v>
      </c>
      <c r="E45" s="40">
        <f>'FMPA Network'!D16</f>
        <v>546066.42000000004</v>
      </c>
      <c r="F45" s="40">
        <f>'FMPA Network'!E16</f>
        <v>586714.77</v>
      </c>
      <c r="G45" s="40">
        <f>'FMPA Network'!F16</f>
        <v>661854.99</v>
      </c>
      <c r="H45" s="40">
        <f>'FMPA Network'!G16</f>
        <v>719991.75</v>
      </c>
      <c r="I45" s="40">
        <f>'FMPA Network'!H16</f>
        <v>744930.9</v>
      </c>
      <c r="J45" s="40">
        <f>'FMPA Network'!I16</f>
        <v>757561.86</v>
      </c>
      <c r="K45" s="40">
        <f>'FMPA Network'!J16</f>
        <v>691166.64</v>
      </c>
      <c r="L45" s="40">
        <f>'FMPA Network'!K16</f>
        <v>638536.05000000005</v>
      </c>
      <c r="M45" s="40">
        <f>'FMPA Network'!L16</f>
        <v>571654.29</v>
      </c>
      <c r="N45" s="40">
        <f>'FMPA Network'!M16</f>
        <v>548820.30000000005</v>
      </c>
      <c r="O45" s="40">
        <f>SUM(C45:N45)</f>
        <v>7760724.8100000005</v>
      </c>
      <c r="Q45" s="11"/>
    </row>
    <row r="46" spans="1:17">
      <c r="A46" s="89" t="s">
        <v>142</v>
      </c>
      <c r="B46" s="216">
        <v>456.221</v>
      </c>
      <c r="C46" s="40">
        <f>'FMPA Network'!B23</f>
        <v>5361.5525600000001</v>
      </c>
      <c r="D46" s="40">
        <f>'FMPA Network'!C23</f>
        <v>5002.1316799999995</v>
      </c>
      <c r="E46" s="40">
        <f>'FMPA Network'!D23</f>
        <v>4375.4001200000002</v>
      </c>
      <c r="F46" s="40">
        <f>'FMPA Network'!E23</f>
        <v>4701.0982199999999</v>
      </c>
      <c r="G46" s="40">
        <f>'FMPA Network'!F23</f>
        <v>5303.1651400000001</v>
      </c>
      <c r="H46" s="40">
        <f>'FMPA Network'!G23</f>
        <v>5768.9904999999999</v>
      </c>
      <c r="I46" s="40">
        <f>'FMPA Network'!H23</f>
        <v>5968.8173999999999</v>
      </c>
      <c r="J46" s="40">
        <f>'FMPA Network'!I23</f>
        <v>6070.0239599999995</v>
      </c>
      <c r="K46" s="40">
        <f>'FMPA Network'!J23</f>
        <v>5538.0270399999999</v>
      </c>
      <c r="L46" s="40">
        <f>'FMPA Network'!K23</f>
        <v>5116.3202999999994</v>
      </c>
      <c r="M46" s="40">
        <f>'FMPA Network'!L23</f>
        <v>4580.4249399999999</v>
      </c>
      <c r="N46" s="40">
        <f>'FMPA Network'!M23</f>
        <v>4397.4657999999999</v>
      </c>
      <c r="O46" s="40">
        <f>SUM(C46:N46)</f>
        <v>62183.417659999999</v>
      </c>
      <c r="Q46" s="318"/>
    </row>
    <row r="47" spans="1:17">
      <c r="A47" s="89" t="s">
        <v>78</v>
      </c>
      <c r="B47" s="216">
        <v>456.22199999999998</v>
      </c>
      <c r="C47" s="40">
        <f>'FMPA Network'!B30</f>
        <v>29459.08</v>
      </c>
      <c r="D47" s="40">
        <f>'FMPA Network'!C30</f>
        <v>27484.240000000002</v>
      </c>
      <c r="E47" s="40">
        <f>'FMPA Network'!D30</f>
        <v>24040.660000000003</v>
      </c>
      <c r="F47" s="40">
        <f>'FMPA Network'!E30</f>
        <v>25830.210000000003</v>
      </c>
      <c r="G47" s="40">
        <f>'FMPA Network'!F30</f>
        <v>29138.270000000004</v>
      </c>
      <c r="H47" s="40">
        <f>'FMPA Network'!G30</f>
        <v>31697.750000000004</v>
      </c>
      <c r="I47" s="40">
        <f>'FMPA Network'!H30</f>
        <v>32795.700000000004</v>
      </c>
      <c r="J47" s="40">
        <f>'FMPA Network'!I30</f>
        <v>33351.780000000006</v>
      </c>
      <c r="K47" s="40">
        <f>'FMPA Network'!J30</f>
        <v>30428.720000000001</v>
      </c>
      <c r="L47" s="40">
        <f>'FMPA Network'!K30</f>
        <v>28111.65</v>
      </c>
      <c r="M47" s="40">
        <f>'FMPA Network'!L30</f>
        <v>25167.170000000002</v>
      </c>
      <c r="N47" s="40">
        <f>'FMPA Network'!M30</f>
        <v>24161.9</v>
      </c>
      <c r="O47" s="40">
        <f>SUM(C47:N47)</f>
        <v>341667.13000000006</v>
      </c>
      <c r="Q47" s="11"/>
    </row>
    <row r="48" spans="1:17">
      <c r="A48" s="89" t="s">
        <v>125</v>
      </c>
      <c r="B48" s="216">
        <v>456.21100000000001</v>
      </c>
      <c r="C48" s="40">
        <f>'Vero Beach Network'!B15</f>
        <v>297388.83</v>
      </c>
      <c r="D48" s="40">
        <f>'Vero Beach Network'!C15</f>
        <v>239008.80000000002</v>
      </c>
      <c r="E48" s="40">
        <f>'Vero Beach Network'!D15</f>
        <v>209018.22</v>
      </c>
      <c r="F48" s="40">
        <f>'Vero Beach Network'!E15</f>
        <v>216095.31</v>
      </c>
      <c r="G48" s="40">
        <f>'Vero Beach Network'!F15</f>
        <v>240516.12000000002</v>
      </c>
      <c r="H48" s="40">
        <f>'Vero Beach Network'!G15</f>
        <v>262750.68</v>
      </c>
      <c r="I48" s="40">
        <f>'Vero Beach Network'!H15</f>
        <v>260418.15000000002</v>
      </c>
      <c r="J48" s="40">
        <f>'Vero Beach Network'!I15</f>
        <v>280498.26</v>
      </c>
      <c r="K48" s="40">
        <f>'Vero Beach Network'!J15</f>
        <v>263819.16000000003</v>
      </c>
      <c r="L48" s="40">
        <f>'Vero Beach Network'!K15</f>
        <v>245779.02000000002</v>
      </c>
      <c r="M48" s="40">
        <f>'Vero Beach Network'!L15</f>
        <v>213163.35</v>
      </c>
      <c r="N48" s="40">
        <f>'Vero Beach Network'!M15</f>
        <v>224434.86000000002</v>
      </c>
      <c r="O48" s="40">
        <f>SUM(C48:N48)</f>
        <v>2952890.76</v>
      </c>
      <c r="Q48" s="11"/>
    </row>
    <row r="49" spans="1:17">
      <c r="A49" s="89" t="s">
        <v>143</v>
      </c>
      <c r="B49" s="216">
        <v>456.221</v>
      </c>
      <c r="C49" s="40">
        <f>'Vero Beach Network'!B22</f>
        <v>2382.8513800000001</v>
      </c>
      <c r="D49" s="40">
        <f>'Vero Beach Network'!C22</f>
        <v>1915.0768</v>
      </c>
      <c r="E49" s="40">
        <f>'Vero Beach Network'!D22</f>
        <v>1674.7749199999998</v>
      </c>
      <c r="F49" s="40">
        <f>'Vero Beach Network'!E22</f>
        <v>1731.4806599999999</v>
      </c>
      <c r="G49" s="40">
        <f>'Vero Beach Network'!F22</f>
        <v>1927.1543199999999</v>
      </c>
      <c r="H49" s="40">
        <f>'Vero Beach Network'!G22</f>
        <v>2105.3104800000001</v>
      </c>
      <c r="I49" s="40">
        <f>'Vero Beach Network'!H22</f>
        <v>2086.6208999999999</v>
      </c>
      <c r="J49" s="40">
        <f>'Vero Beach Network'!I22</f>
        <v>2247.5143600000001</v>
      </c>
      <c r="K49" s="40">
        <f>'Vero Beach Network'!J22</f>
        <v>2113.87176</v>
      </c>
      <c r="L49" s="40">
        <f>'Vero Beach Network'!K22</f>
        <v>1969.3237199999999</v>
      </c>
      <c r="M49" s="40">
        <f>'Vero Beach Network'!L22</f>
        <v>1707.9881</v>
      </c>
      <c r="N49" s="40">
        <f>'Vero Beach Network'!M22</f>
        <v>1798.30196</v>
      </c>
      <c r="O49" s="40">
        <f t="shared" ref="O49:O75" si="5">SUM(C49:N49)</f>
        <v>23660.269359999998</v>
      </c>
      <c r="Q49" s="11"/>
    </row>
    <row r="50" spans="1:17">
      <c r="A50" s="89" t="s">
        <v>126</v>
      </c>
      <c r="B50" s="216">
        <v>456.22199999999998</v>
      </c>
      <c r="C50" s="40">
        <f>'Vero Beach Network'!B29</f>
        <v>18853.329600000001</v>
      </c>
      <c r="D50" s="40">
        <f>'Vero Beach Network'!C29</f>
        <v>15152.255999999999</v>
      </c>
      <c r="E50" s="40">
        <f>'Vero Beach Network'!D29</f>
        <v>13250.966399999999</v>
      </c>
      <c r="F50" s="40">
        <f>'Vero Beach Network'!E29</f>
        <v>13699.627200000001</v>
      </c>
      <c r="G50" s="40">
        <f>'Vero Beach Network'!F29</f>
        <v>15247.814399999999</v>
      </c>
      <c r="H50" s="40">
        <f>'Vero Beach Network'!G29</f>
        <v>16657.401600000001</v>
      </c>
      <c r="I50" s="40">
        <f>'Vero Beach Network'!H29</f>
        <v>16509.527999999998</v>
      </c>
      <c r="J50" s="40">
        <f>'Vero Beach Network'!I29</f>
        <v>17782.531200000001</v>
      </c>
      <c r="K50" s="40">
        <f>'Vero Beach Network'!J29</f>
        <v>16725.139200000001</v>
      </c>
      <c r="L50" s="40">
        <f>'Vero Beach Network'!K29</f>
        <v>15581.4624</v>
      </c>
      <c r="M50" s="40">
        <f>'Vero Beach Network'!L29</f>
        <v>13513.752</v>
      </c>
      <c r="N50" s="40">
        <f>'Vero Beach Network'!M29</f>
        <v>14228.323200000001</v>
      </c>
      <c r="O50" s="40">
        <f t="shared" si="5"/>
        <v>187202.1312</v>
      </c>
      <c r="Q50" s="11"/>
    </row>
    <row r="51" spans="1:17">
      <c r="A51" s="89" t="s">
        <v>80</v>
      </c>
      <c r="B51" s="216">
        <v>456.21100000000001</v>
      </c>
      <c r="C51" s="40">
        <f>'SECI Network'!B19</f>
        <v>895839.85736118141</v>
      </c>
      <c r="D51" s="43">
        <f>'SECI Network'!C19</f>
        <v>748937.78909831855</v>
      </c>
      <c r="E51" s="43">
        <f>'SECI Network'!D19</f>
        <v>644231.06469689275</v>
      </c>
      <c r="F51" s="40">
        <f>'SECI Network'!E19</f>
        <v>606869.70962812053</v>
      </c>
      <c r="G51" s="40">
        <f>'SECI Network'!F19</f>
        <v>682109.19001528306</v>
      </c>
      <c r="H51" s="40">
        <f>'SECI Network'!G19</f>
        <v>742258.65511971398</v>
      </c>
      <c r="I51" s="40">
        <f>'SECI Network'!H19</f>
        <v>736523.96332144679</v>
      </c>
      <c r="J51" s="40">
        <f>'SECI Network'!I19</f>
        <v>742443.33163525234</v>
      </c>
      <c r="K51" s="40">
        <f>'SECI Network'!J19</f>
        <v>691982.90371879784</v>
      </c>
      <c r="L51" s="40">
        <f>'SECI Network'!K19</f>
        <v>640148.74172185443</v>
      </c>
      <c r="M51" s="40">
        <f>'SECI Network'!L19</f>
        <v>550368.4156902706</v>
      </c>
      <c r="N51" s="40">
        <f>'SECI Network'!M19</f>
        <v>750813.71370351571</v>
      </c>
      <c r="O51" s="40">
        <f t="shared" si="5"/>
        <v>8432527.3357106466</v>
      </c>
      <c r="Q51" s="11"/>
    </row>
    <row r="52" spans="1:17">
      <c r="A52" s="89" t="s">
        <v>144</v>
      </c>
      <c r="B52" s="216">
        <v>456.221</v>
      </c>
      <c r="C52" s="40">
        <f>'SECI Network'!B24</f>
        <v>7177.9872847682082</v>
      </c>
      <c r="D52" s="40">
        <f>'SECI Network'!C24</f>
        <v>6000.9229139072813</v>
      </c>
      <c r="E52" s="40">
        <f>'SECI Network'!D24</f>
        <v>5161.9520529801339</v>
      </c>
      <c r="F52" s="40">
        <f>'SECI Network'!E24</f>
        <v>4862.5912582781475</v>
      </c>
      <c r="G52" s="40">
        <f>'SECI Network'!F24</f>
        <v>5465.4535099337772</v>
      </c>
      <c r="H52" s="40">
        <f>'SECI Network'!G24</f>
        <v>5947.4058278145631</v>
      </c>
      <c r="I52" s="40">
        <f>'SECI Network'!H24</f>
        <v>5901.4561589403966</v>
      </c>
      <c r="J52" s="40">
        <f>'SECI Network'!I24</f>
        <v>5948.8855629139089</v>
      </c>
      <c r="K52" s="40">
        <f>'SECI Network'!J24</f>
        <v>5544.5674172185436</v>
      </c>
      <c r="L52" s="40">
        <f>'SECI Network'!K24</f>
        <v>5129.242119205298</v>
      </c>
      <c r="M52" s="40">
        <f>'SECI Network'!L24</f>
        <v>4409.8701986755013</v>
      </c>
      <c r="N52" s="40">
        <f>'SECI Network'!M24</f>
        <v>6015.9539072847729</v>
      </c>
      <c r="O52" s="40">
        <f t="shared" si="5"/>
        <v>67566.288211920546</v>
      </c>
      <c r="Q52" s="11"/>
    </row>
    <row r="53" spans="1:17" s="10" customFormat="1">
      <c r="A53" s="89" t="s">
        <v>76</v>
      </c>
      <c r="B53" s="216">
        <v>456.22199999999998</v>
      </c>
      <c r="C53" s="40">
        <f>'SECI Network'!B29</f>
        <v>11268.425878756998</v>
      </c>
      <c r="D53" s="40">
        <f>'SECI Network'!C29</f>
        <v>9420.6011207335669</v>
      </c>
      <c r="E53" s="40">
        <f>'SECI Network'!D29</f>
        <v>8103.5354049923608</v>
      </c>
      <c r="F53" s="40">
        <f>'SECI Network'!E29</f>
        <v>7633.5812531839056</v>
      </c>
      <c r="G53" s="40">
        <f>'SECI Network'!F29</f>
        <v>8579.9898115129945</v>
      </c>
      <c r="H53" s="40">
        <f>'SECI Network'!G29</f>
        <v>9336.5868568517471</v>
      </c>
      <c r="I53" s="40">
        <f>'SECI Network'!H29</f>
        <v>9264.4523688232293</v>
      </c>
      <c r="J53" s="40">
        <f>'SECI Network'!I29</f>
        <v>9338.9098318899669</v>
      </c>
      <c r="K53" s="40">
        <f>'SECI Network'!J29</f>
        <v>8704.1874681609788</v>
      </c>
      <c r="L53" s="40">
        <f>'SECI Network'!K29</f>
        <v>8052.1854304635772</v>
      </c>
      <c r="M53" s="40">
        <f>'SECI Network'!L29</f>
        <v>6922.8731533367372</v>
      </c>
      <c r="N53" s="40">
        <f>'SECI Network'!M29</f>
        <v>9444.1976566479971</v>
      </c>
      <c r="O53" s="40">
        <f t="shared" si="5"/>
        <v>106069.52623535406</v>
      </c>
      <c r="P53" s="7"/>
      <c r="Q53" s="11"/>
    </row>
    <row r="54" spans="1:17">
      <c r="A54" s="89" t="s">
        <v>57</v>
      </c>
      <c r="B54" s="216">
        <v>456.22399999999999</v>
      </c>
      <c r="C54" s="40">
        <f>SECI_Regulation_Imbalance!B22</f>
        <v>36646.611221599574</v>
      </c>
      <c r="D54" s="40">
        <f>SECI_Regulation_Imbalance!C22</f>
        <v>30637.207934793663</v>
      </c>
      <c r="E54" s="40">
        <f>SECI_Regulation_Imbalance!D22</f>
        <v>26353.912667345907</v>
      </c>
      <c r="F54" s="40">
        <f>SECI_Regulation_Imbalance!E22</f>
        <v>24825.551272542038</v>
      </c>
      <c r="G54" s="40">
        <f>SECI_Regulation_Imbalance!F22</f>
        <v>27903.413865511982</v>
      </c>
      <c r="H54" s="40">
        <f>SECI_Regulation_Imbalance!G22</f>
        <v>30363.980946510408</v>
      </c>
      <c r="I54" s="40">
        <f>SECI_Regulation_Imbalance!H22</f>
        <v>30129.388771268463</v>
      </c>
      <c r="J54" s="40">
        <f>SECI_Regulation_Imbalance!I22</f>
        <v>30371.535609780953</v>
      </c>
      <c r="K54" s="40">
        <f>SECI_Regulation_Imbalance!J22</f>
        <v>28307.323274579725</v>
      </c>
      <c r="L54" s="40">
        <f>SECI_Regulation_Imbalance!K22</f>
        <v>26186.914847682117</v>
      </c>
      <c r="M54" s="40">
        <f>SECI_Regulation_Imbalance!L22</f>
        <v>22514.221925624068</v>
      </c>
      <c r="N54" s="40">
        <f>SECI_Regulation_Imbalance!M22</f>
        <v>30713.94740906778</v>
      </c>
      <c r="O54" s="40">
        <f t="shared" si="5"/>
        <v>344954.00974630669</v>
      </c>
      <c r="Q54" s="11"/>
    </row>
    <row r="55" spans="1:17">
      <c r="A55" s="89" t="s">
        <v>275</v>
      </c>
      <c r="B55" s="216">
        <v>456.24900000000002</v>
      </c>
      <c r="C55" s="44">
        <f>'Radial Facilities'!B19</f>
        <v>40458.6</v>
      </c>
      <c r="D55" s="44">
        <f>'Radial Facilities'!C19</f>
        <v>39444.43</v>
      </c>
      <c r="E55" s="44">
        <f>'Radial Facilities'!D19</f>
        <v>39444.43</v>
      </c>
      <c r="F55" s="44">
        <f>'Radial Facilities'!E19</f>
        <v>39444.43</v>
      </c>
      <c r="G55" s="44">
        <f>'Radial Facilities'!F19</f>
        <v>39444.43</v>
      </c>
      <c r="H55" s="44">
        <f>'Radial Facilities'!G19</f>
        <v>39444.43</v>
      </c>
      <c r="I55" s="44">
        <f>'Radial Facilities'!H19</f>
        <v>39444.43</v>
      </c>
      <c r="J55" s="44">
        <f>'Radial Facilities'!I19</f>
        <v>39444.43</v>
      </c>
      <c r="K55" s="44">
        <f>'Radial Facilities'!J19</f>
        <v>39444.43</v>
      </c>
      <c r="L55" s="44">
        <f>'Radial Facilities'!K19</f>
        <v>39444.43</v>
      </c>
      <c r="M55" s="44">
        <f>'Radial Facilities'!L19</f>
        <v>39444.43</v>
      </c>
      <c r="N55" s="44">
        <f>'Radial Facilities'!M19</f>
        <v>39444.43</v>
      </c>
      <c r="O55" s="41">
        <f t="shared" si="5"/>
        <v>474347.32999999996</v>
      </c>
      <c r="Q55" s="11"/>
    </row>
    <row r="56" spans="1:17">
      <c r="A56" s="89" t="s">
        <v>129</v>
      </c>
      <c r="B56" s="216">
        <v>456.21100000000001</v>
      </c>
      <c r="C56" s="44">
        <f>'LCEC Network'!B16</f>
        <v>291494.7</v>
      </c>
      <c r="D56" s="44">
        <f>'LCEC Network'!C16</f>
        <v>1230755.4000000001</v>
      </c>
      <c r="E56" s="44">
        <f>'LCEC Network'!D16</f>
        <v>900394.74</v>
      </c>
      <c r="F56" s="44">
        <f>'LCEC Network'!E16</f>
        <v>948977.19000000006</v>
      </c>
      <c r="G56" s="44">
        <f>'LCEC Network'!F16</f>
        <v>1151404.8600000001</v>
      </c>
      <c r="H56" s="44">
        <f>'LCEC Network'!G16</f>
        <v>1178934.1200000001</v>
      </c>
      <c r="I56" s="44">
        <f>'LCEC Network'!H16</f>
        <v>1264763.9100000001</v>
      </c>
      <c r="J56" s="44">
        <f>'LCEC Network'!I16</f>
        <v>1174076.6700000002</v>
      </c>
      <c r="K56" s="44">
        <f>'LCEC Network'!J16</f>
        <v>1342495.83</v>
      </c>
      <c r="L56" s="44">
        <f>'LCEC Network'!K16</f>
        <v>1135210.71</v>
      </c>
      <c r="M56" s="44">
        <f>'LCEC Network'!L16</f>
        <v>1230755.4000000001</v>
      </c>
      <c r="N56" s="44">
        <f>'LCEC Network'!M16</f>
        <v>968410.17</v>
      </c>
      <c r="O56" s="41">
        <f t="shared" si="5"/>
        <v>12817673.699999999</v>
      </c>
      <c r="Q56" s="11"/>
    </row>
    <row r="57" spans="1:17">
      <c r="A57" s="89" t="s">
        <v>145</v>
      </c>
      <c r="B57" s="216">
        <v>456.221</v>
      </c>
      <c r="C57" s="44">
        <f>'LCEC Network'!B25</f>
        <v>2335.6241999999997</v>
      </c>
      <c r="D57" s="44">
        <f>'LCEC Network'!C25</f>
        <v>9861.5244000000002</v>
      </c>
      <c r="E57" s="44">
        <f>'LCEC Network'!D25</f>
        <v>7214.4836399999995</v>
      </c>
      <c r="F57" s="44">
        <f>'LCEC Network'!E25</f>
        <v>7603.7543399999995</v>
      </c>
      <c r="G57" s="44">
        <f>'LCEC Network'!F25</f>
        <v>9225.7219599999989</v>
      </c>
      <c r="H57" s="44">
        <f>'LCEC Network'!G25</f>
        <v>9446.3023199999989</v>
      </c>
      <c r="I57" s="44">
        <f>'LCEC Network'!H25</f>
        <v>10134.020259999999</v>
      </c>
      <c r="J57" s="44">
        <f>'LCEC Network'!I25</f>
        <v>9407.3816200000001</v>
      </c>
      <c r="K57" s="44">
        <f>'LCEC Network'!J25</f>
        <v>10756.85338</v>
      </c>
      <c r="L57" s="44">
        <f>'LCEC Network'!K25</f>
        <v>9095.9650600000004</v>
      </c>
      <c r="M57" s="44">
        <f>'LCEC Network'!L25</f>
        <v>9861.5244000000002</v>
      </c>
      <c r="N57" s="44">
        <f>'LCEC Network'!M25</f>
        <v>7759.4626199999993</v>
      </c>
      <c r="O57" s="41">
        <f t="shared" si="5"/>
        <v>102702.61820000001</v>
      </c>
      <c r="Q57" s="11"/>
    </row>
    <row r="58" spans="1:17">
      <c r="A58" s="89" t="s">
        <v>184</v>
      </c>
      <c r="B58" s="216">
        <v>456.21100000000001</v>
      </c>
      <c r="C58" s="44">
        <f>'FKEC Network'!B18</f>
        <v>179755.86000000002</v>
      </c>
      <c r="D58" s="44">
        <f>'FKEC Network'!C18</f>
        <v>142508.52000000002</v>
      </c>
      <c r="E58" s="44">
        <f>'FKEC Network'!D18</f>
        <v>179755.86000000002</v>
      </c>
      <c r="F58" s="44">
        <f>'FKEC Network'!E18</f>
        <v>199188.84</v>
      </c>
      <c r="G58" s="44">
        <f>'FKEC Network'!F18</f>
        <v>208905.33000000002</v>
      </c>
      <c r="H58" s="44">
        <f>'FKEC Network'!G18</f>
        <v>199188.84</v>
      </c>
      <c r="I58" s="44">
        <f>'FKEC Network'!H18</f>
        <v>226718.1</v>
      </c>
      <c r="J58" s="44">
        <f>'FKEC Network'!I18</f>
        <v>244532.46000000002</v>
      </c>
      <c r="K58" s="44">
        <f>'FKEC Network'!J18</f>
        <v>236434.59000000003</v>
      </c>
      <c r="L58" s="44">
        <f>'FKEC Network'!K18</f>
        <v>207285.12000000002</v>
      </c>
      <c r="M58" s="44">
        <f>'FKEC Network'!L18</f>
        <v>221860.65000000002</v>
      </c>
      <c r="N58" s="44">
        <f>'FKEC Network'!M18</f>
        <v>186233.52000000002</v>
      </c>
      <c r="O58" s="41">
        <f>SUM(C58:N58)</f>
        <v>2432367.6900000004</v>
      </c>
      <c r="Q58" s="11"/>
    </row>
    <row r="59" spans="1:17">
      <c r="A59" s="89" t="s">
        <v>185</v>
      </c>
      <c r="B59" s="216">
        <v>456.221</v>
      </c>
      <c r="C59" s="44">
        <f>'FKEC Network'!B25</f>
        <v>1440.3079599999999</v>
      </c>
      <c r="D59" s="44">
        <f>'FKEC Network'!C25</f>
        <v>1141.8607199999999</v>
      </c>
      <c r="E59" s="44">
        <f>'FKEC Network'!D25</f>
        <v>1440.3079599999999</v>
      </c>
      <c r="F59" s="44">
        <f>'FKEC Network'!E25</f>
        <v>1596.0162399999999</v>
      </c>
      <c r="G59" s="44">
        <f>'FKEC Network'!F25</f>
        <v>1673.8703799999998</v>
      </c>
      <c r="H59" s="44">
        <f>'FKEC Network'!G25</f>
        <v>1596.0162399999999</v>
      </c>
      <c r="I59" s="44">
        <f>'FKEC Network'!H25</f>
        <v>1816.5965999999999</v>
      </c>
      <c r="J59" s="44">
        <f>'FKEC Network'!I25</f>
        <v>1959.33556</v>
      </c>
      <c r="K59" s="44">
        <f>'FKEC Network'!J25</f>
        <v>1894.45074</v>
      </c>
      <c r="L59" s="44">
        <f>'FKEC Network'!K25</f>
        <v>1660.88832</v>
      </c>
      <c r="M59" s="44">
        <f>'FKEC Network'!L25</f>
        <v>1777.6759</v>
      </c>
      <c r="N59" s="44">
        <f>'FKEC Network'!M25</f>
        <v>1492.21072</v>
      </c>
      <c r="O59" s="41">
        <f>SUM(C59:N59)</f>
        <v>19489.537339999999</v>
      </c>
      <c r="Q59" s="11"/>
    </row>
    <row r="60" spans="1:17">
      <c r="A60" s="89" t="s">
        <v>202</v>
      </c>
      <c r="B60" s="216">
        <v>456.21100000000001</v>
      </c>
      <c r="C60" s="44">
        <f>'Wauchula Network'!B18</f>
        <v>14575.53</v>
      </c>
      <c r="D60" s="44">
        <f>'Wauchula Network'!C18</f>
        <v>19432.98</v>
      </c>
      <c r="E60" s="44">
        <f>'Wauchula Network'!D18</f>
        <v>14575.53</v>
      </c>
      <c r="F60" s="44">
        <f>'Wauchula Network'!E18</f>
        <v>12955.320000000002</v>
      </c>
      <c r="G60" s="44">
        <f>'Wauchula Network'!F18</f>
        <v>19432.98</v>
      </c>
      <c r="H60" s="44">
        <f>'Wauchula Network'!G18</f>
        <v>21053.190000000002</v>
      </c>
      <c r="I60" s="44">
        <f>'Wauchula Network'!H18</f>
        <v>21053.190000000002</v>
      </c>
      <c r="J60" s="44">
        <f>'Wauchula Network'!I18</f>
        <v>21053.190000000002</v>
      </c>
      <c r="K60" s="44">
        <f>'Wauchula Network'!J18</f>
        <v>22671.81</v>
      </c>
      <c r="L60" s="44">
        <f>'Wauchula Network'!K18</f>
        <v>19432.98</v>
      </c>
      <c r="M60" s="44">
        <f>'Wauchula Network'!L18</f>
        <v>19432.98</v>
      </c>
      <c r="N60" s="44">
        <f>'Wauchula Network'!M18</f>
        <v>14575.53</v>
      </c>
      <c r="O60" s="41">
        <f>SUM(C60:N60)</f>
        <v>220245.21000000002</v>
      </c>
    </row>
    <row r="61" spans="1:17">
      <c r="A61" s="89" t="s">
        <v>203</v>
      </c>
      <c r="B61" s="216">
        <v>456.221</v>
      </c>
      <c r="C61" s="44">
        <f>'Wauchula Network'!B25</f>
        <v>116.78757999999999</v>
      </c>
      <c r="D61" s="44">
        <f>'Wauchula Network'!C25</f>
        <v>155.70828</v>
      </c>
      <c r="E61" s="44">
        <f>'Wauchula Network'!D25</f>
        <v>116.78757999999999</v>
      </c>
      <c r="F61" s="44">
        <f>'Wauchula Network'!E25</f>
        <v>103.80552</v>
      </c>
      <c r="G61" s="44">
        <f>'Wauchula Network'!F25</f>
        <v>155.70828</v>
      </c>
      <c r="H61" s="44">
        <f>'Wauchula Network'!G25</f>
        <v>168.69033999999999</v>
      </c>
      <c r="I61" s="44">
        <f>'Wauchula Network'!H25</f>
        <v>168.69033999999999</v>
      </c>
      <c r="J61" s="44">
        <f>'Wauchula Network'!I25</f>
        <v>168.69033999999999</v>
      </c>
      <c r="K61" s="44">
        <f>'Wauchula Network'!J25</f>
        <v>181.65966</v>
      </c>
      <c r="L61" s="44">
        <f>'Wauchula Network'!K25</f>
        <v>155.70828</v>
      </c>
      <c r="M61" s="44">
        <f>'Wauchula Network'!L25</f>
        <v>155.70828</v>
      </c>
      <c r="N61" s="44">
        <f>'Wauchula Network'!M25</f>
        <v>116.78757999999999</v>
      </c>
      <c r="O61" s="41">
        <f>SUM(C61:N61)</f>
        <v>1764.73206</v>
      </c>
    </row>
    <row r="62" spans="1:17">
      <c r="A62" s="89" t="s">
        <v>272</v>
      </c>
      <c r="B62" s="216">
        <v>456.21100000000001</v>
      </c>
      <c r="C62" s="44">
        <f>'Blountstown Network'!B18</f>
        <v>6477.6600000000008</v>
      </c>
      <c r="D62" s="44">
        <f>'Blountstown Network'!C18</f>
        <v>11336.7</v>
      </c>
      <c r="E62" s="44">
        <f>'Blountstown Network'!D18</f>
        <v>6477.6600000000008</v>
      </c>
      <c r="F62" s="44">
        <f>'Blountstown Network'!E18</f>
        <v>4859.04</v>
      </c>
      <c r="G62" s="44">
        <f>'Blountstown Network'!F18</f>
        <v>11336.7</v>
      </c>
      <c r="H62" s="44">
        <f>'Blountstown Network'!G18</f>
        <v>11336.7</v>
      </c>
      <c r="I62" s="44">
        <f>'Blountstown Network'!H18</f>
        <v>11336.7</v>
      </c>
      <c r="J62" s="44">
        <f>'Blountstown Network'!I18</f>
        <v>12955.320000000002</v>
      </c>
      <c r="K62" s="44">
        <f>'Blountstown Network'!J18</f>
        <v>12955.320000000002</v>
      </c>
      <c r="L62" s="44">
        <f>'Blountstown Network'!K18</f>
        <v>11336.7</v>
      </c>
      <c r="M62" s="44">
        <f>'Blountstown Network'!L18</f>
        <v>11336.7</v>
      </c>
      <c r="N62" s="44">
        <f>'Blountstown Network'!M18</f>
        <v>6477.6600000000008</v>
      </c>
      <c r="O62" s="41">
        <f t="shared" ref="O62:O64" si="6">SUM(C62:N62)</f>
        <v>118222.86000000002</v>
      </c>
    </row>
    <row r="63" spans="1:17">
      <c r="A63" s="89" t="s">
        <v>273</v>
      </c>
      <c r="B63" s="216">
        <v>456.221</v>
      </c>
      <c r="C63" s="44">
        <f>'Blountstown Network'!B25</f>
        <v>51.902760000000001</v>
      </c>
      <c r="D63" s="44">
        <f>'Blountstown Network'!C25</f>
        <v>90.836199999999991</v>
      </c>
      <c r="E63" s="44">
        <f>'Blountstown Network'!D25</f>
        <v>51.902760000000001</v>
      </c>
      <c r="F63" s="44">
        <f>'Blountstown Network'!E25</f>
        <v>38.933439999999997</v>
      </c>
      <c r="G63" s="44">
        <f>'Blountstown Network'!F25</f>
        <v>90.836199999999991</v>
      </c>
      <c r="H63" s="44">
        <f>'Blountstown Network'!G25</f>
        <v>90.836199999999991</v>
      </c>
      <c r="I63" s="44">
        <f>'Blountstown Network'!H25</f>
        <v>90.836199999999991</v>
      </c>
      <c r="J63" s="44">
        <f>'Blountstown Network'!I25</f>
        <v>103.80552</v>
      </c>
      <c r="K63" s="44">
        <f>'Blountstown Network'!J25</f>
        <v>103.80552</v>
      </c>
      <c r="L63" s="44">
        <f>'Blountstown Network'!K25</f>
        <v>90.836199999999991</v>
      </c>
      <c r="M63" s="44">
        <f>'Blountstown Network'!L25</f>
        <v>90.836199999999991</v>
      </c>
      <c r="N63" s="44">
        <f>'Blountstown Network'!M25</f>
        <v>51.902760000000001</v>
      </c>
      <c r="O63" s="41">
        <f t="shared" si="6"/>
        <v>947.26995999999986</v>
      </c>
    </row>
    <row r="64" spans="1:17">
      <c r="A64" s="89" t="s">
        <v>300</v>
      </c>
      <c r="B64" s="216">
        <v>456.21100000000001</v>
      </c>
      <c r="C64" s="44">
        <f>'Winter Park Network'!B18</f>
        <v>1.59</v>
      </c>
      <c r="D64" s="44">
        <f>'Winter Park Network'!C18</f>
        <v>3.18</v>
      </c>
      <c r="E64" s="44">
        <f>'Winter Park Network'!D18</f>
        <v>4.7700000000000005</v>
      </c>
      <c r="F64" s="44">
        <f>'Winter Park Network'!E18</f>
        <v>6.36</v>
      </c>
      <c r="G64" s="44">
        <f>'Winter Park Network'!F18</f>
        <v>7.95</v>
      </c>
      <c r="H64" s="44">
        <f>'Winter Park Network'!G18</f>
        <v>9.5400000000000009</v>
      </c>
      <c r="I64" s="44">
        <f>'Winter Park Network'!H18</f>
        <v>11.13</v>
      </c>
      <c r="J64" s="44">
        <f>'Winter Park Network'!I18</f>
        <v>12.72</v>
      </c>
      <c r="K64" s="44">
        <f>'Winter Park Network'!J18</f>
        <v>14.31</v>
      </c>
      <c r="L64" s="44">
        <f>'Winter Park Network'!K18</f>
        <v>15.9</v>
      </c>
      <c r="M64" s="44">
        <f>'Winter Park Network'!L18</f>
        <v>17.490000000000002</v>
      </c>
      <c r="N64" s="44">
        <f>'Winter Park Network'!M18</f>
        <v>19.080000000000002</v>
      </c>
      <c r="O64" s="41">
        <f t="shared" si="6"/>
        <v>124.02</v>
      </c>
    </row>
    <row r="65" spans="1:17">
      <c r="A65" s="89" t="s">
        <v>13</v>
      </c>
      <c r="B65" s="216">
        <v>456.21300000000002</v>
      </c>
      <c r="C65" s="43">
        <f>'New Smyrna Beach'!$B$9</f>
        <v>13007.96</v>
      </c>
      <c r="D65" s="43">
        <f>'New Smyrna Beach'!$C$9</f>
        <v>13007.96</v>
      </c>
      <c r="E65" s="43">
        <f>'New Smyrna Beach'!$D$9</f>
        <v>13007.96</v>
      </c>
      <c r="F65" s="43">
        <f>'New Smyrna Beach'!$E$9</f>
        <v>13007.96</v>
      </c>
      <c r="G65" s="43">
        <f>'New Smyrna Beach'!F9</f>
        <v>13007.96</v>
      </c>
      <c r="H65" s="43">
        <f>'New Smyrna Beach'!$G$9</f>
        <v>13007.96</v>
      </c>
      <c r="I65" s="43">
        <f>'New Smyrna Beach'!$H$9</f>
        <v>13007.96</v>
      </c>
      <c r="J65" s="43">
        <f>'New Smyrna Beach'!$I$9</f>
        <v>13007.96</v>
      </c>
      <c r="K65" s="43">
        <f>'New Smyrna Beach'!$J$9</f>
        <v>13007.96</v>
      </c>
      <c r="L65" s="43">
        <f>'New Smyrna Beach'!$K$9</f>
        <v>13007.96</v>
      </c>
      <c r="M65" s="43">
        <f>'New Smyrna Beach'!$L$9</f>
        <v>13007.96</v>
      </c>
      <c r="N65" s="43">
        <f>'New Smyrna Beach'!$M$9</f>
        <v>13007.96</v>
      </c>
      <c r="O65" s="43">
        <f>SUM(C65:N65)</f>
        <v>156095.51999999996</v>
      </c>
      <c r="Q65" s="11"/>
    </row>
    <row r="66" spans="1:17">
      <c r="A66" s="89" t="s">
        <v>362</v>
      </c>
      <c r="B66" s="216">
        <v>456.21100000000001</v>
      </c>
      <c r="C66" s="43">
        <f>'New Smyrna Network'!B19</f>
        <v>0</v>
      </c>
      <c r="D66" s="43">
        <f>'New Smyrna Network'!C19</f>
        <v>0</v>
      </c>
      <c r="E66" s="43">
        <f>'New Smyrna Network'!D19</f>
        <v>48582.450000000004</v>
      </c>
      <c r="F66" s="43">
        <f>'New Smyrna Network'!E19</f>
        <v>32388.300000000003</v>
      </c>
      <c r="G66" s="43">
        <f>'New Smyrna Network'!F19</f>
        <v>16194.150000000001</v>
      </c>
      <c r="H66" s="43">
        <f>'New Smyrna Network'!G19</f>
        <v>48582.450000000004</v>
      </c>
      <c r="I66" s="43">
        <f>'New Smyrna Network'!H19</f>
        <v>56680.32</v>
      </c>
      <c r="J66" s="43">
        <f>'New Smyrna Network'!I19</f>
        <v>56680.32</v>
      </c>
      <c r="K66" s="43">
        <f>'New Smyrna Network'!J19</f>
        <v>56680.32</v>
      </c>
      <c r="L66" s="43">
        <f>'New Smyrna Network'!K19</f>
        <v>40486.170000000006</v>
      </c>
      <c r="M66" s="43">
        <f>'New Smyrna Network'!L19</f>
        <v>32388.300000000003</v>
      </c>
      <c r="N66" s="43">
        <f>'New Smyrna Network'!M19</f>
        <v>32388.300000000003</v>
      </c>
      <c r="O66" s="43">
        <f t="shared" ref="O66:O67" si="7">SUM(C66:N66)</f>
        <v>421051.07999999996</v>
      </c>
      <c r="Q66" s="11"/>
    </row>
    <row r="67" spans="1:17">
      <c r="A67" s="89" t="s">
        <v>363</v>
      </c>
      <c r="B67" s="216">
        <v>456.221</v>
      </c>
      <c r="C67" s="43">
        <f>'New Smyrna Network'!B26</f>
        <v>0</v>
      </c>
      <c r="D67" s="43">
        <f>'New Smyrna Network'!C26</f>
        <v>0</v>
      </c>
      <c r="E67" s="43">
        <f>'New Smyrna Network'!D26</f>
        <v>389.27069999999998</v>
      </c>
      <c r="F67" s="43">
        <f>'New Smyrna Network'!E26</f>
        <v>259.5138</v>
      </c>
      <c r="G67" s="43">
        <f>'New Smyrna Network'!F26</f>
        <v>129.7569</v>
      </c>
      <c r="H67" s="43">
        <f>'New Smyrna Network'!G26</f>
        <v>389.27069999999998</v>
      </c>
      <c r="I67" s="43">
        <f>'New Smyrna Network'!H26</f>
        <v>454.15551999999997</v>
      </c>
      <c r="J67" s="43">
        <f>'New Smyrna Network'!I26</f>
        <v>454.15551999999997</v>
      </c>
      <c r="K67" s="43">
        <f>'New Smyrna Network'!J26</f>
        <v>454.15551999999997</v>
      </c>
      <c r="L67" s="43">
        <f>'New Smyrna Network'!K26</f>
        <v>324.39861999999999</v>
      </c>
      <c r="M67" s="43">
        <f>'New Smyrna Network'!L26</f>
        <v>259.5138</v>
      </c>
      <c r="N67" s="43">
        <f>'New Smyrna Network'!M26</f>
        <v>259.5138</v>
      </c>
      <c r="O67" s="43">
        <f t="shared" si="7"/>
        <v>3373.7048799999998</v>
      </c>
      <c r="Q67" s="11"/>
    </row>
    <row r="68" spans="1:17">
      <c r="A68" s="89" t="s">
        <v>325</v>
      </c>
      <c r="B68" s="216">
        <v>456.21100000000001</v>
      </c>
      <c r="C68" s="43">
        <f>'Lake Worth Network Transmission'!B17</f>
        <v>116597.88</v>
      </c>
      <c r="D68" s="43">
        <f>'Lake Worth Network Transmission'!C17</f>
        <v>116597.88</v>
      </c>
      <c r="E68" s="43">
        <f>'Lake Worth Network Transmission'!D17</f>
        <v>116597.88</v>
      </c>
      <c r="F68" s="43">
        <f>'Lake Worth Network Transmission'!E17</f>
        <v>116597.88</v>
      </c>
      <c r="G68" s="43">
        <f>'Lake Worth Network Transmission'!F17</f>
        <v>137651.07</v>
      </c>
      <c r="H68" s="43">
        <f>'Lake Worth Network Transmission'!G17</f>
        <v>137651.07</v>
      </c>
      <c r="I68" s="43">
        <f>'Lake Worth Network Transmission'!H17</f>
        <v>137651.07</v>
      </c>
      <c r="J68" s="43">
        <f>'Lake Worth Network Transmission'!I17</f>
        <v>137651.07</v>
      </c>
      <c r="K68" s="43">
        <f>'Lake Worth Network Transmission'!J17</f>
        <v>137651.07</v>
      </c>
      <c r="L68" s="43">
        <f>'Lake Worth Network Transmission'!K17</f>
        <v>116597.88</v>
      </c>
      <c r="M68" s="43">
        <f>'Lake Worth Network Transmission'!L17</f>
        <v>116597.88</v>
      </c>
      <c r="N68" s="43">
        <f>'Lake Worth Network Transmission'!M17</f>
        <v>116597.88</v>
      </c>
      <c r="O68" s="43">
        <f t="shared" ref="O68:O69" si="8">SUM(C68:N68)</f>
        <v>1504440.5100000002</v>
      </c>
      <c r="Q68" s="11"/>
    </row>
    <row r="69" spans="1:17">
      <c r="A69" s="89" t="s">
        <v>326</v>
      </c>
      <c r="B69" s="216">
        <v>456.221</v>
      </c>
      <c r="C69" s="43">
        <f>'Lake Worth Network Transmission'!B24</f>
        <v>934.24968000000001</v>
      </c>
      <c r="D69" s="43">
        <f>'Lake Worth Network Transmission'!C24</f>
        <v>934.24968000000001</v>
      </c>
      <c r="E69" s="43">
        <f>'Lake Worth Network Transmission'!D24</f>
        <v>934.24968000000001</v>
      </c>
      <c r="F69" s="43">
        <f>'Lake Worth Network Transmission'!E24</f>
        <v>934.24968000000001</v>
      </c>
      <c r="G69" s="43">
        <f>'Lake Worth Network Transmission'!F24</f>
        <v>1102.94002</v>
      </c>
      <c r="H69" s="43">
        <f>'Lake Worth Network Transmission'!G24</f>
        <v>1102.94002</v>
      </c>
      <c r="I69" s="43">
        <f>'Lake Worth Network Transmission'!H24</f>
        <v>1102.94002</v>
      </c>
      <c r="J69" s="43">
        <f>'Lake Worth Network Transmission'!I24</f>
        <v>1102.94002</v>
      </c>
      <c r="K69" s="43">
        <f>'Lake Worth Network Transmission'!J24</f>
        <v>1102.94002</v>
      </c>
      <c r="L69" s="43">
        <f>'Lake Worth Network Transmission'!K24</f>
        <v>934.24968000000001</v>
      </c>
      <c r="M69" s="43">
        <f>'Lake Worth Network Transmission'!L24</f>
        <v>934.24968000000001</v>
      </c>
      <c r="N69" s="43">
        <f>'Lake Worth Network Transmission'!M24</f>
        <v>934.24968000000001</v>
      </c>
      <c r="O69" s="43">
        <f t="shared" si="8"/>
        <v>12054.447860000002</v>
      </c>
      <c r="Q69" s="11"/>
    </row>
    <row r="70" spans="1:17">
      <c r="A70" s="89" t="s">
        <v>14</v>
      </c>
      <c r="B70" s="216">
        <v>456.21100000000001</v>
      </c>
      <c r="C70" s="40">
        <f>'TSAS Demand Revenues (7)'!B68</f>
        <v>799859.04</v>
      </c>
      <c r="D70" s="40">
        <f>'TSAS Demand Revenues (7)'!C68</f>
        <v>799859.04</v>
      </c>
      <c r="E70" s="40">
        <f>'TSAS Demand Revenues (7)'!D68</f>
        <v>799859.04</v>
      </c>
      <c r="F70" s="40">
        <f>'TSAS Demand Revenues (7)'!E68</f>
        <v>799859.04</v>
      </c>
      <c r="G70" s="40">
        <f>'TSAS Demand Revenues (7)'!F68</f>
        <v>799859.04</v>
      </c>
      <c r="H70" s="40">
        <f>'TSAS Demand Revenues (7)'!G68</f>
        <v>799859.04</v>
      </c>
      <c r="I70" s="40">
        <f>'TSAS Demand Revenues (7)'!H68</f>
        <v>799859.04</v>
      </c>
      <c r="J70" s="40">
        <f>'TSAS Demand Revenues (7)'!I68</f>
        <v>799859.04</v>
      </c>
      <c r="K70" s="40">
        <f>'TSAS Demand Revenues (7)'!J68</f>
        <v>799859.04</v>
      </c>
      <c r="L70" s="40">
        <f>'TSAS Demand Revenues (7)'!K68</f>
        <v>799859.04</v>
      </c>
      <c r="M70" s="40">
        <f>'TSAS Demand Revenues (7)'!L68</f>
        <v>799859.04</v>
      </c>
      <c r="N70" s="40">
        <f>'TSAS Demand Revenues (7)'!M68</f>
        <v>799859.04</v>
      </c>
      <c r="O70" s="43">
        <f t="shared" ref="O70:O73" si="9">SUM(C70:N70)</f>
        <v>9598308.4800000004</v>
      </c>
      <c r="Q70" s="11"/>
    </row>
    <row r="71" spans="1:17">
      <c r="A71" s="89" t="s">
        <v>146</v>
      </c>
      <c r="B71" s="216">
        <v>456.221</v>
      </c>
      <c r="C71" s="40">
        <f>'TSAS Scheduling Revenue (1)'!B67</f>
        <v>6408.9334399999998</v>
      </c>
      <c r="D71" s="40">
        <f>'TSAS Scheduling Revenue (1)'!C67</f>
        <v>6408.9334399999998</v>
      </c>
      <c r="E71" s="40">
        <f>'TSAS Scheduling Revenue (1)'!D67</f>
        <v>6408.9334399999998</v>
      </c>
      <c r="F71" s="40">
        <f>'TSAS Scheduling Revenue (1)'!E67</f>
        <v>6408.9334399999998</v>
      </c>
      <c r="G71" s="40">
        <f>'TSAS Scheduling Revenue (1)'!F67</f>
        <v>6408.9334399999998</v>
      </c>
      <c r="H71" s="40">
        <f>'TSAS Scheduling Revenue (1)'!G67</f>
        <v>6408.9334399999998</v>
      </c>
      <c r="I71" s="40">
        <f>'TSAS Scheduling Revenue (1)'!H67</f>
        <v>6408.9334399999998</v>
      </c>
      <c r="J71" s="40">
        <f>'TSAS Scheduling Revenue (1)'!I67</f>
        <v>6408.9334399999998</v>
      </c>
      <c r="K71" s="40">
        <f>'TSAS Scheduling Revenue (1)'!J67</f>
        <v>6408.9334399999998</v>
      </c>
      <c r="L71" s="40">
        <f>'TSAS Scheduling Revenue (1)'!K67</f>
        <v>6408.9334399999998</v>
      </c>
      <c r="M71" s="40">
        <f>'TSAS Scheduling Revenue (1)'!L67</f>
        <v>6408.9334399999998</v>
      </c>
      <c r="N71" s="40">
        <f>'TSAS Scheduling Revenue (1)'!M67</f>
        <v>6408.9334399999998</v>
      </c>
      <c r="O71" s="43">
        <f t="shared" si="9"/>
        <v>76907.201279999994</v>
      </c>
      <c r="Q71" s="11"/>
    </row>
    <row r="72" spans="1:17">
      <c r="A72" s="89" t="s">
        <v>77</v>
      </c>
      <c r="B72" s="216">
        <v>456.22199999999998</v>
      </c>
      <c r="C72" s="40">
        <f>'TSAS Reactive Revenues (2)'!B67</f>
        <v>49566.719999999994</v>
      </c>
      <c r="D72" s="40">
        <f>'TSAS Reactive Revenues (2)'!C67</f>
        <v>49566.719999999994</v>
      </c>
      <c r="E72" s="40">
        <f>'TSAS Reactive Revenues (2)'!D67</f>
        <v>49566.719999999994</v>
      </c>
      <c r="F72" s="40">
        <f>'TSAS Reactive Revenues (2)'!E67</f>
        <v>49566.719999999994</v>
      </c>
      <c r="G72" s="40">
        <f>'TSAS Reactive Revenues (2)'!F67</f>
        <v>49566.719999999994</v>
      </c>
      <c r="H72" s="40">
        <f>'TSAS Reactive Revenues (2)'!G67</f>
        <v>49566.719999999994</v>
      </c>
      <c r="I72" s="40">
        <f>'TSAS Reactive Revenues (2)'!H67</f>
        <v>49566.719999999994</v>
      </c>
      <c r="J72" s="40">
        <f>'TSAS Reactive Revenues (2)'!I67</f>
        <v>49566.719999999994</v>
      </c>
      <c r="K72" s="40">
        <f>'TSAS Reactive Revenues (2)'!J67</f>
        <v>49566.719999999994</v>
      </c>
      <c r="L72" s="40">
        <f>'TSAS Reactive Revenues (2)'!K67</f>
        <v>49566.719999999994</v>
      </c>
      <c r="M72" s="40">
        <f>'TSAS Reactive Revenues (2)'!L67</f>
        <v>49566.719999999994</v>
      </c>
      <c r="N72" s="40">
        <f>'TSAS Reactive Revenues (2)'!M67</f>
        <v>49566.719999999994</v>
      </c>
      <c r="O72" s="43">
        <f t="shared" si="9"/>
        <v>594800.63999999978</v>
      </c>
      <c r="Q72" s="11"/>
    </row>
    <row r="73" spans="1:17">
      <c r="A73" s="89" t="s">
        <v>124</v>
      </c>
      <c r="B73" s="216">
        <v>456.14499999999998</v>
      </c>
      <c r="C73" s="40">
        <f>Dynamic_Scheduling!B16</f>
        <v>7200</v>
      </c>
      <c r="D73" s="40">
        <f>Dynamic_Scheduling!C16</f>
        <v>7200</v>
      </c>
      <c r="E73" s="40">
        <f>Dynamic_Scheduling!D16</f>
        <v>7200</v>
      </c>
      <c r="F73" s="40">
        <f>Dynamic_Scheduling!E16</f>
        <v>7200</v>
      </c>
      <c r="G73" s="40">
        <f>Dynamic_Scheduling!F16</f>
        <v>7200</v>
      </c>
      <c r="H73" s="40">
        <f>Dynamic_Scheduling!G16</f>
        <v>7200</v>
      </c>
      <c r="I73" s="40">
        <f>Dynamic_Scheduling!H16</f>
        <v>7200</v>
      </c>
      <c r="J73" s="40">
        <f>Dynamic_Scheduling!I16</f>
        <v>7200</v>
      </c>
      <c r="K73" s="40">
        <f>Dynamic_Scheduling!J16</f>
        <v>7200</v>
      </c>
      <c r="L73" s="40">
        <f>Dynamic_Scheduling!K16</f>
        <v>7200</v>
      </c>
      <c r="M73" s="40">
        <f>Dynamic_Scheduling!L16</f>
        <v>7200</v>
      </c>
      <c r="N73" s="40">
        <f>Dynamic_Scheduling!M16</f>
        <v>7200</v>
      </c>
      <c r="O73" s="43">
        <f t="shared" si="9"/>
        <v>86400</v>
      </c>
      <c r="Q73" s="11"/>
    </row>
    <row r="74" spans="1:17">
      <c r="A74" s="89" t="s">
        <v>153</v>
      </c>
      <c r="B74" s="216">
        <v>456.21300000000002</v>
      </c>
      <c r="C74" s="43">
        <f>st_nf!D9</f>
        <v>252959.05</v>
      </c>
      <c r="D74" s="43">
        <f>st_nf!E9</f>
        <v>211139.89</v>
      </c>
      <c r="E74" s="43">
        <f>st_nf!F9</f>
        <v>230869.65</v>
      </c>
      <c r="F74" s="43">
        <f>st_nf!G9</f>
        <v>165524.70000000001</v>
      </c>
      <c r="G74" s="43">
        <f>st_nf!H9</f>
        <v>230869.65</v>
      </c>
      <c r="H74" s="43">
        <f>st_nf!I9</f>
        <v>338831.64</v>
      </c>
      <c r="I74" s="43">
        <f>st_nf!J9</f>
        <v>225520.52</v>
      </c>
      <c r="J74" s="43">
        <f>st_nf!K9</f>
        <v>328491.74</v>
      </c>
      <c r="K74" s="43">
        <f>st_nf!L9</f>
        <v>320710.51</v>
      </c>
      <c r="L74" s="43">
        <f>st_nf!M9</f>
        <v>438157.95</v>
      </c>
      <c r="M74" s="43">
        <f>st_nf!N9</f>
        <v>323720.68</v>
      </c>
      <c r="N74" s="43">
        <f>st_nf!O9</f>
        <v>226700.14</v>
      </c>
      <c r="O74" s="43">
        <f>SUM(C74:N74)</f>
        <v>3293496.1200000006</v>
      </c>
      <c r="Q74" s="11"/>
    </row>
    <row r="75" spans="1:17">
      <c r="A75" s="89" t="s">
        <v>154</v>
      </c>
      <c r="B75" s="216">
        <v>456.22300000000001</v>
      </c>
      <c r="C75" s="217">
        <f>st_nf!D10</f>
        <v>31266.38</v>
      </c>
      <c r="D75" s="217">
        <f>st_nf!E10</f>
        <v>33737.19</v>
      </c>
      <c r="E75" s="217">
        <f>st_nf!F10</f>
        <v>33995.410000000003</v>
      </c>
      <c r="F75" s="217">
        <f>st_nf!G10</f>
        <v>34925.39</v>
      </c>
      <c r="G75" s="217">
        <f>st_nf!H10</f>
        <v>33923.370000000003</v>
      </c>
      <c r="H75" s="217">
        <f>st_nf!I10</f>
        <v>16500.57</v>
      </c>
      <c r="I75" s="217">
        <f>st_nf!J10</f>
        <v>25237.65</v>
      </c>
      <c r="J75" s="217">
        <f>st_nf!K10</f>
        <v>31769.99</v>
      </c>
      <c r="K75" s="217">
        <f>st_nf!L10</f>
        <v>41391.03</v>
      </c>
      <c r="L75" s="217">
        <f>st_nf!M10</f>
        <v>29168.31</v>
      </c>
      <c r="M75" s="217">
        <f>st_nf!N10</f>
        <v>28251.96</v>
      </c>
      <c r="N75" s="217">
        <f>st_nf!O10</f>
        <v>31973.599999999999</v>
      </c>
      <c r="O75" s="217">
        <f t="shared" si="5"/>
        <v>372140.85</v>
      </c>
      <c r="Q75" s="11"/>
    </row>
    <row r="76" spans="1:17" ht="10.8" thickBot="1">
      <c r="A76" s="89" t="s">
        <v>155</v>
      </c>
      <c r="B76" s="89"/>
      <c r="C76" s="386">
        <f t="shared" ref="C76:O76" si="10">SUM(C45:C75)</f>
        <v>3788029.2609063052</v>
      </c>
      <c r="D76" s="386">
        <f t="shared" si="10"/>
        <v>4401026.9082677532</v>
      </c>
      <c r="E76" s="386">
        <f t="shared" si="10"/>
        <v>3939164.9420222114</v>
      </c>
      <c r="F76" s="386">
        <f t="shared" si="10"/>
        <v>3934410.3059521234</v>
      </c>
      <c r="G76" s="386">
        <f t="shared" si="10"/>
        <v>4415637.5382422423</v>
      </c>
      <c r="H76" s="386">
        <f t="shared" si="10"/>
        <v>4707247.7705908902</v>
      </c>
      <c r="I76" s="386">
        <f t="shared" si="10"/>
        <v>4742755.8893004777</v>
      </c>
      <c r="J76" s="386">
        <f t="shared" si="10"/>
        <v>4821521.5041798372</v>
      </c>
      <c r="K76" s="386">
        <f t="shared" si="10"/>
        <v>4845316.278158756</v>
      </c>
      <c r="L76" s="386">
        <f t="shared" si="10"/>
        <v>4540051.7601392046</v>
      </c>
      <c r="M76" s="386">
        <f t="shared" si="10"/>
        <v>4326930.9877079064</v>
      </c>
      <c r="N76" s="386">
        <f t="shared" si="10"/>
        <v>4124306.0542365154</v>
      </c>
      <c r="O76" s="386">
        <f t="shared" si="10"/>
        <v>52586399.199704215</v>
      </c>
      <c r="Q76" s="11"/>
    </row>
    <row r="77" spans="1:17" ht="10.8" thickTop="1">
      <c r="A77" s="88"/>
      <c r="B77" s="88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Q77" s="11"/>
    </row>
    <row r="78" spans="1:17">
      <c r="A78" s="89"/>
      <c r="B78" s="89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0"/>
      <c r="Q78" s="11"/>
    </row>
    <row r="79" spans="1:17">
      <c r="A79" s="89" t="s">
        <v>131</v>
      </c>
      <c r="B79" s="216">
        <v>456.25200000000001</v>
      </c>
      <c r="C79" s="44">
        <f>'SECI-Credit Settlement'!$B$11*(-1)</f>
        <v>-566426.91666666674</v>
      </c>
      <c r="D79" s="44">
        <f>'SECI-Credit Settlement'!$B$11*(-1)</f>
        <v>-566426.91666666674</v>
      </c>
      <c r="E79" s="44">
        <f>'SECI-Credit Settlement'!$B$11*(-1)</f>
        <v>-566426.91666666674</v>
      </c>
      <c r="F79" s="44">
        <f>'SECI-Credit Settlement'!$B$11*(-1)</f>
        <v>-566426.91666666674</v>
      </c>
      <c r="G79" s="44">
        <f>'SECI-Credit Settlement'!$B$11*(-1)</f>
        <v>-566426.91666666674</v>
      </c>
      <c r="H79" s="44">
        <f>'SECI-Credit Settlement'!$B$11*(-1)</f>
        <v>-566426.91666666674</v>
      </c>
      <c r="I79" s="44">
        <f>'SECI-Credit Settlement'!$B$11*(-1)</f>
        <v>-566426.91666666674</v>
      </c>
      <c r="J79" s="44">
        <f>'SECI-Credit Settlement'!$B$11*(-1)</f>
        <v>-566426.91666666674</v>
      </c>
      <c r="K79" s="44">
        <f>'SECI-Credit Settlement'!$B$11*(-1)</f>
        <v>-566426.91666666674</v>
      </c>
      <c r="L79" s="44">
        <f>'SECI-Credit Settlement'!$B$11*(-1)</f>
        <v>-566426.91666666674</v>
      </c>
      <c r="M79" s="44">
        <f>'SECI-Credit Settlement'!$B$11*(-1)</f>
        <v>-566426.91666666674</v>
      </c>
      <c r="N79" s="44">
        <f>'SECI-Credit Settlement'!$B$11*(-1)</f>
        <v>-566426.91666666674</v>
      </c>
      <c r="O79" s="41">
        <f>SUM(C79:N79)</f>
        <v>-6797123.0000000028</v>
      </c>
      <c r="Q79" s="11"/>
    </row>
    <row r="80" spans="1:17">
      <c r="A80" s="88"/>
      <c r="B80" s="88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Q80" s="11"/>
    </row>
    <row r="81" spans="1:17">
      <c r="A81" s="88" t="s">
        <v>115</v>
      </c>
      <c r="B81" s="88"/>
      <c r="C81" s="40">
        <f>C76+C79</f>
        <v>3221602.3442396382</v>
      </c>
      <c r="D81" s="40">
        <f t="shared" ref="D81:O81" si="11">D76+D79</f>
        <v>3834599.9916010862</v>
      </c>
      <c r="E81" s="40">
        <f t="shared" si="11"/>
        <v>3372738.0253555449</v>
      </c>
      <c r="F81" s="40">
        <f t="shared" si="11"/>
        <v>3367983.3892854564</v>
      </c>
      <c r="G81" s="40">
        <f t="shared" si="11"/>
        <v>3849210.6215755753</v>
      </c>
      <c r="H81" s="40">
        <f t="shared" si="11"/>
        <v>4140820.8539242232</v>
      </c>
      <c r="I81" s="40">
        <f t="shared" si="11"/>
        <v>4176328.9726338107</v>
      </c>
      <c r="J81" s="40">
        <f t="shared" si="11"/>
        <v>4255094.5875131702</v>
      </c>
      <c r="K81" s="40">
        <f t="shared" si="11"/>
        <v>4278889.361492089</v>
      </c>
      <c r="L81" s="40">
        <f t="shared" si="11"/>
        <v>3973624.8434725376</v>
      </c>
      <c r="M81" s="40">
        <f t="shared" si="11"/>
        <v>3760504.0710412394</v>
      </c>
      <c r="N81" s="40">
        <f t="shared" si="11"/>
        <v>3557879.1375698484</v>
      </c>
      <c r="O81" s="40">
        <f t="shared" si="11"/>
        <v>45789276.199704215</v>
      </c>
      <c r="Q81" s="11"/>
    </row>
    <row r="82" spans="1:17">
      <c r="A82" s="89"/>
      <c r="B82" s="89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Q82" s="11"/>
    </row>
    <row r="83" spans="1:17">
      <c r="A83" s="203" t="s">
        <v>147</v>
      </c>
      <c r="B83" s="209"/>
      <c r="C83" s="201" t="s">
        <v>0</v>
      </c>
      <c r="D83" s="201" t="s">
        <v>1</v>
      </c>
      <c r="E83" s="201" t="s">
        <v>2</v>
      </c>
      <c r="F83" s="201" t="s">
        <v>3</v>
      </c>
      <c r="G83" s="201" t="s">
        <v>4</v>
      </c>
      <c r="H83" s="201" t="s">
        <v>5</v>
      </c>
      <c r="I83" s="201" t="s">
        <v>6</v>
      </c>
      <c r="J83" s="201" t="s">
        <v>7</v>
      </c>
      <c r="K83" s="201" t="s">
        <v>8</v>
      </c>
      <c r="L83" s="201" t="s">
        <v>9</v>
      </c>
      <c r="M83" s="201" t="s">
        <v>10</v>
      </c>
      <c r="N83" s="201" t="s">
        <v>11</v>
      </c>
      <c r="O83" s="202" t="s">
        <v>12</v>
      </c>
      <c r="Q83" s="11"/>
    </row>
    <row r="84" spans="1:17">
      <c r="A84" s="90"/>
      <c r="B84" s="90"/>
      <c r="Q84" s="11"/>
    </row>
    <row r="85" spans="1:17">
      <c r="A85" s="89" t="s">
        <v>79</v>
      </c>
      <c r="B85" s="216">
        <v>456.21100000000001</v>
      </c>
      <c r="C85" s="40">
        <f>'FMPA Network'!B41</f>
        <v>674810.31000000017</v>
      </c>
      <c r="D85" s="40">
        <f>'FMPA Network'!C41</f>
        <v>629142.33000000007</v>
      </c>
      <c r="E85" s="40">
        <f>'FMPA Network'!D41</f>
        <v>550276.74</v>
      </c>
      <c r="F85" s="40">
        <f>'FMPA Network'!E41</f>
        <v>591247.86</v>
      </c>
      <c r="G85" s="40">
        <f>'FMPA Network'!F41</f>
        <v>667036.80000000005</v>
      </c>
      <c r="H85" s="40">
        <f>'FMPA Network'!G41</f>
        <v>725497.92</v>
      </c>
      <c r="I85" s="40">
        <f>'FMPA Network'!H41</f>
        <v>750599.25</v>
      </c>
      <c r="J85" s="40">
        <f>'FMPA Network'!I41</f>
        <v>763392.39</v>
      </c>
      <c r="K85" s="40">
        <f>'FMPA Network'!J41</f>
        <v>696510.63</v>
      </c>
      <c r="L85" s="40">
        <f>'FMPA Network'!K41</f>
        <v>643555.68000000005</v>
      </c>
      <c r="M85" s="40">
        <f>'FMPA Network'!L41</f>
        <v>576187.38</v>
      </c>
      <c r="N85" s="40">
        <f>'FMPA Network'!M41</f>
        <v>553030.62</v>
      </c>
      <c r="O85" s="40">
        <f>SUM(C85:N85)</f>
        <v>7821287.9099999992</v>
      </c>
      <c r="Q85" s="11"/>
    </row>
    <row r="86" spans="1:17">
      <c r="A86" s="89" t="s">
        <v>142</v>
      </c>
      <c r="B86" s="216">
        <v>456.221</v>
      </c>
      <c r="C86" s="40">
        <f>'FMPA Network'!B48</f>
        <v>5406.9706600000009</v>
      </c>
      <c r="D86" s="40">
        <f>'FMPA Network'!C48</f>
        <v>5041.0523800000001</v>
      </c>
      <c r="E86" s="40">
        <f>'FMPA Network'!D48</f>
        <v>4409.1356399999995</v>
      </c>
      <c r="F86" s="40">
        <f>'FMPA Network'!E48</f>
        <v>4737.4199600000002</v>
      </c>
      <c r="G86" s="40">
        <f>'FMPA Network'!F48</f>
        <v>5344.6848</v>
      </c>
      <c r="H86" s="40">
        <f>'FMPA Network'!G48</f>
        <v>5813.1091200000001</v>
      </c>
      <c r="I86" s="40">
        <f>'FMPA Network'!H48</f>
        <v>6014.2354999999998</v>
      </c>
      <c r="J86" s="40">
        <f>'FMPA Network'!I48</f>
        <v>6116.74154</v>
      </c>
      <c r="K86" s="40">
        <f>'FMPA Network'!J48</f>
        <v>5580.8461799999995</v>
      </c>
      <c r="L86" s="40">
        <f>'FMPA Network'!K48</f>
        <v>5156.5404799999997</v>
      </c>
      <c r="M86" s="40">
        <f>'FMPA Network'!L48</f>
        <v>4616.7466800000002</v>
      </c>
      <c r="N86" s="40">
        <f>'FMPA Network'!M48</f>
        <v>4431.2013200000001</v>
      </c>
      <c r="O86" s="40">
        <f>SUM(C86:N86)</f>
        <v>62668.684260000002</v>
      </c>
      <c r="Q86" s="11"/>
    </row>
    <row r="87" spans="1:17">
      <c r="A87" s="89" t="s">
        <v>78</v>
      </c>
      <c r="B87" s="216">
        <v>456.22199999999998</v>
      </c>
      <c r="C87" s="40">
        <f>'FMPA Network'!B55</f>
        <v>29708.630000000008</v>
      </c>
      <c r="D87" s="40">
        <f>'FMPA Network'!C55</f>
        <v>27698.090000000004</v>
      </c>
      <c r="E87" s="40">
        <f>'FMPA Network'!D55</f>
        <v>24226.020000000004</v>
      </c>
      <c r="F87" s="40">
        <f>'FMPA Network'!E55</f>
        <v>26029.780000000002</v>
      </c>
      <c r="G87" s="40">
        <f>'FMPA Network'!F55</f>
        <v>29366.400000000001</v>
      </c>
      <c r="H87" s="40">
        <f>'FMPA Network'!G55</f>
        <v>31940.160000000003</v>
      </c>
      <c r="I87" s="40">
        <f>'FMPA Network'!H55</f>
        <v>33045.25</v>
      </c>
      <c r="J87" s="40">
        <f>'FMPA Network'!I55</f>
        <v>33608.47</v>
      </c>
      <c r="K87" s="40">
        <f>'FMPA Network'!J55</f>
        <v>30663.99</v>
      </c>
      <c r="L87" s="40">
        <f>'FMPA Network'!K55</f>
        <v>28332.640000000003</v>
      </c>
      <c r="M87" s="40">
        <f>'FMPA Network'!L55</f>
        <v>25366.74</v>
      </c>
      <c r="N87" s="40">
        <f>'FMPA Network'!M55</f>
        <v>24347.260000000002</v>
      </c>
      <c r="O87" s="487">
        <f>SUM(C87:N87)</f>
        <v>344333.43000000005</v>
      </c>
      <c r="Q87" s="11"/>
    </row>
    <row r="88" spans="1:17">
      <c r="A88" s="89" t="s">
        <v>125</v>
      </c>
      <c r="B88" s="216">
        <v>456.21100000000001</v>
      </c>
      <c r="C88" s="40">
        <f>'Vero Beach Network'!B40</f>
        <v>283398.42000000004</v>
      </c>
      <c r="D88" s="40">
        <f>'Vero Beach Network'!C40</f>
        <v>244532.46000000002</v>
      </c>
      <c r="E88" s="40">
        <f>'Vero Beach Network'!D40</f>
        <v>195950.01</v>
      </c>
      <c r="F88" s="40">
        <f>'Vero Beach Network'!E40</f>
        <v>204046.29</v>
      </c>
      <c r="G88" s="40">
        <f>'Vero Beach Network'!F40</f>
        <v>223479.27000000002</v>
      </c>
      <c r="H88" s="40">
        <f>'Vero Beach Network'!G40</f>
        <v>246151.08000000002</v>
      </c>
      <c r="I88" s="40">
        <f>'Vero Beach Network'!H40</f>
        <v>244532.46000000002</v>
      </c>
      <c r="J88" s="40">
        <f>'Vero Beach Network'!I40</f>
        <v>262345.23000000004</v>
      </c>
      <c r="K88" s="40">
        <f>'Vero Beach Network'!J40</f>
        <v>247771.29</v>
      </c>
      <c r="L88" s="40">
        <f>'Vero Beach Network'!K40</f>
        <v>233195.76</v>
      </c>
      <c r="M88" s="40">
        <f>'Vero Beach Network'!L40</f>
        <v>199188.84</v>
      </c>
      <c r="N88" s="40">
        <f>'Vero Beach Network'!M40</f>
        <v>223479.27000000002</v>
      </c>
      <c r="O88" s="40">
        <f t="shared" ref="O88:O121" si="12">SUM(C88:N88)</f>
        <v>2808070.3800000004</v>
      </c>
      <c r="Q88" s="11"/>
    </row>
    <row r="89" spans="1:17">
      <c r="A89" s="89" t="s">
        <v>143</v>
      </c>
      <c r="B89" s="216">
        <v>456.221</v>
      </c>
      <c r="C89" s="40">
        <f>'Vero Beach Network'!B47</f>
        <v>2270.7521200000001</v>
      </c>
      <c r="D89" s="40">
        <f>'Vero Beach Network'!C47</f>
        <v>1959.33556</v>
      </c>
      <c r="E89" s="40">
        <f>'Vero Beach Network'!D47</f>
        <v>1570.06486</v>
      </c>
      <c r="F89" s="40">
        <f>'Vero Beach Network'!E47</f>
        <v>1634.93694</v>
      </c>
      <c r="G89" s="40">
        <f>'Vero Beach Network'!F47</f>
        <v>1790.6452199999999</v>
      </c>
      <c r="H89" s="40">
        <f>'Vero Beach Network'!G47</f>
        <v>1972.3048799999999</v>
      </c>
      <c r="I89" s="40">
        <f>'Vero Beach Network'!H47</f>
        <v>1959.33556</v>
      </c>
      <c r="J89" s="40">
        <f>'Vero Beach Network'!I47</f>
        <v>2102.06178</v>
      </c>
      <c r="K89" s="40">
        <f>'Vero Beach Network'!J47</f>
        <v>1985.28694</v>
      </c>
      <c r="L89" s="40">
        <f>'Vero Beach Network'!K47</f>
        <v>1868.49936</v>
      </c>
      <c r="M89" s="40">
        <f>'Vero Beach Network'!L47</f>
        <v>1596.0162399999999</v>
      </c>
      <c r="N89" s="40">
        <f>'Vero Beach Network'!M47</f>
        <v>1790.6452199999999</v>
      </c>
      <c r="O89" s="40">
        <f t="shared" si="12"/>
        <v>22499.884679999999</v>
      </c>
      <c r="Q89" s="11"/>
    </row>
    <row r="90" spans="1:17">
      <c r="A90" s="89" t="s">
        <v>126</v>
      </c>
      <c r="B90" s="216">
        <v>456.22199999999998</v>
      </c>
      <c r="C90" s="40">
        <f>'Vero Beach Network'!B54</f>
        <v>17966.3904</v>
      </c>
      <c r="D90" s="40">
        <f>'Vero Beach Network'!C54</f>
        <v>15502.4352</v>
      </c>
      <c r="E90" s="40">
        <f>'Vero Beach Network'!D54</f>
        <v>12422.4912</v>
      </c>
      <c r="F90" s="40">
        <f>'Vero Beach Network'!E54</f>
        <v>12935.764800000001</v>
      </c>
      <c r="G90" s="40">
        <f>'Vero Beach Network'!F54</f>
        <v>14167.742400000001</v>
      </c>
      <c r="H90" s="40">
        <f>'Vero Beach Network'!G54</f>
        <v>15605.0496</v>
      </c>
      <c r="I90" s="40">
        <f>'Vero Beach Network'!H54</f>
        <v>15502.4352</v>
      </c>
      <c r="J90" s="40">
        <f>'Vero Beach Network'!I54</f>
        <v>16631.6976</v>
      </c>
      <c r="K90" s="40">
        <f>'Vero Beach Network'!J54</f>
        <v>15707.764800000001</v>
      </c>
      <c r="L90" s="40">
        <f>'Vero Beach Network'!K54</f>
        <v>14783.7312</v>
      </c>
      <c r="M90" s="40">
        <f>'Vero Beach Network'!L54</f>
        <v>12627.8208</v>
      </c>
      <c r="N90" s="40">
        <f>'Vero Beach Network'!M54</f>
        <v>14167.742400000001</v>
      </c>
      <c r="O90" s="40">
        <f t="shared" si="12"/>
        <v>178021.06559999997</v>
      </c>
      <c r="Q90" s="11"/>
    </row>
    <row r="91" spans="1:17">
      <c r="A91" s="89" t="s">
        <v>80</v>
      </c>
      <c r="B91" s="216">
        <v>456.21100000000001</v>
      </c>
      <c r="C91" s="40">
        <f>'SECI Network'!B43</f>
        <v>918231.07488537906</v>
      </c>
      <c r="D91" s="40">
        <f>'SECI Network'!C43</f>
        <v>748937.78909831855</v>
      </c>
      <c r="E91" s="40">
        <f>'SECI Network'!D43</f>
        <v>644231.06469689275</v>
      </c>
      <c r="F91" s="40">
        <f>'SECI Network'!E43</f>
        <v>606869.70962812053</v>
      </c>
      <c r="G91" s="40">
        <f>'SECI Network'!F43</f>
        <v>682109.19001528306</v>
      </c>
      <c r="H91" s="40">
        <f>'SECI Network'!G43</f>
        <v>742258.65511971398</v>
      </c>
      <c r="I91" s="40">
        <f>'SECI Network'!H43</f>
        <v>736523.96332144679</v>
      </c>
      <c r="J91" s="40">
        <f>'SECI Network'!I43</f>
        <v>742443.33163525234</v>
      </c>
      <c r="K91" s="40">
        <f>'SECI Network'!J43</f>
        <v>691982.90371879784</v>
      </c>
      <c r="L91" s="40">
        <f>'SECI Network'!K43</f>
        <v>640148.74172185443</v>
      </c>
      <c r="M91" s="40">
        <f>'SECI Network'!L43</f>
        <v>550368.4156902706</v>
      </c>
      <c r="N91" s="40">
        <f>'SECI Network'!M43</f>
        <v>750813.71370351571</v>
      </c>
      <c r="O91" s="40">
        <f t="shared" si="12"/>
        <v>8454918.5532348454</v>
      </c>
      <c r="Q91" s="11"/>
    </row>
    <row r="92" spans="1:17">
      <c r="A92" s="89" t="s">
        <v>144</v>
      </c>
      <c r="B92" s="216">
        <v>456.221</v>
      </c>
      <c r="C92" s="40">
        <f>'SECI Network'!B48</f>
        <v>7357.3986754966845</v>
      </c>
      <c r="D92" s="40">
        <f>'SECI Network'!C48</f>
        <v>6000.9229139072813</v>
      </c>
      <c r="E92" s="40">
        <f>'SECI Network'!D48</f>
        <v>5161.9520529801339</v>
      </c>
      <c r="F92" s="40">
        <f>'SECI Network'!E48</f>
        <v>4862.5912582781475</v>
      </c>
      <c r="G92" s="40">
        <f>'SECI Network'!F48</f>
        <v>5465.4535099337772</v>
      </c>
      <c r="H92" s="40">
        <f>'SECI Network'!G48</f>
        <v>5947.4058278145631</v>
      </c>
      <c r="I92" s="40">
        <f>'SECI Network'!H48</f>
        <v>5901.4561589403966</v>
      </c>
      <c r="J92" s="40">
        <f>'SECI Network'!I48</f>
        <v>5948.8855629139089</v>
      </c>
      <c r="K92" s="40">
        <f>'SECI Network'!J48</f>
        <v>5544.5674172185436</v>
      </c>
      <c r="L92" s="40">
        <f>'SECI Network'!K48</f>
        <v>5129.242119205298</v>
      </c>
      <c r="M92" s="40">
        <f>'SECI Network'!L48</f>
        <v>4409.8701986755013</v>
      </c>
      <c r="N92" s="40">
        <f>'SECI Network'!M48</f>
        <v>6015.9539072847729</v>
      </c>
      <c r="O92" s="40">
        <f t="shared" si="12"/>
        <v>67745.699602649009</v>
      </c>
      <c r="Q92" s="11"/>
    </row>
    <row r="93" spans="1:17">
      <c r="A93" s="89" t="s">
        <v>76</v>
      </c>
      <c r="B93" s="216">
        <v>456.22199999999998</v>
      </c>
      <c r="C93" s="40">
        <f>'SECI Network'!B53</f>
        <v>11550.076413652567</v>
      </c>
      <c r="D93" s="40">
        <f>'SECI Network'!C53</f>
        <v>9420.6011207335669</v>
      </c>
      <c r="E93" s="40">
        <f>'SECI Network'!D53</f>
        <v>8103.5354049923608</v>
      </c>
      <c r="F93" s="40">
        <f>'SECI Network'!E53</f>
        <v>7633.5812531839056</v>
      </c>
      <c r="G93" s="40">
        <f>'SECI Network'!F53</f>
        <v>8579.9898115129945</v>
      </c>
      <c r="H93" s="40">
        <f>'SECI Network'!G53</f>
        <v>9336.5868568517471</v>
      </c>
      <c r="I93" s="40">
        <f>'SECI Network'!H53</f>
        <v>9264.4523688232293</v>
      </c>
      <c r="J93" s="40">
        <f>'SECI Network'!I53</f>
        <v>9338.9098318899669</v>
      </c>
      <c r="K93" s="40">
        <f>'SECI Network'!J53</f>
        <v>8704.1874681609788</v>
      </c>
      <c r="L93" s="40">
        <f>'SECI Network'!K53</f>
        <v>8052.1854304635772</v>
      </c>
      <c r="M93" s="40">
        <f>'SECI Network'!L53</f>
        <v>6922.8731533367372</v>
      </c>
      <c r="N93" s="40">
        <f>'SECI Network'!M53</f>
        <v>9444.1976566479971</v>
      </c>
      <c r="O93" s="40">
        <f t="shared" si="12"/>
        <v>106351.17677024963</v>
      </c>
      <c r="Q93" s="11"/>
    </row>
    <row r="94" spans="1:17">
      <c r="A94" s="89" t="s">
        <v>57</v>
      </c>
      <c r="B94" s="216">
        <v>456.22399999999999</v>
      </c>
      <c r="C94" s="40">
        <f>SECI_Regulation_Imbalance!B36</f>
        <v>37562.581008660192</v>
      </c>
      <c r="D94" s="40">
        <f>SECI_Regulation_Imbalance!C36</f>
        <v>30637.207934793663</v>
      </c>
      <c r="E94" s="40">
        <f>SECI_Regulation_Imbalance!D36</f>
        <v>26353.912667345907</v>
      </c>
      <c r="F94" s="40">
        <f>SECI_Regulation_Imbalance!E36</f>
        <v>24825.551272542038</v>
      </c>
      <c r="G94" s="40">
        <f>SECI_Regulation_Imbalance!F36</f>
        <v>27903.413865511982</v>
      </c>
      <c r="H94" s="40">
        <f>SECI_Regulation_Imbalance!G36</f>
        <v>30363.980946510408</v>
      </c>
      <c r="I94" s="40">
        <f>SECI_Regulation_Imbalance!H36</f>
        <v>30129.388771268463</v>
      </c>
      <c r="J94" s="40">
        <f>SECI_Regulation_Imbalance!I36</f>
        <v>30371.535609780953</v>
      </c>
      <c r="K94" s="40">
        <f>SECI_Regulation_Imbalance!J36</f>
        <v>28307.323274579725</v>
      </c>
      <c r="L94" s="40">
        <f>SECI_Regulation_Imbalance!K36</f>
        <v>26186.914847682117</v>
      </c>
      <c r="M94" s="40">
        <f>SECI_Regulation_Imbalance!L36</f>
        <v>22514.221925624068</v>
      </c>
      <c r="N94" s="40">
        <f>SECI_Regulation_Imbalance!M36</f>
        <v>30713.94740906778</v>
      </c>
      <c r="O94" s="40">
        <f t="shared" si="12"/>
        <v>345869.97953336727</v>
      </c>
      <c r="Q94" s="11"/>
    </row>
    <row r="95" spans="1:17">
      <c r="A95" s="89" t="s">
        <v>275</v>
      </c>
      <c r="B95" s="216">
        <v>456.24900000000002</v>
      </c>
      <c r="C95" s="44">
        <f>'Radial Facilities'!B35</f>
        <v>39444.43</v>
      </c>
      <c r="D95" s="44">
        <f>'Radial Facilities'!C35</f>
        <v>36916.36</v>
      </c>
      <c r="E95" s="44">
        <f>'Radial Facilities'!D35</f>
        <v>36916.36</v>
      </c>
      <c r="F95" s="44">
        <f>'Radial Facilities'!E35</f>
        <v>36916.36</v>
      </c>
      <c r="G95" s="44">
        <f>'Radial Facilities'!F35</f>
        <v>36916.36</v>
      </c>
      <c r="H95" s="44">
        <f>'Radial Facilities'!G35</f>
        <v>36916.36</v>
      </c>
      <c r="I95" s="44">
        <f>'Radial Facilities'!H35</f>
        <v>36916.36</v>
      </c>
      <c r="J95" s="44">
        <f>'Radial Facilities'!I35</f>
        <v>36916.36</v>
      </c>
      <c r="K95" s="44">
        <f>'Radial Facilities'!J35</f>
        <v>36916.36</v>
      </c>
      <c r="L95" s="44">
        <f>'Radial Facilities'!K35</f>
        <v>36916.36</v>
      </c>
      <c r="M95" s="44">
        <f>'Radial Facilities'!L35</f>
        <v>36916.36</v>
      </c>
      <c r="N95" s="44">
        <f>'Radial Facilities'!M35</f>
        <v>36916.36</v>
      </c>
      <c r="O95" s="41">
        <f>SUM(C95:N95)</f>
        <v>445524.3899999999</v>
      </c>
      <c r="Q95" s="11"/>
    </row>
    <row r="96" spans="1:17">
      <c r="A96" s="89" t="s">
        <v>129</v>
      </c>
      <c r="B96" s="216">
        <v>456.21100000000001</v>
      </c>
      <c r="C96" s="44">
        <f>'LCEC Network'!B35</f>
        <v>885630</v>
      </c>
      <c r="D96" s="44">
        <f>'LCEC Network'!C35</f>
        <v>931740</v>
      </c>
      <c r="E96" s="44">
        <f>'LCEC Network'!D35</f>
        <v>1442130</v>
      </c>
      <c r="F96" s="44">
        <f>'LCEC Network'!E35</f>
        <v>1093920</v>
      </c>
      <c r="G96" s="44">
        <f>'LCEC Network'!F35</f>
        <v>1251330</v>
      </c>
      <c r="H96" s="44">
        <f>'LCEC Network'!G35</f>
        <v>1209990</v>
      </c>
      <c r="I96" s="44">
        <f>'LCEC Network'!H35</f>
        <v>1329240</v>
      </c>
      <c r="J96" s="44">
        <f>'LCEC Network'!I35</f>
        <v>1186140</v>
      </c>
      <c r="K96" s="44">
        <f>'LCEC Network'!J35</f>
        <v>1221777.0228850534</v>
      </c>
      <c r="L96" s="44">
        <f>'LCEC Network'!K35</f>
        <v>1048618.5072707101</v>
      </c>
      <c r="M96" s="44">
        <f>'LCEC Network'!L35</f>
        <v>1083234.7760731583</v>
      </c>
      <c r="N96" s="44">
        <f>'LCEC Network'!M35</f>
        <v>966497.03695025016</v>
      </c>
      <c r="O96" s="41">
        <f t="shared" si="12"/>
        <v>13650247.343179174</v>
      </c>
      <c r="Q96" s="11"/>
    </row>
    <row r="97" spans="1:17">
      <c r="A97" s="89" t="s">
        <v>145</v>
      </c>
      <c r="B97" s="216">
        <v>456.221</v>
      </c>
      <c r="C97" s="44">
        <f>'LCEC Network'!B42</f>
        <v>7096.1799999999994</v>
      </c>
      <c r="D97" s="44">
        <f>'LCEC Network'!C42</f>
        <v>7465.6399999999994</v>
      </c>
      <c r="E97" s="44">
        <f>'LCEC Network'!D42</f>
        <v>11555.18</v>
      </c>
      <c r="F97" s="44">
        <f>'LCEC Network'!E42</f>
        <v>8765.119999999999</v>
      </c>
      <c r="G97" s="44">
        <f>'LCEC Network'!F42</f>
        <v>10026.379999999999</v>
      </c>
      <c r="H97" s="44">
        <f>'LCEC Network'!G42</f>
        <v>9695.14</v>
      </c>
      <c r="I97" s="44">
        <f>'LCEC Network'!H42</f>
        <v>10650.64</v>
      </c>
      <c r="J97" s="44">
        <f>'LCEC Network'!I42</f>
        <v>9504.0399999999991</v>
      </c>
      <c r="K97" s="44">
        <f>'LCEC Network'!J42</f>
        <v>9789.5844475192334</v>
      </c>
      <c r="L97" s="44">
        <f>'LCEC Network'!K42</f>
        <v>8402.1382280684556</v>
      </c>
      <c r="M97" s="44">
        <f>'LCEC Network'!L42</f>
        <v>8679.5038032528519</v>
      </c>
      <c r="N97" s="44">
        <f>'LCEC Network'!M42</f>
        <v>7744.1334910353371</v>
      </c>
      <c r="O97" s="41">
        <f t="shared" si="12"/>
        <v>109373.67996987586</v>
      </c>
      <c r="Q97" s="11"/>
    </row>
    <row r="98" spans="1:17">
      <c r="A98" s="89" t="s">
        <v>184</v>
      </c>
      <c r="B98" s="216">
        <v>456.21100000000001</v>
      </c>
      <c r="C98" s="44">
        <f>'FKEC Network'!B35</f>
        <v>166950</v>
      </c>
      <c r="D98" s="44">
        <f>'FKEC Network'!C35</f>
        <v>179670</v>
      </c>
      <c r="E98" s="44">
        <f>'FKEC Network'!D35</f>
        <v>184440</v>
      </c>
      <c r="F98" s="44">
        <f>'FKEC Network'!E35</f>
        <v>190800</v>
      </c>
      <c r="G98" s="44">
        <f>'FKEC Network'!F35</f>
        <v>240090</v>
      </c>
      <c r="H98" s="44">
        <f>'FKEC Network'!G35</f>
        <v>219420</v>
      </c>
      <c r="I98" s="44">
        <f>'FKEC Network'!H35</f>
        <v>232140</v>
      </c>
      <c r="J98" s="44">
        <f>'FKEC Network'!I35</f>
        <v>242958.34545341533</v>
      </c>
      <c r="K98" s="44">
        <f>'FKEC Network'!J35</f>
        <v>237051.87279440806</v>
      </c>
      <c r="L98" s="44">
        <f>'FKEC Network'!K35</f>
        <v>218662.04179935984</v>
      </c>
      <c r="M98" s="44">
        <f>'FKEC Network'!L35</f>
        <v>209045.71464560324</v>
      </c>
      <c r="N98" s="44">
        <f>'FKEC Network'!M35</f>
        <v>185414.8227009534</v>
      </c>
      <c r="O98" s="41">
        <f t="shared" si="12"/>
        <v>2506642.7973937402</v>
      </c>
      <c r="Q98" s="11"/>
    </row>
    <row r="99" spans="1:17">
      <c r="A99" s="89" t="s">
        <v>185</v>
      </c>
      <c r="B99" s="216">
        <v>456.221</v>
      </c>
      <c r="C99" s="44">
        <f>'FKEC Network'!B42</f>
        <v>1337.7</v>
      </c>
      <c r="D99" s="44">
        <f>'FKEC Network'!C42</f>
        <v>1439.62</v>
      </c>
      <c r="E99" s="44">
        <f>'FKEC Network'!D42</f>
        <v>1477.84</v>
      </c>
      <c r="F99" s="44">
        <f>'FKEC Network'!E42</f>
        <v>1528.8</v>
      </c>
      <c r="G99" s="44">
        <f>'FKEC Network'!F42</f>
        <v>1923.74</v>
      </c>
      <c r="H99" s="44">
        <f>'FKEC Network'!G42</f>
        <v>1758.12</v>
      </c>
      <c r="I99" s="44">
        <f>'FKEC Network'!H42</f>
        <v>1860.04</v>
      </c>
      <c r="J99" s="44">
        <f>'FKEC Network'!I42</f>
        <v>1946.7228434443466</v>
      </c>
      <c r="K99" s="44">
        <f>'FKEC Network'!J42</f>
        <v>1899.3967669187159</v>
      </c>
      <c r="L99" s="44">
        <f>'FKEC Network'!K42</f>
        <v>1752.0468003294618</v>
      </c>
      <c r="M99" s="44">
        <f>'FKEC Network'!L42</f>
        <v>1674.9952230094245</v>
      </c>
      <c r="N99" s="44">
        <f>'FKEC Network'!M42</f>
        <v>1485.6508435283938</v>
      </c>
      <c r="O99" s="41">
        <f t="shared" si="12"/>
        <v>20084.672477230342</v>
      </c>
      <c r="Q99" s="11"/>
    </row>
    <row r="100" spans="1:17">
      <c r="A100" s="89" t="s">
        <v>202</v>
      </c>
      <c r="B100" s="216">
        <v>456.21100000000001</v>
      </c>
      <c r="C100" s="44">
        <f>'Wauchula Network'!B35</f>
        <v>14310</v>
      </c>
      <c r="D100" s="44">
        <f>'Wauchula Network'!C35</f>
        <v>12720</v>
      </c>
      <c r="E100" s="44">
        <f>'Wauchula Network'!D35</f>
        <v>20670</v>
      </c>
      <c r="F100" s="44">
        <f>'Wauchula Network'!E35</f>
        <v>15900</v>
      </c>
      <c r="G100" s="44">
        <f>'Wauchula Network'!F35</f>
        <v>17490</v>
      </c>
      <c r="H100" s="44">
        <f>'Wauchula Network'!G35</f>
        <v>19080</v>
      </c>
      <c r="I100" s="44">
        <f>'Wauchula Network'!H35</f>
        <v>20670</v>
      </c>
      <c r="J100" s="44">
        <f>'Wauchula Network'!I35</f>
        <v>19080</v>
      </c>
      <c r="K100" s="44">
        <f>'Wauchula Network'!J35</f>
        <v>20670</v>
      </c>
      <c r="L100" s="44">
        <f>'Wauchula Network'!K35</f>
        <v>20670</v>
      </c>
      <c r="M100" s="44">
        <f>'Wauchula Network'!L35</f>
        <v>20670</v>
      </c>
      <c r="N100" s="44">
        <f>'Wauchula Network'!M35</f>
        <v>20670</v>
      </c>
      <c r="O100" s="41">
        <f t="shared" si="12"/>
        <v>222600</v>
      </c>
    </row>
    <row r="101" spans="1:17">
      <c r="A101" s="89" t="s">
        <v>203</v>
      </c>
      <c r="B101" s="216">
        <v>456.221</v>
      </c>
      <c r="C101" s="44">
        <f>'Wauchula Network'!B42</f>
        <v>114.66</v>
      </c>
      <c r="D101" s="44">
        <f>'Wauchula Network'!C42</f>
        <v>101.92</v>
      </c>
      <c r="E101" s="44">
        <f>'Wauchula Network'!D42</f>
        <v>165.62</v>
      </c>
      <c r="F101" s="44">
        <f>'Wauchula Network'!E42</f>
        <v>127.39999999999999</v>
      </c>
      <c r="G101" s="44">
        <f>'Wauchula Network'!F42</f>
        <v>140.13999999999999</v>
      </c>
      <c r="H101" s="44">
        <f>'Wauchula Network'!G42</f>
        <v>152.88</v>
      </c>
      <c r="I101" s="44">
        <f>'Wauchula Network'!H42</f>
        <v>165.62</v>
      </c>
      <c r="J101" s="44">
        <f>'Wauchula Network'!I42</f>
        <v>152.88</v>
      </c>
      <c r="K101" s="44">
        <f>'Wauchula Network'!J42</f>
        <v>165.62</v>
      </c>
      <c r="L101" s="44">
        <f>'Wauchula Network'!K42</f>
        <v>165.62</v>
      </c>
      <c r="M101" s="44">
        <f>'Wauchula Network'!L42</f>
        <v>165.62</v>
      </c>
      <c r="N101" s="44">
        <f>'Wauchula Network'!M42</f>
        <v>165.62</v>
      </c>
      <c r="O101" s="41">
        <f t="shared" si="12"/>
        <v>1783.5999999999995</v>
      </c>
    </row>
    <row r="102" spans="1:17">
      <c r="A102" s="89" t="s">
        <v>272</v>
      </c>
      <c r="B102" s="216">
        <v>456.21100000000001</v>
      </c>
      <c r="C102" s="44">
        <f>'Blountstown Network'!B35</f>
        <v>6360</v>
      </c>
      <c r="D102" s="44">
        <f>'Blountstown Network'!C35</f>
        <v>4770</v>
      </c>
      <c r="E102" s="44">
        <f>'Blountstown Network'!D35</f>
        <v>12720</v>
      </c>
      <c r="F102" s="44">
        <f>'Blountstown Network'!E35</f>
        <v>6360</v>
      </c>
      <c r="G102" s="44">
        <f>'Blountstown Network'!F35</f>
        <v>7950</v>
      </c>
      <c r="H102" s="44">
        <f>'Blountstown Network'!G35</f>
        <v>11130</v>
      </c>
      <c r="I102" s="44">
        <f>'Blountstown Network'!H35</f>
        <v>12720</v>
      </c>
      <c r="J102" s="44">
        <f>'Blountstown Network'!I35</f>
        <v>11130</v>
      </c>
      <c r="K102" s="44">
        <f>'Blountstown Network'!J35</f>
        <v>14310</v>
      </c>
      <c r="L102" s="44">
        <f>'Blountstown Network'!K35</f>
        <v>14310</v>
      </c>
      <c r="M102" s="44">
        <f>'Blountstown Network'!L35</f>
        <v>14310</v>
      </c>
      <c r="N102" s="44">
        <f>'Blountstown Network'!M35</f>
        <v>14310</v>
      </c>
      <c r="O102" s="41">
        <f t="shared" ref="O102:O108" si="13">SUM(C102:N102)</f>
        <v>130380</v>
      </c>
    </row>
    <row r="103" spans="1:17">
      <c r="A103" s="89" t="s">
        <v>273</v>
      </c>
      <c r="B103" s="216">
        <v>456.221</v>
      </c>
      <c r="C103" s="44">
        <f>'Blountstown Network'!B42</f>
        <v>50.96</v>
      </c>
      <c r="D103" s="44">
        <f>'Blountstown Network'!C42</f>
        <v>38.22</v>
      </c>
      <c r="E103" s="44">
        <f>'Blountstown Network'!D42</f>
        <v>101.92</v>
      </c>
      <c r="F103" s="44">
        <f>'Blountstown Network'!E42</f>
        <v>50.96</v>
      </c>
      <c r="G103" s="44">
        <f>'Blountstown Network'!F42</f>
        <v>63.699999999999996</v>
      </c>
      <c r="H103" s="44">
        <f>'Blountstown Network'!G42</f>
        <v>89.179999999999993</v>
      </c>
      <c r="I103" s="44">
        <f>'Blountstown Network'!H42</f>
        <v>101.92</v>
      </c>
      <c r="J103" s="44">
        <f>'Blountstown Network'!I42</f>
        <v>89.179999999999993</v>
      </c>
      <c r="K103" s="44">
        <f>'Blountstown Network'!J42</f>
        <v>114.66</v>
      </c>
      <c r="L103" s="44">
        <f>'Blountstown Network'!K42</f>
        <v>114.66</v>
      </c>
      <c r="M103" s="44">
        <f>'Blountstown Network'!L42</f>
        <v>114.66</v>
      </c>
      <c r="N103" s="44">
        <f>'Blountstown Network'!M42</f>
        <v>114.66</v>
      </c>
      <c r="O103" s="41">
        <f t="shared" si="13"/>
        <v>1044.68</v>
      </c>
    </row>
    <row r="104" spans="1:17">
      <c r="A104" s="89" t="s">
        <v>300</v>
      </c>
      <c r="B104" s="216">
        <v>456.21100000000001</v>
      </c>
      <c r="C104" s="44">
        <f>'Winter Park Network'!B28</f>
        <v>36570</v>
      </c>
      <c r="D104" s="44">
        <f>'Winter Park Network'!C28</f>
        <v>41340</v>
      </c>
      <c r="E104" s="44">
        <f>'Winter Park Network'!D28</f>
        <v>71550</v>
      </c>
      <c r="F104" s="44">
        <f>'Winter Park Network'!E28</f>
        <v>57240</v>
      </c>
      <c r="G104" s="44">
        <f>'Winter Park Network'!F28</f>
        <v>71550</v>
      </c>
      <c r="H104" s="44">
        <f>'Winter Park Network'!G28</f>
        <v>85860</v>
      </c>
      <c r="I104" s="44">
        <f>'Winter Park Network'!H28</f>
        <v>95400</v>
      </c>
      <c r="J104" s="44">
        <f>'Winter Park Network'!I28</f>
        <v>87450</v>
      </c>
      <c r="K104" s="44">
        <f>'Winter Park Network'!J28</f>
        <v>95400</v>
      </c>
      <c r="L104" s="44">
        <f>'Winter Park Network'!K28</f>
        <v>95400</v>
      </c>
      <c r="M104" s="44">
        <f>'Winter Park Network'!L28</f>
        <v>95400</v>
      </c>
      <c r="N104" s="44">
        <f>'Winter Park Network'!M28</f>
        <v>95400</v>
      </c>
      <c r="O104" s="41">
        <f t="shared" si="13"/>
        <v>928560</v>
      </c>
    </row>
    <row r="105" spans="1:17">
      <c r="A105" s="89" t="s">
        <v>431</v>
      </c>
      <c r="B105" s="216">
        <v>456.221</v>
      </c>
      <c r="C105" s="44">
        <f>'Winter Park Network'!B35</f>
        <v>293.02</v>
      </c>
      <c r="D105" s="44">
        <f>'Winter Park Network'!C35</f>
        <v>331.24</v>
      </c>
      <c r="E105" s="44">
        <f>'Winter Park Network'!D35</f>
        <v>573.29999999999995</v>
      </c>
      <c r="F105" s="44">
        <f>'Winter Park Network'!E35</f>
        <v>458.64</v>
      </c>
      <c r="G105" s="44">
        <f>'Winter Park Network'!F35</f>
        <v>573.29999999999995</v>
      </c>
      <c r="H105" s="44">
        <f>'Winter Park Network'!G35</f>
        <v>687.95999999999992</v>
      </c>
      <c r="I105" s="44">
        <f>'Winter Park Network'!H35</f>
        <v>764.4</v>
      </c>
      <c r="J105" s="44">
        <f>'Winter Park Network'!I35</f>
        <v>700.69999999999993</v>
      </c>
      <c r="K105" s="44">
        <f>'Winter Park Network'!J35</f>
        <v>764.4</v>
      </c>
      <c r="L105" s="44">
        <f>'Winter Park Network'!K35</f>
        <v>764.4</v>
      </c>
      <c r="M105" s="44">
        <f>'Winter Park Network'!L35</f>
        <v>764.4</v>
      </c>
      <c r="N105" s="44">
        <f>'Winter Park Network'!M35</f>
        <v>764.4</v>
      </c>
      <c r="O105" s="41">
        <f t="shared" si="13"/>
        <v>7440.1599999999989</v>
      </c>
    </row>
    <row r="106" spans="1:17">
      <c r="A106" s="89" t="s">
        <v>321</v>
      </c>
      <c r="B106" s="216">
        <v>456.21100000000001</v>
      </c>
      <c r="C106" s="44">
        <f>'New Smyrna Network'!B36</f>
        <v>31800</v>
      </c>
      <c r="D106" s="44">
        <f>'New Smyrna Network'!C36</f>
        <v>55650</v>
      </c>
      <c r="E106" s="44">
        <f>'New Smyrna Network'!D36</f>
        <v>63600</v>
      </c>
      <c r="F106" s="44">
        <f>'New Smyrna Network'!E36</f>
        <v>31800</v>
      </c>
      <c r="G106" s="44">
        <f>'New Smyrna Network'!F36</f>
        <v>31800</v>
      </c>
      <c r="H106" s="44">
        <f>'New Smyrna Network'!G36</f>
        <v>39750</v>
      </c>
      <c r="I106" s="44">
        <f>'New Smyrna Network'!H36</f>
        <v>63600</v>
      </c>
      <c r="J106" s="44">
        <f>'New Smyrna Network'!I36</f>
        <v>71550</v>
      </c>
      <c r="K106" s="44">
        <f>'New Smyrna Network'!J36</f>
        <v>71550</v>
      </c>
      <c r="L106" s="44">
        <f>'New Smyrna Network'!K36</f>
        <v>47700</v>
      </c>
      <c r="M106" s="44">
        <f>'New Smyrna Network'!L36</f>
        <v>31800</v>
      </c>
      <c r="N106" s="44">
        <f>'New Smyrna Network'!M36</f>
        <v>23850</v>
      </c>
      <c r="O106" s="41">
        <f t="shared" si="13"/>
        <v>564450</v>
      </c>
    </row>
    <row r="107" spans="1:17">
      <c r="A107" s="89" t="s">
        <v>322</v>
      </c>
      <c r="B107" s="216">
        <v>456.221</v>
      </c>
      <c r="C107" s="44">
        <f>'New Smyrna Network'!B43</f>
        <v>254.79999999999998</v>
      </c>
      <c r="D107" s="44">
        <f>'New Smyrna Network'!C43</f>
        <v>445.9</v>
      </c>
      <c r="E107" s="44">
        <f>'New Smyrna Network'!D43</f>
        <v>509.59999999999997</v>
      </c>
      <c r="F107" s="44">
        <f>'New Smyrna Network'!E43</f>
        <v>254.79999999999998</v>
      </c>
      <c r="G107" s="44">
        <f>'New Smyrna Network'!F43</f>
        <v>254.79999999999998</v>
      </c>
      <c r="H107" s="44">
        <f>'New Smyrna Network'!G43</f>
        <v>318.5</v>
      </c>
      <c r="I107" s="44">
        <f>'New Smyrna Network'!H43</f>
        <v>509.59999999999997</v>
      </c>
      <c r="J107" s="44">
        <f>'New Smyrna Network'!I43</f>
        <v>573.29999999999995</v>
      </c>
      <c r="K107" s="44">
        <f>'New Smyrna Network'!J43</f>
        <v>573.29999999999995</v>
      </c>
      <c r="L107" s="44">
        <f>'New Smyrna Network'!K43</f>
        <v>382.2</v>
      </c>
      <c r="M107" s="44">
        <f>'New Smyrna Network'!L43</f>
        <v>254.79999999999998</v>
      </c>
      <c r="N107" s="44">
        <f>'New Smyrna Network'!M43</f>
        <v>191.1</v>
      </c>
      <c r="O107" s="41">
        <f t="shared" si="13"/>
        <v>4522.7000000000007</v>
      </c>
    </row>
    <row r="108" spans="1:17">
      <c r="A108" s="89" t="s">
        <v>423</v>
      </c>
      <c r="B108" s="216">
        <v>456.22199999999998</v>
      </c>
      <c r="C108" s="44">
        <f>'New Smyrna Network'!B50</f>
        <v>2016</v>
      </c>
      <c r="D108" s="44">
        <f>'New Smyrna Network'!C50</f>
        <v>3528</v>
      </c>
      <c r="E108" s="44">
        <f>'New Smyrna Network'!D50</f>
        <v>4032</v>
      </c>
      <c r="F108" s="44">
        <f>'New Smyrna Network'!E50</f>
        <v>2016</v>
      </c>
      <c r="G108" s="44">
        <f>'New Smyrna Network'!F50</f>
        <v>2016</v>
      </c>
      <c r="H108" s="44">
        <f>'New Smyrna Network'!G50</f>
        <v>2520</v>
      </c>
      <c r="I108" s="44">
        <f>'New Smyrna Network'!H50</f>
        <v>4032</v>
      </c>
      <c r="J108" s="44">
        <f>'New Smyrna Network'!I50</f>
        <v>4536</v>
      </c>
      <c r="K108" s="44">
        <f>'New Smyrna Network'!J50</f>
        <v>4536</v>
      </c>
      <c r="L108" s="44">
        <f>'New Smyrna Network'!K50</f>
        <v>3024</v>
      </c>
      <c r="M108" s="44">
        <f>'New Smyrna Network'!L50</f>
        <v>2016</v>
      </c>
      <c r="N108" s="44">
        <f>'New Smyrna Network'!M50</f>
        <v>1512</v>
      </c>
      <c r="O108" s="41">
        <f t="shared" si="13"/>
        <v>35784</v>
      </c>
    </row>
    <row r="109" spans="1:17">
      <c r="A109" s="89" t="s">
        <v>13</v>
      </c>
      <c r="B109" s="216">
        <v>456.21300000000002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>SUM(C109:N109)</f>
        <v>0</v>
      </c>
      <c r="Q109" s="11"/>
    </row>
    <row r="110" spans="1:17">
      <c r="A110" s="454" t="s">
        <v>375</v>
      </c>
      <c r="B110" s="216">
        <v>456.21100000000001</v>
      </c>
      <c r="C110" s="44">
        <f>'Georgia Trans Network'!B35</f>
        <v>29149.47</v>
      </c>
      <c r="D110" s="44">
        <f>'Georgia Trans Network'!C35</f>
        <v>29149.47</v>
      </c>
      <c r="E110" s="44">
        <f>'Georgia Trans Network'!D35</f>
        <v>29149.47</v>
      </c>
      <c r="F110" s="44">
        <f>'Georgia Trans Network'!E35</f>
        <v>29149.47</v>
      </c>
      <c r="G110" s="44">
        <f>'Georgia Trans Network'!F35</f>
        <v>29149.47</v>
      </c>
      <c r="H110" s="44">
        <f>'Georgia Trans Network'!G35</f>
        <v>24292.02</v>
      </c>
      <c r="I110" s="44">
        <f>'Georgia Trans Network'!H35</f>
        <v>24292.02</v>
      </c>
      <c r="J110" s="44">
        <f>'Georgia Trans Network'!I35</f>
        <v>24292.02</v>
      </c>
      <c r="K110" s="44">
        <f>'Georgia Trans Network'!J35</f>
        <v>24292.02</v>
      </c>
      <c r="L110" s="44">
        <f>'Georgia Trans Network'!K35</f>
        <v>29149.47</v>
      </c>
      <c r="M110" s="44">
        <f>'Georgia Trans Network'!L35</f>
        <v>29149.47</v>
      </c>
      <c r="N110" s="44">
        <f>'Georgia Trans Network'!M35</f>
        <v>29149.47</v>
      </c>
      <c r="O110" s="41">
        <f t="shared" ref="O110:O112" si="14">SUM(C110:N110)</f>
        <v>330363.83999999997</v>
      </c>
    </row>
    <row r="111" spans="1:17">
      <c r="A111" s="454" t="s">
        <v>376</v>
      </c>
      <c r="B111" s="216">
        <v>456.221</v>
      </c>
      <c r="C111" s="44">
        <f>'Georgia Trans Network'!B42</f>
        <v>233.56242</v>
      </c>
      <c r="D111" s="44">
        <f>'Georgia Trans Network'!C42</f>
        <v>233.56242</v>
      </c>
      <c r="E111" s="44">
        <f>'Georgia Trans Network'!D42</f>
        <v>233.56242</v>
      </c>
      <c r="F111" s="44">
        <f>'Georgia Trans Network'!E42</f>
        <v>233.56242</v>
      </c>
      <c r="G111" s="44">
        <f>'Georgia Trans Network'!F42</f>
        <v>233.56242</v>
      </c>
      <c r="H111" s="44">
        <f>'Georgia Trans Network'!G42</f>
        <v>194.64171999999999</v>
      </c>
      <c r="I111" s="44">
        <f>'Georgia Trans Network'!H42</f>
        <v>194.64171999999999</v>
      </c>
      <c r="J111" s="44">
        <f>'Georgia Trans Network'!I42</f>
        <v>194.64171999999999</v>
      </c>
      <c r="K111" s="44">
        <f>'Georgia Trans Network'!J42</f>
        <v>194.64171999999999</v>
      </c>
      <c r="L111" s="44">
        <f>'Georgia Trans Network'!K42</f>
        <v>233.56242</v>
      </c>
      <c r="M111" s="44">
        <f>'Georgia Trans Network'!L42</f>
        <v>233.56242</v>
      </c>
      <c r="N111" s="44">
        <f>'Georgia Trans Network'!M42</f>
        <v>233.56242</v>
      </c>
      <c r="O111" s="41">
        <f t="shared" si="14"/>
        <v>2647.066240000001</v>
      </c>
    </row>
    <row r="112" spans="1:17">
      <c r="A112" s="454" t="s">
        <v>420</v>
      </c>
      <c r="B112" s="216">
        <v>456.22199999999998</v>
      </c>
      <c r="C112" s="44">
        <f>'Georgia Trans Network'!B49</f>
        <v>1847.9664</v>
      </c>
      <c r="D112" s="44">
        <f>'Georgia Trans Network'!C49</f>
        <v>1847.9664</v>
      </c>
      <c r="E112" s="44">
        <f>'Georgia Trans Network'!D49</f>
        <v>1847.9664</v>
      </c>
      <c r="F112" s="44">
        <f>'Georgia Trans Network'!E49</f>
        <v>1847.9664</v>
      </c>
      <c r="G112" s="44">
        <f>'Georgia Trans Network'!F49</f>
        <v>1847.9664</v>
      </c>
      <c r="H112" s="44">
        <f>'Georgia Trans Network'!G49</f>
        <v>1540.0224000000001</v>
      </c>
      <c r="I112" s="44">
        <f>'Georgia Trans Network'!H49</f>
        <v>1540.0224000000001</v>
      </c>
      <c r="J112" s="44">
        <f>'Georgia Trans Network'!I49</f>
        <v>1540.0224000000001</v>
      </c>
      <c r="K112" s="44">
        <f>'Georgia Trans Network'!J49</f>
        <v>1540.0224000000001</v>
      </c>
      <c r="L112" s="44">
        <f>'Georgia Trans Network'!K49</f>
        <v>1847.9664</v>
      </c>
      <c r="M112" s="44">
        <f>'Georgia Trans Network'!L49</f>
        <v>1847.9664</v>
      </c>
      <c r="N112" s="44">
        <f>'Georgia Trans Network'!M49</f>
        <v>1847.9664</v>
      </c>
      <c r="O112" s="41">
        <f t="shared" si="14"/>
        <v>20943.820800000001</v>
      </c>
    </row>
    <row r="113" spans="1:17">
      <c r="A113" s="89" t="s">
        <v>325</v>
      </c>
      <c r="B113" s="216">
        <v>456.21100000000001</v>
      </c>
      <c r="C113" s="43">
        <f>'Lake Worth Network Transmission'!B34</f>
        <v>116597.88</v>
      </c>
      <c r="D113" s="43">
        <f>'Lake Worth Network Transmission'!C34</f>
        <v>116597.88</v>
      </c>
      <c r="E113" s="43">
        <f>'Lake Worth Network Transmission'!D34</f>
        <v>116597.88</v>
      </c>
      <c r="F113" s="43">
        <f>'Lake Worth Network Transmission'!E34</f>
        <v>116597.88</v>
      </c>
      <c r="G113" s="43">
        <f>'Lake Worth Network Transmission'!F34</f>
        <v>137651.07</v>
      </c>
      <c r="H113" s="43">
        <f>'Lake Worth Network Transmission'!G34</f>
        <v>137651.07</v>
      </c>
      <c r="I113" s="43">
        <f>'Lake Worth Network Transmission'!H34</f>
        <v>137651.07</v>
      </c>
      <c r="J113" s="43">
        <f>'Lake Worth Network Transmission'!I34</f>
        <v>137651.07</v>
      </c>
      <c r="K113" s="43">
        <f>'Lake Worth Network Transmission'!J34</f>
        <v>137651.07</v>
      </c>
      <c r="L113" s="43">
        <f>'Lake Worth Network Transmission'!K34</f>
        <v>116597.88</v>
      </c>
      <c r="M113" s="43">
        <f>'Lake Worth Network Transmission'!L34</f>
        <v>116597.88</v>
      </c>
      <c r="N113" s="43">
        <f>'Lake Worth Network Transmission'!M34</f>
        <v>116597.88</v>
      </c>
      <c r="O113" s="43">
        <f t="shared" si="12"/>
        <v>1504440.5100000002</v>
      </c>
      <c r="Q113" s="11"/>
    </row>
    <row r="114" spans="1:17">
      <c r="A114" s="89" t="s">
        <v>326</v>
      </c>
      <c r="B114" s="216">
        <v>456.221</v>
      </c>
      <c r="C114" s="43">
        <f>'Lake Worth Network Transmission'!B41</f>
        <v>934.24968000000001</v>
      </c>
      <c r="D114" s="43">
        <f>'Lake Worth Network Transmission'!C41</f>
        <v>934.24968000000001</v>
      </c>
      <c r="E114" s="43">
        <f>'Lake Worth Network Transmission'!D41</f>
        <v>934.24968000000001</v>
      </c>
      <c r="F114" s="43">
        <f>'Lake Worth Network Transmission'!E41</f>
        <v>934.24968000000001</v>
      </c>
      <c r="G114" s="43">
        <f>'Lake Worth Network Transmission'!F41</f>
        <v>1102.94002</v>
      </c>
      <c r="H114" s="43">
        <f>'Lake Worth Network Transmission'!G41</f>
        <v>1102.94002</v>
      </c>
      <c r="I114" s="43">
        <f>'Lake Worth Network Transmission'!H41</f>
        <v>1102.94002</v>
      </c>
      <c r="J114" s="43">
        <f>'Lake Worth Network Transmission'!I41</f>
        <v>1102.94002</v>
      </c>
      <c r="K114" s="43">
        <f>'Lake Worth Network Transmission'!J41</f>
        <v>1102.94002</v>
      </c>
      <c r="L114" s="43">
        <f>'Lake Worth Network Transmission'!K41</f>
        <v>934.24968000000001</v>
      </c>
      <c r="M114" s="43">
        <f>'Lake Worth Network Transmission'!L41</f>
        <v>934.24968000000001</v>
      </c>
      <c r="N114" s="43">
        <f>'Lake Worth Network Transmission'!M41</f>
        <v>934.24968000000001</v>
      </c>
      <c r="O114" s="43">
        <f t="shared" si="12"/>
        <v>12054.447860000002</v>
      </c>
      <c r="Q114" s="11"/>
    </row>
    <row r="115" spans="1:17">
      <c r="A115" s="89" t="s">
        <v>422</v>
      </c>
      <c r="B115" s="216">
        <v>456.22199999999998</v>
      </c>
      <c r="C115" s="43">
        <f>'Lake Worth Network Transmission'!B48</f>
        <v>7391.8656000000001</v>
      </c>
      <c r="D115" s="43">
        <f>'Lake Worth Network Transmission'!C48</f>
        <v>7391.8656000000001</v>
      </c>
      <c r="E115" s="43">
        <f>'Lake Worth Network Transmission'!D48</f>
        <v>7391.8656000000001</v>
      </c>
      <c r="F115" s="43">
        <f>'Lake Worth Network Transmission'!E48</f>
        <v>7391.8656000000001</v>
      </c>
      <c r="G115" s="43">
        <f>'Lake Worth Network Transmission'!F48</f>
        <v>8726.5583999999999</v>
      </c>
      <c r="H115" s="43">
        <f>'Lake Worth Network Transmission'!G48</f>
        <v>8726.5583999999999</v>
      </c>
      <c r="I115" s="43">
        <f>'Lake Worth Network Transmission'!H48</f>
        <v>8726.5583999999999</v>
      </c>
      <c r="J115" s="43">
        <f>'Lake Worth Network Transmission'!I48</f>
        <v>8726.5583999999999</v>
      </c>
      <c r="K115" s="43">
        <f>'Lake Worth Network Transmission'!J48</f>
        <v>8726.5583999999999</v>
      </c>
      <c r="L115" s="43">
        <f>'Lake Worth Network Transmission'!K48</f>
        <v>7391.8656000000001</v>
      </c>
      <c r="M115" s="43">
        <f>'Lake Worth Network Transmission'!L48</f>
        <v>7391.8656000000001</v>
      </c>
      <c r="N115" s="43">
        <f>'Lake Worth Network Transmission'!M48</f>
        <v>7391.8656000000001</v>
      </c>
      <c r="O115" s="43">
        <f t="shared" si="12"/>
        <v>95375.851200000019</v>
      </c>
      <c r="Q115" s="11"/>
    </row>
    <row r="116" spans="1:17">
      <c r="A116" s="89" t="s">
        <v>14</v>
      </c>
      <c r="B116" s="216">
        <v>456.21100000000001</v>
      </c>
      <c r="C116" s="40">
        <f>'TSAS Demand Revenues (7)'!B137</f>
        <v>806219.04</v>
      </c>
      <c r="D116" s="40">
        <f>'TSAS Demand Revenues (7)'!C137</f>
        <v>728309.04</v>
      </c>
      <c r="E116" s="40">
        <f>'TSAS Demand Revenues (7)'!D137</f>
        <v>728309.04</v>
      </c>
      <c r="F116" s="40">
        <f>'TSAS Demand Revenues (7)'!E137</f>
        <v>728309.04</v>
      </c>
      <c r="G116" s="40">
        <f>'TSAS Demand Revenues (7)'!F137</f>
        <v>728309.04</v>
      </c>
      <c r="H116" s="40">
        <f>'TSAS Demand Revenues (7)'!G137</f>
        <v>728309.04</v>
      </c>
      <c r="I116" s="40">
        <f>'TSAS Demand Revenues (7)'!H137</f>
        <v>728309.04</v>
      </c>
      <c r="J116" s="40">
        <f>'TSAS Demand Revenues (7)'!I137</f>
        <v>728309.04</v>
      </c>
      <c r="K116" s="40">
        <f>'TSAS Demand Revenues (7)'!J137</f>
        <v>728309.04</v>
      </c>
      <c r="L116" s="40">
        <f>'TSAS Demand Revenues (7)'!K137</f>
        <v>728309.04</v>
      </c>
      <c r="M116" s="40">
        <f>'TSAS Demand Revenues (7)'!L137</f>
        <v>728309.04</v>
      </c>
      <c r="N116" s="40">
        <f>'TSAS Demand Revenues (7)'!M137</f>
        <v>728309.04</v>
      </c>
      <c r="O116" s="43">
        <f t="shared" si="12"/>
        <v>8817618.4800000004</v>
      </c>
      <c r="Q116" s="11"/>
    </row>
    <row r="117" spans="1:17">
      <c r="A117" s="89" t="s">
        <v>146</v>
      </c>
      <c r="B117" s="216">
        <v>456.221</v>
      </c>
      <c r="C117" s="40">
        <f>'TSAS Scheduling Revenue (1)'!B142</f>
        <v>6459.8934399999998</v>
      </c>
      <c r="D117" s="40">
        <f>'TSAS Scheduling Revenue (1)'!C142</f>
        <v>5835.6334399999996</v>
      </c>
      <c r="E117" s="40">
        <f>'TSAS Scheduling Revenue (1)'!D142</f>
        <v>5835.6334399999996</v>
      </c>
      <c r="F117" s="40">
        <f>'TSAS Scheduling Revenue (1)'!E142</f>
        <v>5835.6334399999996</v>
      </c>
      <c r="G117" s="40">
        <f>'TSAS Scheduling Revenue (1)'!F142</f>
        <v>5835.6334399999996</v>
      </c>
      <c r="H117" s="40">
        <f>'TSAS Scheduling Revenue (1)'!G142</f>
        <v>5835.6334399999996</v>
      </c>
      <c r="I117" s="40">
        <f>'TSAS Scheduling Revenue (1)'!H142</f>
        <v>5835.6334399999996</v>
      </c>
      <c r="J117" s="40">
        <f>'TSAS Scheduling Revenue (1)'!I142</f>
        <v>5835.6334399999996</v>
      </c>
      <c r="K117" s="40">
        <f>'TSAS Scheduling Revenue (1)'!J142</f>
        <v>5835.6334399999996</v>
      </c>
      <c r="L117" s="40">
        <f>'TSAS Scheduling Revenue (1)'!K142</f>
        <v>5835.6334399999996</v>
      </c>
      <c r="M117" s="40">
        <f>'TSAS Scheduling Revenue (1)'!L142</f>
        <v>5835.6334399999996</v>
      </c>
      <c r="N117" s="40">
        <f>'TSAS Scheduling Revenue (1)'!M142</f>
        <v>5835.6334399999996</v>
      </c>
      <c r="O117" s="43">
        <f t="shared" si="12"/>
        <v>70651.861279999983</v>
      </c>
      <c r="Q117" s="11"/>
    </row>
    <row r="118" spans="1:17">
      <c r="A118" s="89" t="s">
        <v>77</v>
      </c>
      <c r="B118" s="216">
        <v>456.22199999999998</v>
      </c>
      <c r="C118" s="40">
        <f>'TSAS Reactive Revenues (2)'!B138</f>
        <v>49969.919999999998</v>
      </c>
      <c r="D118" s="43">
        <f>'TSAS Reactive Revenues (2)'!C138</f>
        <v>45030.720000000001</v>
      </c>
      <c r="E118" s="43">
        <f>'TSAS Reactive Revenues (2)'!D138</f>
        <v>45030.720000000001</v>
      </c>
      <c r="F118" s="40">
        <f>'TSAS Reactive Revenues (2)'!E138</f>
        <v>45030.720000000001</v>
      </c>
      <c r="G118" s="40">
        <f>'TSAS Reactive Revenues (2)'!F138</f>
        <v>45030.720000000001</v>
      </c>
      <c r="H118" s="40">
        <f>'TSAS Reactive Revenues (2)'!G138</f>
        <v>45030.720000000001</v>
      </c>
      <c r="I118" s="40">
        <f>'TSAS Reactive Revenues (2)'!H138</f>
        <v>45030.720000000001</v>
      </c>
      <c r="J118" s="40">
        <f>'TSAS Reactive Revenues (2)'!I138</f>
        <v>45030.720000000001</v>
      </c>
      <c r="K118" s="40">
        <f>'TSAS Reactive Revenues (2)'!J138</f>
        <v>45030.720000000001</v>
      </c>
      <c r="L118" s="40">
        <f>'TSAS Reactive Revenues (2)'!K138</f>
        <v>45030.720000000001</v>
      </c>
      <c r="M118" s="40">
        <f>'TSAS Reactive Revenues (2)'!L138</f>
        <v>45030.720000000001</v>
      </c>
      <c r="N118" s="40">
        <f>'TSAS Reactive Revenues (2)'!M138</f>
        <v>45030.720000000001</v>
      </c>
      <c r="O118" s="43">
        <f t="shared" si="12"/>
        <v>545307.83999999985</v>
      </c>
      <c r="Q118" s="11"/>
    </row>
    <row r="119" spans="1:17">
      <c r="A119" s="89" t="s">
        <v>124</v>
      </c>
      <c r="B119" s="216">
        <v>456.14499999999998</v>
      </c>
      <c r="C119" s="40">
        <f>Dynamic_Scheduling!B16</f>
        <v>7200</v>
      </c>
      <c r="D119" s="40">
        <f>Dynamic_Scheduling!C16</f>
        <v>7200</v>
      </c>
      <c r="E119" s="40">
        <f>Dynamic_Scheduling!D16</f>
        <v>7200</v>
      </c>
      <c r="F119" s="40">
        <f>Dynamic_Scheduling!E16</f>
        <v>7200</v>
      </c>
      <c r="G119" s="40">
        <f>Dynamic_Scheduling!F16</f>
        <v>7200</v>
      </c>
      <c r="H119" s="40">
        <f>Dynamic_Scheduling!G16</f>
        <v>7200</v>
      </c>
      <c r="I119" s="40">
        <f>Dynamic_Scheduling!H16</f>
        <v>7200</v>
      </c>
      <c r="J119" s="40">
        <f>Dynamic_Scheduling!I16</f>
        <v>7200</v>
      </c>
      <c r="K119" s="40">
        <f>Dynamic_Scheduling!J16</f>
        <v>7200</v>
      </c>
      <c r="L119" s="40">
        <f>Dynamic_Scheduling!K16</f>
        <v>7200</v>
      </c>
      <c r="M119" s="40">
        <f>Dynamic_Scheduling!L16</f>
        <v>7200</v>
      </c>
      <c r="N119" s="40">
        <f>Dynamic_Scheduling!M16</f>
        <v>7200</v>
      </c>
      <c r="O119" s="43">
        <f t="shared" si="12"/>
        <v>86400</v>
      </c>
      <c r="Q119" s="11"/>
    </row>
    <row r="120" spans="1:17">
      <c r="A120" s="89" t="s">
        <v>153</v>
      </c>
      <c r="B120" s="216">
        <v>456.21300000000002</v>
      </c>
      <c r="C120" s="43">
        <f>st_nf!D9</f>
        <v>252959.05</v>
      </c>
      <c r="D120" s="43">
        <f>st_nf!E9</f>
        <v>211139.89</v>
      </c>
      <c r="E120" s="43">
        <f>st_nf!F9</f>
        <v>230869.65</v>
      </c>
      <c r="F120" s="43">
        <f>st_nf!G9</f>
        <v>165524.70000000001</v>
      </c>
      <c r="G120" s="43">
        <f>st_nf!H9</f>
        <v>230869.65</v>
      </c>
      <c r="H120" s="43">
        <f>st_nf!I9</f>
        <v>338831.64</v>
      </c>
      <c r="I120" s="43">
        <f>st_nf!J9</f>
        <v>225520.52</v>
      </c>
      <c r="J120" s="43">
        <f>st_nf!K9</f>
        <v>328491.74</v>
      </c>
      <c r="K120" s="43">
        <f>st_nf!L9</f>
        <v>320710.51</v>
      </c>
      <c r="L120" s="43">
        <f>st_nf!M9</f>
        <v>438157.95</v>
      </c>
      <c r="M120" s="43">
        <f>st_nf!N9</f>
        <v>323720.68</v>
      </c>
      <c r="N120" s="43">
        <f>st_nf!O9</f>
        <v>226700.14</v>
      </c>
      <c r="O120" s="43">
        <f t="shared" si="12"/>
        <v>3293496.1200000006</v>
      </c>
      <c r="Q120" s="11"/>
    </row>
    <row r="121" spans="1:17">
      <c r="A121" s="89" t="s">
        <v>154</v>
      </c>
      <c r="B121" s="216">
        <v>456.22300000000001</v>
      </c>
      <c r="C121" s="217">
        <f>st_nf!D10</f>
        <v>31266.38</v>
      </c>
      <c r="D121" s="217">
        <f>st_nf!E10</f>
        <v>33737.19</v>
      </c>
      <c r="E121" s="217">
        <f>st_nf!F10</f>
        <v>33995.410000000003</v>
      </c>
      <c r="F121" s="217">
        <f>st_nf!G10</f>
        <v>34925.39</v>
      </c>
      <c r="G121" s="217">
        <f>st_nf!H10</f>
        <v>33923.370000000003</v>
      </c>
      <c r="H121" s="217">
        <f>st_nf!I10</f>
        <v>16500.57</v>
      </c>
      <c r="I121" s="217">
        <f>st_nf!J10</f>
        <v>25237.65</v>
      </c>
      <c r="J121" s="217">
        <f>st_nf!K10</f>
        <v>31769.99</v>
      </c>
      <c r="K121" s="217">
        <f>st_nf!L10</f>
        <v>41391.03</v>
      </c>
      <c r="L121" s="217">
        <f>st_nf!M10</f>
        <v>29168.31</v>
      </c>
      <c r="M121" s="217">
        <f>st_nf!N10</f>
        <v>28251.96</v>
      </c>
      <c r="N121" s="217">
        <f>st_nf!O10</f>
        <v>31973.599999999999</v>
      </c>
      <c r="O121" s="217">
        <f t="shared" si="12"/>
        <v>372140.85</v>
      </c>
      <c r="Q121" s="11"/>
    </row>
    <row r="122" spans="1:17" ht="10.8" thickBot="1">
      <c r="A122" s="89" t="s">
        <v>155</v>
      </c>
      <c r="B122" s="89"/>
      <c r="C122" s="386">
        <f t="shared" ref="C122:O122" si="15">SUM(C85:C121)</f>
        <v>4490719.6317031886</v>
      </c>
      <c r="D122" s="386">
        <f t="shared" si="15"/>
        <v>4182436.5917477538</v>
      </c>
      <c r="E122" s="386">
        <f t="shared" si="15"/>
        <v>4530542.1940622116</v>
      </c>
      <c r="F122" s="386">
        <f t="shared" si="15"/>
        <v>4073942.042652125</v>
      </c>
      <c r="G122" s="386">
        <f t="shared" si="15"/>
        <v>4567247.9903022423</v>
      </c>
      <c r="H122" s="386">
        <f t="shared" si="15"/>
        <v>4767469.2483308902</v>
      </c>
      <c r="I122" s="386">
        <f t="shared" si="15"/>
        <v>4852883.6228604792</v>
      </c>
      <c r="J122" s="386">
        <f t="shared" si="15"/>
        <v>4865171.157836698</v>
      </c>
      <c r="K122" s="386">
        <f t="shared" si="15"/>
        <v>4770261.1926726568</v>
      </c>
      <c r="L122" s="386">
        <f t="shared" si="15"/>
        <v>4513148.5567976739</v>
      </c>
      <c r="M122" s="386">
        <f t="shared" si="15"/>
        <v>4203348.7819729308</v>
      </c>
      <c r="N122" s="386">
        <f t="shared" si="15"/>
        <v>4174474.4631422847</v>
      </c>
      <c r="O122" s="386">
        <f t="shared" si="15"/>
        <v>53991645.474081129</v>
      </c>
      <c r="Q122" s="11"/>
    </row>
    <row r="123" spans="1:17" ht="10.8" thickTop="1">
      <c r="A123" s="89"/>
      <c r="B123" s="89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Q123" s="11"/>
    </row>
    <row r="124" spans="1:17">
      <c r="A124" s="89"/>
      <c r="B124" s="89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0"/>
      <c r="Q124" s="11"/>
    </row>
    <row r="125" spans="1:17">
      <c r="A125" s="89" t="s">
        <v>131</v>
      </c>
      <c r="B125" s="216">
        <v>456.25200000000001</v>
      </c>
      <c r="C125" s="44">
        <f>'SECI-Credit Settlement'!$B$11*(-1)</f>
        <v>-566426.91666666674</v>
      </c>
      <c r="D125" s="44">
        <f>'SECI-Credit Settlement'!$B$11*(-1)</f>
        <v>-566426.91666666674</v>
      </c>
      <c r="E125" s="44">
        <f>'SECI-Credit Settlement'!$B$11*(-1)</f>
        <v>-566426.91666666674</v>
      </c>
      <c r="F125" s="44">
        <f>'SECI-Credit Settlement'!$B$11*(-1)</f>
        <v>-566426.91666666674</v>
      </c>
      <c r="G125" s="44">
        <f>'SECI-Credit Settlement'!$B$11*(-1)</f>
        <v>-566426.91666666674</v>
      </c>
      <c r="H125" s="44">
        <f>'SECI-Credit Settlement'!$B$11*(-1)</f>
        <v>-566426.91666666674</v>
      </c>
      <c r="I125" s="44">
        <f>'SECI-Credit Settlement'!$B$11*(-1)</f>
        <v>-566426.91666666674</v>
      </c>
      <c r="J125" s="44">
        <f>'SECI-Credit Settlement'!$B$11*(-1)</f>
        <v>-566426.91666666674</v>
      </c>
      <c r="K125" s="44">
        <f>'SECI-Credit Settlement'!$B$11*(-1)</f>
        <v>-566426.91666666674</v>
      </c>
      <c r="L125" s="44">
        <f>'SECI-Credit Settlement'!$B$11*(-1)</f>
        <v>-566426.91666666674</v>
      </c>
      <c r="M125" s="44">
        <f>'SECI-Credit Settlement'!$B$11*(-1)</f>
        <v>-566426.91666666674</v>
      </c>
      <c r="N125" s="44">
        <f>'SECI-Credit Settlement'!$B$11*(-1)</f>
        <v>-566426.91666666674</v>
      </c>
      <c r="O125" s="41">
        <f>SUM(C125:N125)</f>
        <v>-6797123.0000000028</v>
      </c>
      <c r="Q125" s="11"/>
    </row>
    <row r="126" spans="1:17">
      <c r="A126" s="88"/>
      <c r="B126" s="88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Q126" s="11"/>
    </row>
    <row r="127" spans="1:17">
      <c r="A127" s="88" t="s">
        <v>148</v>
      </c>
      <c r="B127" s="88"/>
      <c r="C127" s="40">
        <f>C122+C125</f>
        <v>3924292.7150365217</v>
      </c>
      <c r="D127" s="40">
        <f t="shared" ref="D127:O127" si="16">D122+D125</f>
        <v>3616009.6750810873</v>
      </c>
      <c r="E127" s="40">
        <f t="shared" si="16"/>
        <v>3964115.2773955446</v>
      </c>
      <c r="F127" s="40">
        <f t="shared" si="16"/>
        <v>3507515.1259854585</v>
      </c>
      <c r="G127" s="40">
        <f t="shared" si="16"/>
        <v>4000821.0736355754</v>
      </c>
      <c r="H127" s="40">
        <f t="shared" si="16"/>
        <v>4201042.3316642232</v>
      </c>
      <c r="I127" s="40">
        <f t="shared" si="16"/>
        <v>4286456.7061938122</v>
      </c>
      <c r="J127" s="40">
        <f t="shared" si="16"/>
        <v>4298744.241170031</v>
      </c>
      <c r="K127" s="40">
        <f t="shared" si="16"/>
        <v>4203834.2760059899</v>
      </c>
      <c r="L127" s="40">
        <f t="shared" si="16"/>
        <v>3946721.6401310069</v>
      </c>
      <c r="M127" s="40">
        <f t="shared" si="16"/>
        <v>3636921.8653062638</v>
      </c>
      <c r="N127" s="40">
        <f t="shared" si="16"/>
        <v>3608047.5464756181</v>
      </c>
      <c r="O127" s="40">
        <f t="shared" si="16"/>
        <v>47194522.474081129</v>
      </c>
      <c r="Q127" s="11"/>
    </row>
    <row r="128" spans="1:17">
      <c r="A128" s="89"/>
      <c r="B128" s="89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Q128" s="11"/>
    </row>
    <row r="129" spans="1:17">
      <c r="A129" s="203" t="s">
        <v>180</v>
      </c>
      <c r="B129" s="209"/>
      <c r="C129" s="201" t="s">
        <v>0</v>
      </c>
      <c r="D129" s="201" t="s">
        <v>1</v>
      </c>
      <c r="E129" s="201" t="s">
        <v>2</v>
      </c>
      <c r="F129" s="201" t="s">
        <v>3</v>
      </c>
      <c r="G129" s="201" t="s">
        <v>4</v>
      </c>
      <c r="H129" s="201" t="s">
        <v>5</v>
      </c>
      <c r="I129" s="201" t="s">
        <v>6</v>
      </c>
      <c r="J129" s="201" t="s">
        <v>7</v>
      </c>
      <c r="K129" s="201" t="s">
        <v>8</v>
      </c>
      <c r="L129" s="201" t="s">
        <v>9</v>
      </c>
      <c r="M129" s="201" t="s">
        <v>10</v>
      </c>
      <c r="N129" s="201" t="s">
        <v>11</v>
      </c>
      <c r="O129" s="202" t="s">
        <v>12</v>
      </c>
    </row>
    <row r="130" spans="1:17">
      <c r="A130" s="90"/>
      <c r="B130" s="90"/>
    </row>
    <row r="131" spans="1:17">
      <c r="A131" s="89" t="s">
        <v>79</v>
      </c>
      <c r="B131" s="216">
        <v>456.21100000000001</v>
      </c>
      <c r="C131" s="40">
        <f>'FMPA Network'!B66</f>
        <v>680478.66</v>
      </c>
      <c r="D131" s="40">
        <f>'FMPA Network'!C66</f>
        <v>634163.55000000005</v>
      </c>
      <c r="E131" s="40">
        <f>'FMPA Network'!D66</f>
        <v>554649.24</v>
      </c>
      <c r="F131" s="40">
        <f>'FMPA Network'!E66</f>
        <v>595944.72</v>
      </c>
      <c r="G131" s="40">
        <f>'FMPA Network'!F66</f>
        <v>672380.79</v>
      </c>
      <c r="H131" s="40">
        <f>'FMPA Network'!G66</f>
        <v>731328.45000000007</v>
      </c>
      <c r="I131" s="40">
        <f>'FMPA Network'!H66</f>
        <v>756590.37</v>
      </c>
      <c r="J131" s="40">
        <f>'FMPA Network'!I66</f>
        <v>769545.69000000018</v>
      </c>
      <c r="K131" s="40">
        <f>'FMPA Network'!J66</f>
        <v>702016.8</v>
      </c>
      <c r="L131" s="40">
        <f>'FMPA Network'!K66</f>
        <v>648737.49</v>
      </c>
      <c r="M131" s="40">
        <f>'FMPA Network'!L66</f>
        <v>580722.06000000006</v>
      </c>
      <c r="N131" s="40">
        <f>'FMPA Network'!M66</f>
        <v>557403.12</v>
      </c>
      <c r="O131" s="40">
        <f>SUM(C131:N131)</f>
        <v>7883960.9400000004</v>
      </c>
    </row>
    <row r="132" spans="1:17">
      <c r="A132" s="89" t="s">
        <v>142</v>
      </c>
      <c r="B132" s="216">
        <v>456.221</v>
      </c>
      <c r="C132" s="40">
        <f>'FMPA Network'!B73</f>
        <v>5452.3887599999998</v>
      </c>
      <c r="D132" s="40">
        <f>'FMPA Network'!C73</f>
        <v>5081.2852999999996</v>
      </c>
      <c r="E132" s="40">
        <f>'FMPA Network'!D73</f>
        <v>4444.1706400000003</v>
      </c>
      <c r="F132" s="40">
        <f>'FMPA Network'!E73</f>
        <v>4775.0539200000003</v>
      </c>
      <c r="G132" s="40">
        <f>'FMPA Network'!F73</f>
        <v>5387.5039399999996</v>
      </c>
      <c r="H132" s="40">
        <f>'FMPA Network'!G73</f>
        <v>5859.8266999999996</v>
      </c>
      <c r="I132" s="40">
        <f>'FMPA Network'!H73</f>
        <v>6062.2398199999998</v>
      </c>
      <c r="J132" s="40">
        <f>'FMPA Network'!I73</f>
        <v>6166.0453400000006</v>
      </c>
      <c r="K132" s="40">
        <f>'FMPA Network'!J73</f>
        <v>5624.9647999999997</v>
      </c>
      <c r="L132" s="40">
        <f>'FMPA Network'!K73</f>
        <v>5198.0601399999996</v>
      </c>
      <c r="M132" s="40">
        <f>'FMPA Network'!L73</f>
        <v>4653.0811599999997</v>
      </c>
      <c r="N132" s="40">
        <f>'FMPA Network'!M73</f>
        <v>4466.23632</v>
      </c>
      <c r="O132" s="40">
        <f>SUM(C132:N132)</f>
        <v>63170.856840000008</v>
      </c>
    </row>
    <row r="133" spans="1:17">
      <c r="A133" s="89" t="s">
        <v>78</v>
      </c>
      <c r="B133" s="216">
        <v>456.22199999999998</v>
      </c>
      <c r="C133" s="40">
        <f>'FMPA Network'!B80</f>
        <v>29958.180000000004</v>
      </c>
      <c r="D133" s="40">
        <f>'FMPA Network'!C80</f>
        <v>27919.15</v>
      </c>
      <c r="E133" s="40">
        <f>'FMPA Network'!D80</f>
        <v>24418.520000000004</v>
      </c>
      <c r="F133" s="40">
        <f>'FMPA Network'!E80</f>
        <v>26236.560000000001</v>
      </c>
      <c r="G133" s="40">
        <f>'FMPA Network'!F80</f>
        <v>29601.670000000002</v>
      </c>
      <c r="H133" s="40">
        <f>'FMPA Network'!G80</f>
        <v>32196.850000000002</v>
      </c>
      <c r="I133" s="40">
        <f>'FMPA Network'!H80</f>
        <v>33309.01</v>
      </c>
      <c r="J133" s="40">
        <f>'FMPA Network'!I80</f>
        <v>33879.37000000001</v>
      </c>
      <c r="K133" s="40">
        <f>'FMPA Network'!J80</f>
        <v>30906.400000000001</v>
      </c>
      <c r="L133" s="40">
        <f>'FMPA Network'!K80</f>
        <v>28560.770000000004</v>
      </c>
      <c r="M133" s="40">
        <f>'FMPA Network'!L80</f>
        <v>25566.38</v>
      </c>
      <c r="N133" s="40">
        <f>'FMPA Network'!M80</f>
        <v>24539.760000000002</v>
      </c>
      <c r="O133" s="40">
        <f>SUM(C133:N133)</f>
        <v>347092.62000000011</v>
      </c>
    </row>
    <row r="134" spans="1:17">
      <c r="A134" s="89" t="s">
        <v>125</v>
      </c>
      <c r="B134" s="216">
        <v>456.21100000000001</v>
      </c>
      <c r="C134" s="40">
        <f>'Vero Beach Network'!B65</f>
        <v>286637.25</v>
      </c>
      <c r="D134" s="40">
        <f>'Vero Beach Network'!C65</f>
        <v>249389.91</v>
      </c>
      <c r="E134" s="40">
        <f>'Vero Beach Network'!D65</f>
        <v>199188.84</v>
      </c>
      <c r="F134" s="40">
        <f>'Vero Beach Network'!E65</f>
        <v>205666.5</v>
      </c>
      <c r="G134" s="40">
        <f>'Vero Beach Network'!F65</f>
        <v>226718.1</v>
      </c>
      <c r="H134" s="40">
        <f>'Vero Beach Network'!G65</f>
        <v>249389.91</v>
      </c>
      <c r="I134" s="40">
        <f>'Vero Beach Network'!H65</f>
        <v>246151.08000000002</v>
      </c>
      <c r="J134" s="40">
        <f>'Vero Beach Network'!I65</f>
        <v>265584.06</v>
      </c>
      <c r="K134" s="40">
        <f>'Vero Beach Network'!J65</f>
        <v>249389.91</v>
      </c>
      <c r="L134" s="40">
        <f>'Vero Beach Network'!K65</f>
        <v>234815.97</v>
      </c>
      <c r="M134" s="40">
        <f>'Vero Beach Network'!L65</f>
        <v>200807.46000000002</v>
      </c>
      <c r="N134" s="40">
        <f>'Vero Beach Network'!M65</f>
        <v>225099.48</v>
      </c>
      <c r="O134" s="40">
        <f t="shared" ref="O134:O172" si="17">SUM(C134:N134)</f>
        <v>2838838.47</v>
      </c>
    </row>
    <row r="135" spans="1:17">
      <c r="A135" s="89" t="s">
        <v>143</v>
      </c>
      <c r="B135" s="216">
        <v>456.221</v>
      </c>
      <c r="C135" s="40">
        <f>'Vero Beach Network'!B72</f>
        <v>2296.7035000000001</v>
      </c>
      <c r="D135" s="40">
        <f>'Vero Beach Network'!C72</f>
        <v>1998.2562599999999</v>
      </c>
      <c r="E135" s="40">
        <f>'Vero Beach Network'!D72</f>
        <v>1596.0162399999999</v>
      </c>
      <c r="F135" s="40">
        <f>'Vero Beach Network'!E72</f>
        <v>1647.9189999999999</v>
      </c>
      <c r="G135" s="40">
        <f>'Vero Beach Network'!F72</f>
        <v>1816.5965999999999</v>
      </c>
      <c r="H135" s="40">
        <f>'Vero Beach Network'!G72</f>
        <v>1998.2562599999999</v>
      </c>
      <c r="I135" s="40">
        <f>'Vero Beach Network'!H72</f>
        <v>1972.3048799999999</v>
      </c>
      <c r="J135" s="40">
        <f>'Vero Beach Network'!I72</f>
        <v>2128.01316</v>
      </c>
      <c r="K135" s="40">
        <f>'Vero Beach Network'!J72</f>
        <v>1998.2562599999999</v>
      </c>
      <c r="L135" s="40">
        <f>'Vero Beach Network'!K72</f>
        <v>1881.4814199999998</v>
      </c>
      <c r="M135" s="40">
        <f>'Vero Beach Network'!L72</f>
        <v>1608.9855599999999</v>
      </c>
      <c r="N135" s="40">
        <f>'Vero Beach Network'!M72</f>
        <v>1803.6272799999999</v>
      </c>
      <c r="O135" s="40">
        <f t="shared" si="17"/>
        <v>22746.416420000001</v>
      </c>
    </row>
    <row r="136" spans="1:17">
      <c r="A136" s="89" t="s">
        <v>126</v>
      </c>
      <c r="B136" s="216">
        <v>456.22199999999998</v>
      </c>
      <c r="C136" s="40">
        <f>'Vero Beach Network'!B79</f>
        <v>18171.72</v>
      </c>
      <c r="D136" s="40">
        <f>'Vero Beach Network'!C79</f>
        <v>15810.379199999999</v>
      </c>
      <c r="E136" s="40">
        <f>'Vero Beach Network'!D79</f>
        <v>12627.8208</v>
      </c>
      <c r="F136" s="40">
        <f>'Vero Beach Network'!E79</f>
        <v>13038.48</v>
      </c>
      <c r="G136" s="40">
        <f>'Vero Beach Network'!F79</f>
        <v>14373.072</v>
      </c>
      <c r="H136" s="40">
        <f>'Vero Beach Network'!G79</f>
        <v>15810.379199999999</v>
      </c>
      <c r="I136" s="40">
        <f>'Vero Beach Network'!H79</f>
        <v>15605.0496</v>
      </c>
      <c r="J136" s="40">
        <f>'Vero Beach Network'!I79</f>
        <v>16837.0272</v>
      </c>
      <c r="K136" s="40">
        <f>'Vero Beach Network'!J79</f>
        <v>15810.379199999999</v>
      </c>
      <c r="L136" s="40">
        <f>'Vero Beach Network'!K79</f>
        <v>14886.446400000001</v>
      </c>
      <c r="M136" s="40">
        <f>'Vero Beach Network'!L79</f>
        <v>12730.4352</v>
      </c>
      <c r="N136" s="40">
        <f>'Vero Beach Network'!M79</f>
        <v>14270.4576</v>
      </c>
      <c r="O136" s="40">
        <f t="shared" si="17"/>
        <v>179971.6464</v>
      </c>
    </row>
    <row r="137" spans="1:17">
      <c r="A137" s="89" t="s">
        <v>80</v>
      </c>
      <c r="B137" s="216">
        <v>456.21100000000001</v>
      </c>
      <c r="C137" s="40">
        <f>'SECI Network'!B67</f>
        <v>844758.98115129909</v>
      </c>
      <c r="D137" s="40">
        <f>'SECI Network'!C67</f>
        <v>692410.57564951607</v>
      </c>
      <c r="E137" s="40">
        <f>'SECI Network'!D67</f>
        <v>617629.54661232803</v>
      </c>
      <c r="F137" s="40">
        <f>'SECI Network'!E67</f>
        <v>584033.00050942437</v>
      </c>
      <c r="G137" s="40">
        <f>'SECI Network'!F67</f>
        <v>662863.95313295978</v>
      </c>
      <c r="H137" s="40">
        <f>'SECI Network'!G67</f>
        <v>717273.86653082015</v>
      </c>
      <c r="I137" s="40">
        <f>'SECI Network'!H67</f>
        <v>711281.59959246055</v>
      </c>
      <c r="J137" s="40">
        <f>'SECI Network'!I67</f>
        <v>709804.18746816099</v>
      </c>
      <c r="K137" s="40">
        <f>'SECI Network'!J67</f>
        <v>717921.85430463578</v>
      </c>
      <c r="L137" s="40">
        <f>'SECI Network'!K67</f>
        <v>622306.39836984209</v>
      </c>
      <c r="M137" s="40">
        <f>'SECI Network'!L67</f>
        <v>601084.79877738154</v>
      </c>
      <c r="N137" s="40">
        <f>'SECI Network'!M67</f>
        <v>651111.07488537952</v>
      </c>
      <c r="O137" s="40">
        <f t="shared" si="17"/>
        <v>8132479.8369842088</v>
      </c>
    </row>
    <row r="138" spans="1:17">
      <c r="A138" s="89" t="s">
        <v>144</v>
      </c>
      <c r="B138" s="216">
        <v>456.221</v>
      </c>
      <c r="C138" s="40">
        <f>'SECI Network'!B72</f>
        <v>6768.6977483443707</v>
      </c>
      <c r="D138" s="40">
        <f>'SECI Network'!C72</f>
        <v>5547.9941721854302</v>
      </c>
      <c r="E138" s="40">
        <f>'SECI Network'!D72</f>
        <v>4948.8052980132443</v>
      </c>
      <c r="F138" s="40">
        <f>'SECI Network'!E72</f>
        <v>4679.6103311258275</v>
      </c>
      <c r="G138" s="40">
        <f>'SECI Network'!F72</f>
        <v>5311.2495364238412</v>
      </c>
      <c r="H138" s="40">
        <f>'SECI Network'!G72</f>
        <v>5747.2132450331119</v>
      </c>
      <c r="I138" s="40">
        <f>'SECI Network'!H72</f>
        <v>5699.199735099337</v>
      </c>
      <c r="J138" s="40">
        <f>'SECI Network'!I72</f>
        <v>5687.3618543046359</v>
      </c>
      <c r="K138" s="40">
        <f>'SECI Network'!J72</f>
        <v>5752.4052980132446</v>
      </c>
      <c r="L138" s="40">
        <f>'SECI Network'!K72</f>
        <v>4986.2789403973511</v>
      </c>
      <c r="M138" s="40">
        <f>'SECI Network'!L72</f>
        <v>4816.2392052980122</v>
      </c>
      <c r="N138" s="40">
        <f>'SECI Network'!M72</f>
        <v>5217.0786754966884</v>
      </c>
      <c r="O138" s="40">
        <f t="shared" si="17"/>
        <v>65162.134039735094</v>
      </c>
    </row>
    <row r="139" spans="1:17">
      <c r="A139" s="89" t="s">
        <v>76</v>
      </c>
      <c r="B139" s="216">
        <v>456.22199999999998</v>
      </c>
      <c r="C139" s="40">
        <f>'SECI Network'!B77</f>
        <v>10625.899133978604</v>
      </c>
      <c r="D139" s="43">
        <f>'SECI Network'!C77</f>
        <v>8709.5669893020877</v>
      </c>
      <c r="E139" s="43">
        <f>'SECI Network'!D77</f>
        <v>7768.9251146204779</v>
      </c>
      <c r="F139" s="40">
        <f>'SECI Network'!E77</f>
        <v>7346.3270504330103</v>
      </c>
      <c r="G139" s="40">
        <f>'SECI Network'!F77</f>
        <v>8337.9113601630161</v>
      </c>
      <c r="H139" s="40">
        <f>'SECI Network'!G77</f>
        <v>9022.3127865511979</v>
      </c>
      <c r="I139" s="40">
        <f>'SECI Network'!H77</f>
        <v>8946.9383596535918</v>
      </c>
      <c r="J139" s="40">
        <f>'SECI Network'!I77</f>
        <v>8928.3545593479375</v>
      </c>
      <c r="K139" s="40">
        <f>'SECI Network'!J77</f>
        <v>9030.4635761589416</v>
      </c>
      <c r="L139" s="40">
        <f>'SECI Network'!K77</f>
        <v>7827.7534386143661</v>
      </c>
      <c r="M139" s="40">
        <f>'SECI Network'!L77</f>
        <v>7560.8150789607735</v>
      </c>
      <c r="N139" s="40">
        <f>'SECI Network'!M77</f>
        <v>8190.0764136525722</v>
      </c>
      <c r="O139" s="40">
        <f t="shared" si="17"/>
        <v>102295.34386143657</v>
      </c>
    </row>
    <row r="140" spans="1:17">
      <c r="A140" s="89" t="s">
        <v>57</v>
      </c>
      <c r="B140" s="216">
        <v>456.22399999999999</v>
      </c>
      <c r="C140" s="40">
        <f>SECI_Regulation_Imbalance!B50</f>
        <v>34557.017868568517</v>
      </c>
      <c r="D140" s="40">
        <f>SECI_Regulation_Imbalance!C50</f>
        <v>28324.818284258785</v>
      </c>
      <c r="E140" s="40">
        <f>SECI_Regulation_Imbalance!D50</f>
        <v>25265.709811512985</v>
      </c>
      <c r="F140" s="40">
        <f>SECI_Regulation_Imbalance!E50</f>
        <v>23891.35751706571</v>
      </c>
      <c r="G140" s="40">
        <f>SECI_Regulation_Imbalance!F50</f>
        <v>27116.13842995415</v>
      </c>
      <c r="H140" s="40">
        <f>SECI_Regulation_Imbalance!G50</f>
        <v>29341.914528782472</v>
      </c>
      <c r="I140" s="40">
        <f>SECI_Regulation_Imbalance!H50</f>
        <v>29096.785586347421</v>
      </c>
      <c r="J140" s="40">
        <f>SECI_Regulation_Imbalance!I50</f>
        <v>29036.348280183392</v>
      </c>
      <c r="K140" s="40">
        <f>SECI_Regulation_Imbalance!J50</f>
        <v>29368.422119205294</v>
      </c>
      <c r="L140" s="40">
        <f>SECI_Regulation_Imbalance!K50</f>
        <v>25457.028345389706</v>
      </c>
      <c r="M140" s="40">
        <f>SECI_Regulation_Imbalance!L50</f>
        <v>24588.904759042278</v>
      </c>
      <c r="N140" s="40">
        <f>SECI_Regulation_Imbalance!M50</f>
        <v>26635.357008660212</v>
      </c>
      <c r="O140" s="40">
        <f t="shared" si="17"/>
        <v>332679.80253897089</v>
      </c>
      <c r="Q140" s="11"/>
    </row>
    <row r="141" spans="1:17">
      <c r="A141" s="89" t="s">
        <v>275</v>
      </c>
      <c r="B141" s="216">
        <v>456.24900000000002</v>
      </c>
      <c r="C141" s="44">
        <f>'Radial Facilities'!B49</f>
        <v>36916.160000000003</v>
      </c>
      <c r="D141" s="44">
        <f>'Radial Facilities'!C49</f>
        <v>20838.830000000002</v>
      </c>
      <c r="E141" s="44">
        <f>'Radial Facilities'!D49</f>
        <v>20838.830000000002</v>
      </c>
      <c r="F141" s="44">
        <f>'Radial Facilities'!E49</f>
        <v>20838.830000000002</v>
      </c>
      <c r="G141" s="44">
        <f>'Radial Facilities'!F49</f>
        <v>20838.830000000002</v>
      </c>
      <c r="H141" s="44">
        <f>'Radial Facilities'!G49</f>
        <v>20838.830000000002</v>
      </c>
      <c r="I141" s="44">
        <f>'Radial Facilities'!H49</f>
        <v>20838.830000000002</v>
      </c>
      <c r="J141" s="44">
        <f>'Radial Facilities'!I49</f>
        <v>20838.830000000002</v>
      </c>
      <c r="K141" s="44">
        <f>'Radial Facilities'!J49</f>
        <v>20838.830000000002</v>
      </c>
      <c r="L141" s="44">
        <f>'Radial Facilities'!K49</f>
        <v>20838.830000000002</v>
      </c>
      <c r="M141" s="44">
        <f>'Radial Facilities'!L49</f>
        <v>20838.830000000002</v>
      </c>
      <c r="N141" s="44">
        <f>'Radial Facilities'!M49</f>
        <v>20838.830000000002</v>
      </c>
      <c r="O141" s="41">
        <f>SUM(C141:N141)</f>
        <v>266143.2900000001</v>
      </c>
      <c r="Q141" s="11"/>
    </row>
    <row r="142" spans="1:17">
      <c r="A142" s="89" t="s">
        <v>129</v>
      </c>
      <c r="B142" s="216">
        <v>456.21100000000001</v>
      </c>
      <c r="C142" s="44">
        <f>'LCEC Network'!B52</f>
        <v>979205.97348210914</v>
      </c>
      <c r="D142" s="44">
        <f>'LCEC Network'!C52</f>
        <v>1183633.8318344825</v>
      </c>
      <c r="E142" s="44">
        <f>'LCEC Network'!D52</f>
        <v>1062564.4337811479</v>
      </c>
      <c r="F142" s="44">
        <f>'LCEC Network'!E52</f>
        <v>979076.64291727066</v>
      </c>
      <c r="G142" s="44">
        <f>'LCEC Network'!F52</f>
        <v>954245.71039465175</v>
      </c>
      <c r="H142" s="44">
        <f>'LCEC Network'!G52</f>
        <v>1107139.4458231418</v>
      </c>
      <c r="I142" s="44">
        <f>'LCEC Network'!H52</f>
        <v>1217697.365363033</v>
      </c>
      <c r="J142" s="44">
        <f>'LCEC Network'!I52</f>
        <v>1184397.406078181</v>
      </c>
      <c r="K142" s="44">
        <f>'LCEC Network'!J52</f>
        <v>1238677.3418478183</v>
      </c>
      <c r="L142" s="44">
        <f>'LCEC Network'!K52</f>
        <v>1063709.5482281453</v>
      </c>
      <c r="M142" s="44">
        <f>'LCEC Network'!L52</f>
        <v>1122969.9913188091</v>
      </c>
      <c r="N142" s="44">
        <f>'LCEC Network'!M52</f>
        <v>923685.8588208704</v>
      </c>
      <c r="O142" s="41">
        <f t="shared" si="17"/>
        <v>13017003.54988966</v>
      </c>
      <c r="Q142" s="11"/>
    </row>
    <row r="143" spans="1:17">
      <c r="A143" s="89" t="s">
        <v>145</v>
      </c>
      <c r="B143" s="216">
        <v>456.221</v>
      </c>
      <c r="C143" s="44">
        <f>'LCEC Network'!B59</f>
        <v>7845.9648441270874</v>
      </c>
      <c r="D143" s="44">
        <f>'LCEC Network'!C59</f>
        <v>9483.9591305479898</v>
      </c>
      <c r="E143" s="44">
        <f>'LCEC Network'!D59</f>
        <v>8513.8810606112093</v>
      </c>
      <c r="F143" s="44">
        <f>'LCEC Network'!E59</f>
        <v>7844.9285728088225</v>
      </c>
      <c r="G143" s="44">
        <f>'LCEC Network'!F59</f>
        <v>7645.9687738540015</v>
      </c>
      <c r="H143" s="44">
        <f>'LCEC Network'!G59</f>
        <v>8871.0418489225322</v>
      </c>
      <c r="I143" s="44">
        <f>'LCEC Network'!H59</f>
        <v>9756.8958708962527</v>
      </c>
      <c r="J143" s="44">
        <f>'LCEC Network'!I59</f>
        <v>9490.0773292050453</v>
      </c>
      <c r="K143" s="44">
        <f>'LCEC Network'!J59</f>
        <v>9924.9995818498155</v>
      </c>
      <c r="L143" s="44">
        <f>'LCEC Network'!K59</f>
        <v>8523.0563801424978</v>
      </c>
      <c r="M143" s="44">
        <f>'LCEC Network'!L59</f>
        <v>8997.8853392463061</v>
      </c>
      <c r="N143" s="44">
        <f>'LCEC Network'!M59</f>
        <v>7401.1055606150239</v>
      </c>
      <c r="O143" s="41">
        <f t="shared" si="17"/>
        <v>104299.76429282659</v>
      </c>
      <c r="Q143" s="11"/>
    </row>
    <row r="144" spans="1:17">
      <c r="A144" s="89" t="s">
        <v>184</v>
      </c>
      <c r="B144" s="216">
        <v>456.21100000000001</v>
      </c>
      <c r="C144" s="44">
        <f>'FKEC Network'!B52</f>
        <v>176745.81549489938</v>
      </c>
      <c r="D144" s="44">
        <f>'FKEC Network'!C52</f>
        <v>177052.56309409605</v>
      </c>
      <c r="E144" s="44">
        <f>'FKEC Network'!D52</f>
        <v>188390.28222283014</v>
      </c>
      <c r="F144" s="44">
        <f>'FKEC Network'!E52</f>
        <v>178776.81820412428</v>
      </c>
      <c r="G144" s="44">
        <f>'FKEC Network'!F52</f>
        <v>212306.88824831211</v>
      </c>
      <c r="H144" s="44">
        <f>'FKEC Network'!G52</f>
        <v>225680.05422529814</v>
      </c>
      <c r="I144" s="44">
        <f>'FKEC Network'!H52</f>
        <v>232259.80207984356</v>
      </c>
      <c r="J144" s="44">
        <f>'FKEC Network'!I52</f>
        <v>251595.84327524205</v>
      </c>
      <c r="K144" s="44">
        <f>'FKEC Network'!J52</f>
        <v>245429.66211712058</v>
      </c>
      <c r="L144" s="44">
        <f>'FKEC Network'!K52</f>
        <v>226419.16173604131</v>
      </c>
      <c r="M144" s="44">
        <f>'FKEC Network'!L52</f>
        <v>216475.10025673741</v>
      </c>
      <c r="N144" s="44">
        <f>'FKEC Network'!M52</f>
        <v>192051.5073776363</v>
      </c>
      <c r="O144" s="41">
        <f t="shared" si="17"/>
        <v>2523183.498332181</v>
      </c>
      <c r="Q144" s="11"/>
    </row>
    <row r="145" spans="1:17">
      <c r="A145" s="89" t="s">
        <v>185</v>
      </c>
      <c r="B145" s="216">
        <v>456.221</v>
      </c>
      <c r="C145" s="44">
        <f>'FKEC Network'!B59</f>
        <v>1416.1897417641624</v>
      </c>
      <c r="D145" s="44">
        <f>'FKEC Network'!C59</f>
        <v>1418.6475810181028</v>
      </c>
      <c r="E145" s="44">
        <f>'FKEC Network'!D59</f>
        <v>1509.4919468672049</v>
      </c>
      <c r="F145" s="44">
        <f>'FKEC Network'!E59</f>
        <v>1432.463310641851</v>
      </c>
      <c r="G145" s="44">
        <f>'FKEC Network'!F59</f>
        <v>1701.1256328827019</v>
      </c>
      <c r="H145" s="44">
        <f>'FKEC Network'!G59</f>
        <v>1808.279176622829</v>
      </c>
      <c r="I145" s="44">
        <f>'FKEC Network'!H59</f>
        <v>1860.9999235831488</v>
      </c>
      <c r="J145" s="44">
        <f>'FKEC Network'!I59</f>
        <v>2015.9314737903039</v>
      </c>
      <c r="K145" s="44">
        <f>'FKEC Network'!J59</f>
        <v>1966.5244624981863</v>
      </c>
      <c r="L145" s="44">
        <f>'FKEC Network'!K59</f>
        <v>1814.2013336585949</v>
      </c>
      <c r="M145" s="44">
        <f>'FKEC Network'!L59</f>
        <v>1734.5237592898329</v>
      </c>
      <c r="N145" s="44">
        <f>'FKEC Network'!M59</f>
        <v>1538.8278012522555</v>
      </c>
      <c r="O145" s="41">
        <f t="shared" si="17"/>
        <v>20217.206143869178</v>
      </c>
      <c r="Q145" s="11"/>
    </row>
    <row r="146" spans="1:17">
      <c r="A146" s="89" t="s">
        <v>202</v>
      </c>
      <c r="B146" s="216">
        <v>456.21100000000001</v>
      </c>
      <c r="C146" s="44">
        <f>'Wauchula Network'!B52</f>
        <v>20670</v>
      </c>
      <c r="D146" s="44">
        <f>'Wauchula Network'!C52</f>
        <v>20670</v>
      </c>
      <c r="E146" s="44">
        <f>'Wauchula Network'!D52</f>
        <v>20670</v>
      </c>
      <c r="F146" s="44">
        <f>'Wauchula Network'!E52</f>
        <v>20670</v>
      </c>
      <c r="G146" s="44">
        <f>'Wauchula Network'!F52</f>
        <v>20670</v>
      </c>
      <c r="H146" s="44">
        <f>'Wauchula Network'!G52</f>
        <v>20670</v>
      </c>
      <c r="I146" s="44">
        <f>'Wauchula Network'!H52</f>
        <v>20670</v>
      </c>
      <c r="J146" s="44">
        <f>'Wauchula Network'!I52</f>
        <v>20670</v>
      </c>
      <c r="K146" s="44">
        <f>'Wauchula Network'!J52</f>
        <v>20670</v>
      </c>
      <c r="L146" s="44">
        <f>'Wauchula Network'!K52</f>
        <v>20670</v>
      </c>
      <c r="M146" s="44">
        <f>'Wauchula Network'!L52</f>
        <v>20670</v>
      </c>
      <c r="N146" s="44">
        <f>'Wauchula Network'!M52</f>
        <v>20670</v>
      </c>
      <c r="O146" s="41">
        <f t="shared" si="17"/>
        <v>248040</v>
      </c>
    </row>
    <row r="147" spans="1:17">
      <c r="A147" s="89" t="s">
        <v>203</v>
      </c>
      <c r="B147" s="216">
        <v>456.221</v>
      </c>
      <c r="C147" s="44">
        <f>'Wauchula Network'!B59</f>
        <v>165.62</v>
      </c>
      <c r="D147" s="44">
        <f>'Wauchula Network'!C59</f>
        <v>165.62</v>
      </c>
      <c r="E147" s="44">
        <f>'Wauchula Network'!D59</f>
        <v>165.62</v>
      </c>
      <c r="F147" s="44">
        <f>'Wauchula Network'!E59</f>
        <v>165.62</v>
      </c>
      <c r="G147" s="44">
        <f>'Wauchula Network'!F59</f>
        <v>165.62</v>
      </c>
      <c r="H147" s="44">
        <f>'Wauchula Network'!G59</f>
        <v>165.62</v>
      </c>
      <c r="I147" s="44">
        <f>'Wauchula Network'!H59</f>
        <v>165.62</v>
      </c>
      <c r="J147" s="44">
        <f>'Wauchula Network'!I59</f>
        <v>165.62</v>
      </c>
      <c r="K147" s="44">
        <f>'Wauchula Network'!J59</f>
        <v>165.62</v>
      </c>
      <c r="L147" s="44">
        <f>'Wauchula Network'!K59</f>
        <v>165.62</v>
      </c>
      <c r="M147" s="44">
        <f>'Wauchula Network'!L59</f>
        <v>165.62</v>
      </c>
      <c r="N147" s="44">
        <f>'Wauchula Network'!M59</f>
        <v>165.62</v>
      </c>
      <c r="O147" s="41">
        <f t="shared" si="17"/>
        <v>1987.4399999999996</v>
      </c>
    </row>
    <row r="148" spans="1:17">
      <c r="A148" s="89" t="s">
        <v>272</v>
      </c>
      <c r="B148" s="216">
        <v>456.21100000000001</v>
      </c>
      <c r="C148" s="44">
        <f>'Blountstown Network'!B52</f>
        <v>14310</v>
      </c>
      <c r="D148" s="44">
        <f>'Blountstown Network'!C52</f>
        <v>14310</v>
      </c>
      <c r="E148" s="44">
        <f>'Blountstown Network'!D52</f>
        <v>14310</v>
      </c>
      <c r="F148" s="44">
        <f>'Blountstown Network'!E52</f>
        <v>14310</v>
      </c>
      <c r="G148" s="44">
        <f>'Blountstown Network'!F52</f>
        <v>14310</v>
      </c>
      <c r="H148" s="44">
        <f>'Blountstown Network'!G52</f>
        <v>14310</v>
      </c>
      <c r="I148" s="44">
        <f>'Blountstown Network'!H52</f>
        <v>14310</v>
      </c>
      <c r="J148" s="44">
        <f>'Blountstown Network'!I52</f>
        <v>14310</v>
      </c>
      <c r="K148" s="44">
        <f>'Blountstown Network'!J52</f>
        <v>14310</v>
      </c>
      <c r="L148" s="44">
        <f>'Blountstown Network'!K52</f>
        <v>14310</v>
      </c>
      <c r="M148" s="44">
        <f>'Blountstown Network'!L52</f>
        <v>14310</v>
      </c>
      <c r="N148" s="44">
        <f>'Blountstown Network'!M52</f>
        <v>14310</v>
      </c>
      <c r="O148" s="41">
        <f t="shared" ref="O148:O154" si="18">SUM(C148:N148)</f>
        <v>171720</v>
      </c>
    </row>
    <row r="149" spans="1:17">
      <c r="A149" s="89" t="s">
        <v>273</v>
      </c>
      <c r="B149" s="216">
        <v>456.221</v>
      </c>
      <c r="C149" s="44">
        <f>'Blountstown Network'!B59</f>
        <v>114.66</v>
      </c>
      <c r="D149" s="44">
        <f>'Blountstown Network'!C59</f>
        <v>114.66</v>
      </c>
      <c r="E149" s="44">
        <f>'Blountstown Network'!D59</f>
        <v>114.66</v>
      </c>
      <c r="F149" s="44">
        <f>'Blountstown Network'!E59</f>
        <v>114.66</v>
      </c>
      <c r="G149" s="44">
        <f>'Blountstown Network'!F59</f>
        <v>114.66</v>
      </c>
      <c r="H149" s="44">
        <f>'Blountstown Network'!G59</f>
        <v>114.66</v>
      </c>
      <c r="I149" s="44">
        <f>'Blountstown Network'!H59</f>
        <v>114.66</v>
      </c>
      <c r="J149" s="44">
        <f>'Blountstown Network'!I59</f>
        <v>114.66</v>
      </c>
      <c r="K149" s="44">
        <f>'Blountstown Network'!J59</f>
        <v>114.66</v>
      </c>
      <c r="L149" s="44">
        <f>'Blountstown Network'!K59</f>
        <v>114.66</v>
      </c>
      <c r="M149" s="44">
        <f>'Blountstown Network'!L59</f>
        <v>114.66</v>
      </c>
      <c r="N149" s="44">
        <f>'Blountstown Network'!M59</f>
        <v>114.66</v>
      </c>
      <c r="O149" s="41">
        <f t="shared" si="18"/>
        <v>1375.92</v>
      </c>
    </row>
    <row r="150" spans="1:17">
      <c r="A150" s="89" t="s">
        <v>300</v>
      </c>
      <c r="B150" s="216">
        <v>456.21100000000001</v>
      </c>
      <c r="C150" s="44">
        <f>'Winter Park Network'!B45</f>
        <v>95400</v>
      </c>
      <c r="D150" s="44">
        <f>'Winter Park Network'!C45</f>
        <v>95400</v>
      </c>
      <c r="E150" s="44">
        <f>'Winter Park Network'!D45</f>
        <v>95400</v>
      </c>
      <c r="F150" s="44">
        <f>'Winter Park Network'!E45</f>
        <v>95400</v>
      </c>
      <c r="G150" s="44">
        <f>'Winter Park Network'!F45</f>
        <v>95400</v>
      </c>
      <c r="H150" s="44">
        <f>'Winter Park Network'!G45</f>
        <v>95400</v>
      </c>
      <c r="I150" s="44">
        <f>'Winter Park Network'!H45</f>
        <v>95400</v>
      </c>
      <c r="J150" s="44">
        <f>'Winter Park Network'!I45</f>
        <v>95400</v>
      </c>
      <c r="K150" s="44">
        <f>'Winter Park Network'!J45</f>
        <v>95400</v>
      </c>
      <c r="L150" s="44">
        <f>'Winter Park Network'!K45</f>
        <v>95400</v>
      </c>
      <c r="M150" s="44">
        <f>'Winter Park Network'!L45</f>
        <v>95400</v>
      </c>
      <c r="N150" s="44">
        <f>'Winter Park Network'!M45</f>
        <v>95400</v>
      </c>
      <c r="O150" s="41">
        <f t="shared" si="18"/>
        <v>1144800</v>
      </c>
    </row>
    <row r="151" spans="1:17">
      <c r="A151" s="89" t="s">
        <v>431</v>
      </c>
      <c r="B151" s="216">
        <v>456.221</v>
      </c>
      <c r="C151" s="44">
        <f>'Winter Park Network'!B52</f>
        <v>764.4</v>
      </c>
      <c r="D151" s="44">
        <f>'Winter Park Network'!C52</f>
        <v>764.4</v>
      </c>
      <c r="E151" s="44">
        <f>'Winter Park Network'!D52</f>
        <v>764.4</v>
      </c>
      <c r="F151" s="44">
        <f>'Winter Park Network'!E52</f>
        <v>764.4</v>
      </c>
      <c r="G151" s="44">
        <f>'Winter Park Network'!F52</f>
        <v>764.4</v>
      </c>
      <c r="H151" s="44">
        <f>'Winter Park Network'!G52</f>
        <v>764.4</v>
      </c>
      <c r="I151" s="44">
        <f>'Winter Park Network'!H52</f>
        <v>764.4</v>
      </c>
      <c r="J151" s="44">
        <f>'Winter Park Network'!I52</f>
        <v>764.4</v>
      </c>
      <c r="K151" s="44">
        <f>'Winter Park Network'!J52</f>
        <v>764.4</v>
      </c>
      <c r="L151" s="44">
        <f>'Winter Park Network'!K52</f>
        <v>764.4</v>
      </c>
      <c r="M151" s="44">
        <f>'Winter Park Network'!L52</f>
        <v>764.4</v>
      </c>
      <c r="N151" s="44">
        <f>'Winter Park Network'!M52</f>
        <v>764.4</v>
      </c>
      <c r="O151" s="41">
        <f t="shared" si="18"/>
        <v>9172.7999999999975</v>
      </c>
    </row>
    <row r="152" spans="1:17">
      <c r="A152" s="89" t="s">
        <v>321</v>
      </c>
      <c r="B152" s="216">
        <v>456.21100000000001</v>
      </c>
      <c r="C152" s="44">
        <f>'New Smyrna Network'!B59</f>
        <v>31800</v>
      </c>
      <c r="D152" s="44">
        <f>'New Smyrna Network'!C59</f>
        <v>63600</v>
      </c>
      <c r="E152" s="44">
        <f>'New Smyrna Network'!D59</f>
        <v>63600</v>
      </c>
      <c r="F152" s="44">
        <f>'New Smyrna Network'!E59</f>
        <v>39750</v>
      </c>
      <c r="G152" s="44">
        <f>'New Smyrna Network'!F59</f>
        <v>31800</v>
      </c>
      <c r="H152" s="44">
        <f>'New Smyrna Network'!G59</f>
        <v>47700</v>
      </c>
      <c r="I152" s="44">
        <f>'New Smyrna Network'!H59</f>
        <v>63600</v>
      </c>
      <c r="J152" s="44">
        <f>'New Smyrna Network'!I59</f>
        <v>71550</v>
      </c>
      <c r="K152" s="44">
        <f>'New Smyrna Network'!J59</f>
        <v>71550</v>
      </c>
      <c r="L152" s="44">
        <f>'New Smyrna Network'!K59</f>
        <v>55650</v>
      </c>
      <c r="M152" s="44">
        <f>'New Smyrna Network'!L59</f>
        <v>39750</v>
      </c>
      <c r="N152" s="44">
        <f>'New Smyrna Network'!M59</f>
        <v>31800</v>
      </c>
      <c r="O152" s="41">
        <f t="shared" si="18"/>
        <v>612150</v>
      </c>
    </row>
    <row r="153" spans="1:17">
      <c r="A153" s="89" t="s">
        <v>322</v>
      </c>
      <c r="B153" s="216">
        <v>456.221</v>
      </c>
      <c r="C153" s="44">
        <f>'New Smyrna Network'!B66</f>
        <v>254.79999999999998</v>
      </c>
      <c r="D153" s="44">
        <f>'New Smyrna Network'!C66</f>
        <v>509.59999999999997</v>
      </c>
      <c r="E153" s="44">
        <f>'New Smyrna Network'!D66</f>
        <v>509.59999999999997</v>
      </c>
      <c r="F153" s="44">
        <f>'New Smyrna Network'!E66</f>
        <v>318.5</v>
      </c>
      <c r="G153" s="44">
        <f>'New Smyrna Network'!F66</f>
        <v>254.79999999999998</v>
      </c>
      <c r="H153" s="44">
        <f>'New Smyrna Network'!G66</f>
        <v>382.2</v>
      </c>
      <c r="I153" s="44">
        <f>'New Smyrna Network'!H66</f>
        <v>509.59999999999997</v>
      </c>
      <c r="J153" s="44">
        <f>'New Smyrna Network'!I66</f>
        <v>573.29999999999995</v>
      </c>
      <c r="K153" s="44">
        <f>'New Smyrna Network'!J66</f>
        <v>573.29999999999995</v>
      </c>
      <c r="L153" s="44">
        <f>'New Smyrna Network'!K66</f>
        <v>445.9</v>
      </c>
      <c r="M153" s="44">
        <f>'New Smyrna Network'!L66</f>
        <v>318.5</v>
      </c>
      <c r="N153" s="44">
        <f>'New Smyrna Network'!M66</f>
        <v>254.79999999999998</v>
      </c>
      <c r="O153" s="41">
        <f t="shared" si="18"/>
        <v>4904.8999999999996</v>
      </c>
    </row>
    <row r="154" spans="1:17">
      <c r="A154" s="89" t="s">
        <v>423</v>
      </c>
      <c r="B154" s="216">
        <v>456.22199999999998</v>
      </c>
      <c r="C154" s="44">
        <f>'New Smyrna Network'!B73</f>
        <v>2016</v>
      </c>
      <c r="D154" s="44">
        <f>'New Smyrna Network'!C73</f>
        <v>4032</v>
      </c>
      <c r="E154" s="44">
        <f>'New Smyrna Network'!D73</f>
        <v>4032</v>
      </c>
      <c r="F154" s="44">
        <f>'New Smyrna Network'!E73</f>
        <v>2520</v>
      </c>
      <c r="G154" s="44">
        <f>'New Smyrna Network'!F73</f>
        <v>2016</v>
      </c>
      <c r="H154" s="44">
        <f>'New Smyrna Network'!G73</f>
        <v>3024</v>
      </c>
      <c r="I154" s="44">
        <f>'New Smyrna Network'!H73</f>
        <v>4032</v>
      </c>
      <c r="J154" s="44">
        <f>'New Smyrna Network'!I73</f>
        <v>4536</v>
      </c>
      <c r="K154" s="44">
        <f>'New Smyrna Network'!J73</f>
        <v>4536</v>
      </c>
      <c r="L154" s="44">
        <f>'New Smyrna Network'!K73</f>
        <v>3528</v>
      </c>
      <c r="M154" s="44">
        <f>'New Smyrna Network'!L73</f>
        <v>2520</v>
      </c>
      <c r="N154" s="44">
        <f>'New Smyrna Network'!M73</f>
        <v>2016</v>
      </c>
      <c r="O154" s="41">
        <f t="shared" si="18"/>
        <v>38808</v>
      </c>
    </row>
    <row r="155" spans="1:17">
      <c r="A155" s="89" t="s">
        <v>13</v>
      </c>
      <c r="B155" s="216">
        <v>456.21300000000002</v>
      </c>
      <c r="C155" s="43">
        <v>0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f t="shared" si="17"/>
        <v>0</v>
      </c>
    </row>
    <row r="156" spans="1:17">
      <c r="A156" s="454" t="s">
        <v>375</v>
      </c>
      <c r="B156" s="216">
        <v>456.21100000000001</v>
      </c>
      <c r="C156" s="44">
        <f>'Georgia Trans Network'!B58</f>
        <v>29149.47</v>
      </c>
      <c r="D156" s="44">
        <f>'Georgia Trans Network'!C58</f>
        <v>29149.47</v>
      </c>
      <c r="E156" s="44">
        <f>'Georgia Trans Network'!D58</f>
        <v>29149.47</v>
      </c>
      <c r="F156" s="44">
        <f>'Georgia Trans Network'!E58</f>
        <v>29149.47</v>
      </c>
      <c r="G156" s="44">
        <f>'Georgia Trans Network'!F58</f>
        <v>29149.47</v>
      </c>
      <c r="H156" s="44">
        <f>'Georgia Trans Network'!G58</f>
        <v>25020.240000000002</v>
      </c>
      <c r="I156" s="44">
        <f>'Georgia Trans Network'!H58</f>
        <v>25020.240000000002</v>
      </c>
      <c r="J156" s="44">
        <f>'Georgia Trans Network'!I58</f>
        <v>25020.240000000002</v>
      </c>
      <c r="K156" s="44">
        <f>'Georgia Trans Network'!J58</f>
        <v>25020.240000000002</v>
      </c>
      <c r="L156" s="44">
        <f>'Georgia Trans Network'!K58</f>
        <v>29877.690000000002</v>
      </c>
      <c r="M156" s="44">
        <f>'Georgia Trans Network'!L58</f>
        <v>29877.690000000002</v>
      </c>
      <c r="N156" s="44">
        <f>'Georgia Trans Network'!M58</f>
        <v>29877.690000000002</v>
      </c>
      <c r="O156" s="41">
        <f t="shared" si="17"/>
        <v>335461.38</v>
      </c>
    </row>
    <row r="157" spans="1:17">
      <c r="A157" s="454" t="s">
        <v>376</v>
      </c>
      <c r="B157" s="216">
        <v>456.221</v>
      </c>
      <c r="C157" s="44">
        <f>'Georgia Trans Network'!B65</f>
        <v>233.56242</v>
      </c>
      <c r="D157" s="44">
        <f>'Georgia Trans Network'!C65</f>
        <v>233.56242</v>
      </c>
      <c r="E157" s="44">
        <f>'Georgia Trans Network'!D65</f>
        <v>233.56242</v>
      </c>
      <c r="F157" s="44">
        <f>'Georgia Trans Network'!E65</f>
        <v>233.56242</v>
      </c>
      <c r="G157" s="44">
        <f>'Georgia Trans Network'!F65</f>
        <v>233.56242</v>
      </c>
      <c r="H157" s="44">
        <f>'Georgia Trans Network'!G65</f>
        <v>200.47664</v>
      </c>
      <c r="I157" s="44">
        <f>'Georgia Trans Network'!H65</f>
        <v>200.47664</v>
      </c>
      <c r="J157" s="44">
        <f>'Georgia Trans Network'!I65</f>
        <v>200.47664</v>
      </c>
      <c r="K157" s="44">
        <f>'Georgia Trans Network'!J65</f>
        <v>200.47664</v>
      </c>
      <c r="L157" s="44">
        <f>'Georgia Trans Network'!K65</f>
        <v>239.39733999999999</v>
      </c>
      <c r="M157" s="44">
        <f>'Georgia Trans Network'!L65</f>
        <v>239.39733999999999</v>
      </c>
      <c r="N157" s="44">
        <f>'Georgia Trans Network'!M65</f>
        <v>239.39733999999999</v>
      </c>
      <c r="O157" s="41">
        <f t="shared" si="17"/>
        <v>2687.9106800000004</v>
      </c>
    </row>
    <row r="158" spans="1:17">
      <c r="A158" s="454" t="s">
        <v>420</v>
      </c>
      <c r="B158" s="216">
        <v>456.22199999999998</v>
      </c>
      <c r="C158" s="44">
        <f>'Georgia Trans Network'!B72</f>
        <v>1847.9664</v>
      </c>
      <c r="D158" s="44">
        <f>'Georgia Trans Network'!C72</f>
        <v>1847.9664</v>
      </c>
      <c r="E158" s="44">
        <f>'Georgia Trans Network'!D72</f>
        <v>1847.9664</v>
      </c>
      <c r="F158" s="44">
        <f>'Georgia Trans Network'!E72</f>
        <v>1847.9664</v>
      </c>
      <c r="G158" s="44">
        <f>'Georgia Trans Network'!F72</f>
        <v>1847.9664</v>
      </c>
      <c r="H158" s="44">
        <f>'Georgia Trans Network'!G72</f>
        <v>1586.1887999999999</v>
      </c>
      <c r="I158" s="44">
        <f>'Georgia Trans Network'!H72</f>
        <v>1586.1887999999999</v>
      </c>
      <c r="J158" s="44">
        <f>'Georgia Trans Network'!I72</f>
        <v>1586.1887999999999</v>
      </c>
      <c r="K158" s="44">
        <f>'Georgia Trans Network'!J72</f>
        <v>1586.1887999999999</v>
      </c>
      <c r="L158" s="44">
        <f>'Georgia Trans Network'!K72</f>
        <v>1894.1328000000001</v>
      </c>
      <c r="M158" s="44">
        <f>'Georgia Trans Network'!L72</f>
        <v>1894.1328000000001</v>
      </c>
      <c r="N158" s="44">
        <f>'Georgia Trans Network'!M72</f>
        <v>1894.1328000000001</v>
      </c>
      <c r="O158" s="41">
        <f t="shared" si="17"/>
        <v>21266.9856</v>
      </c>
    </row>
    <row r="159" spans="1:17">
      <c r="A159" s="89" t="s">
        <v>325</v>
      </c>
      <c r="B159" s="216">
        <v>456.21100000000001</v>
      </c>
      <c r="C159" s="43">
        <f>'Lake Worth Network Transmission'!B57</f>
        <v>111620.09096370422</v>
      </c>
      <c r="D159" s="43">
        <f>'Lake Worth Network Transmission'!C57</f>
        <v>109000.16644350573</v>
      </c>
      <c r="E159" s="43">
        <f>'Lake Worth Network Transmission'!D57</f>
        <v>113879.9746123753</v>
      </c>
      <c r="F159" s="43">
        <f>'Lake Worth Network Transmission'!E57</f>
        <v>119168.05286252589</v>
      </c>
      <c r="G159" s="43">
        <f>'Lake Worth Network Transmission'!F57</f>
        <v>133331.72167484864</v>
      </c>
      <c r="H159" s="43">
        <f>'Lake Worth Network Transmission'!G57</f>
        <v>140045.47700785709</v>
      </c>
      <c r="I159" s="43">
        <f>'Lake Worth Network Transmission'!H57</f>
        <v>145629.29051652999</v>
      </c>
      <c r="J159" s="43">
        <f>'Lake Worth Network Transmission'!I57</f>
        <v>146479.57348559448</v>
      </c>
      <c r="K159" s="43">
        <f>'Lake Worth Network Transmission'!J57</f>
        <v>141403.66847771002</v>
      </c>
      <c r="L159" s="43">
        <f>'Lake Worth Network Transmission'!K57</f>
        <v>132741.84115780395</v>
      </c>
      <c r="M159" s="43">
        <f>'Lake Worth Network Transmission'!L57</f>
        <v>118382.07550646634</v>
      </c>
      <c r="N159" s="43">
        <f>'Lake Worth Network Transmission'!M57</f>
        <v>112389.99191651247</v>
      </c>
      <c r="O159" s="43">
        <f t="shared" si="17"/>
        <v>1524071.9246254342</v>
      </c>
      <c r="Q159" s="11"/>
    </row>
    <row r="160" spans="1:17">
      <c r="A160" s="89" t="s">
        <v>326</v>
      </c>
      <c r="B160" s="216">
        <v>456.221</v>
      </c>
      <c r="C160" s="43">
        <f>'Lake Worth Network Transmission'!B64</f>
        <v>894.36475401106395</v>
      </c>
      <c r="D160" s="43">
        <f>'Lake Worth Network Transmission'!C64</f>
        <v>873.37240282406469</v>
      </c>
      <c r="E160" s="43">
        <f>'Lake Worth Network Transmission'!D64</f>
        <v>912.47224940984984</v>
      </c>
      <c r="F160" s="43">
        <f>'Lake Worth Network Transmission'!E64</f>
        <v>954.84339211860356</v>
      </c>
      <c r="G160" s="43">
        <f>'Lake Worth Network Transmission'!F64</f>
        <v>1068.3309019733153</v>
      </c>
      <c r="H160" s="43">
        <f>'Lake Worth Network Transmission'!G64</f>
        <v>1122.1253943899994</v>
      </c>
      <c r="I160" s="43">
        <f>'Lake Worth Network Transmission'!H64</f>
        <v>1166.8661391072906</v>
      </c>
      <c r="J160" s="43">
        <f>'Lake Worth Network Transmission'!I64</f>
        <v>1173.679098243065</v>
      </c>
      <c r="K160" s="43">
        <f>'Lake Worth Network Transmission'!J64</f>
        <v>1133.0080103182549</v>
      </c>
      <c r="L160" s="43">
        <f>'Lake Worth Network Transmission'!K64</f>
        <v>1063.6044379562404</v>
      </c>
      <c r="M160" s="43">
        <f>'Lake Worth Network Transmission'!L64</f>
        <v>948.54568676250381</v>
      </c>
      <c r="N160" s="43">
        <f>'Lake Worth Network Transmission'!M64</f>
        <v>900.53364592224443</v>
      </c>
      <c r="O160" s="43">
        <f t="shared" si="17"/>
        <v>12211.746113036497</v>
      </c>
      <c r="Q160" s="11"/>
    </row>
    <row r="161" spans="1:17">
      <c r="A161" s="89" t="s">
        <v>422</v>
      </c>
      <c r="B161" s="216">
        <v>456.22199999999998</v>
      </c>
      <c r="C161" s="43">
        <f>'Lake Worth Network Transmission'!B71</f>
        <v>7076.2925592084184</v>
      </c>
      <c r="D161" s="43">
        <f>'Lake Worth Network Transmission'!C71</f>
        <v>6910.1992311354579</v>
      </c>
      <c r="E161" s="43">
        <f>'Lake Worth Network Transmission'!D71</f>
        <v>7219.5606546713398</v>
      </c>
      <c r="F161" s="43">
        <f>'Lake Worth Network Transmission'!E71</f>
        <v>7554.804860718622</v>
      </c>
      <c r="G161" s="43">
        <f>'Lake Worth Network Transmission'!F71</f>
        <v>8452.7280156130455</v>
      </c>
      <c r="H161" s="43">
        <f>'Lake Worth Network Transmission'!G71</f>
        <v>8878.3547687999962</v>
      </c>
      <c r="I161" s="43">
        <f>'Lake Worth Network Transmission'!H71</f>
        <v>9232.3474742554863</v>
      </c>
      <c r="J161" s="43">
        <f>'Lake Worth Network Transmission'!I71</f>
        <v>9286.2522058791965</v>
      </c>
      <c r="K161" s="43">
        <f>'Lake Worth Network Transmission'!J71</f>
        <v>8964.4589827378422</v>
      </c>
      <c r="L161" s="43">
        <f>'Lake Worth Network Transmission'!K71</f>
        <v>8415.3318167966281</v>
      </c>
      <c r="M161" s="43">
        <f>'Lake Worth Network Transmission'!L71</f>
        <v>7504.9768622967331</v>
      </c>
      <c r="N161" s="43">
        <f>'Lake Worth Network Transmission'!M71</f>
        <v>7125.1013743298463</v>
      </c>
      <c r="O161" s="43">
        <f t="shared" si="17"/>
        <v>96620.408806442603</v>
      </c>
      <c r="Q161" s="11"/>
    </row>
    <row r="162" spans="1:17">
      <c r="A162" s="454" t="s">
        <v>436</v>
      </c>
      <c r="B162" s="216">
        <v>456.21100000000001</v>
      </c>
      <c r="C162" s="43">
        <f>'Homestead Network Transmission'!B58</f>
        <v>28620</v>
      </c>
      <c r="D162" s="43">
        <f>'Homestead Network Transmission'!C58</f>
        <v>9540</v>
      </c>
      <c r="E162" s="43">
        <f>'Homestead Network Transmission'!D58</f>
        <v>0</v>
      </c>
      <c r="F162" s="43">
        <f>'Homestead Network Transmission'!E58</f>
        <v>4770</v>
      </c>
      <c r="G162" s="43">
        <f>'Homestead Network Transmission'!F58</f>
        <v>19080</v>
      </c>
      <c r="H162" s="43">
        <f>'Homestead Network Transmission'!G58</f>
        <v>31800</v>
      </c>
      <c r="I162" s="43">
        <f>'Homestead Network Transmission'!H58</f>
        <v>39750</v>
      </c>
      <c r="J162" s="43">
        <f>'Homestead Network Transmission'!I58</f>
        <v>28620</v>
      </c>
      <c r="K162" s="43">
        <f>'Homestead Network Transmission'!J58</f>
        <v>33390</v>
      </c>
      <c r="L162" s="43">
        <f>'Homestead Network Transmission'!K58</f>
        <v>12720</v>
      </c>
      <c r="M162" s="43">
        <f>'Homestead Network Transmission'!L58</f>
        <v>0</v>
      </c>
      <c r="N162" s="43">
        <f>'Homestead Network Transmission'!M58</f>
        <v>0</v>
      </c>
      <c r="O162" s="43">
        <f t="shared" si="17"/>
        <v>208290</v>
      </c>
      <c r="Q162" s="11"/>
    </row>
    <row r="163" spans="1:17">
      <c r="A163" s="454" t="s">
        <v>437</v>
      </c>
      <c r="B163" s="216">
        <v>456.221</v>
      </c>
      <c r="C163" s="43">
        <f>'Homestead Network Transmission'!B65</f>
        <v>229.32</v>
      </c>
      <c r="D163" s="43">
        <f>'Homestead Network Transmission'!C65</f>
        <v>76.44</v>
      </c>
      <c r="E163" s="43">
        <f>'Homestead Network Transmission'!D65</f>
        <v>0</v>
      </c>
      <c r="F163" s="43">
        <f>'Homestead Network Transmission'!E65</f>
        <v>38.22</v>
      </c>
      <c r="G163" s="43">
        <f>'Homestead Network Transmission'!F65</f>
        <v>152.88</v>
      </c>
      <c r="H163" s="43">
        <f>'Homestead Network Transmission'!G65</f>
        <v>254.79999999999998</v>
      </c>
      <c r="I163" s="43">
        <f>'Homestead Network Transmission'!H65</f>
        <v>318.5</v>
      </c>
      <c r="J163" s="43">
        <f>'Homestead Network Transmission'!I65</f>
        <v>229.32</v>
      </c>
      <c r="K163" s="43">
        <f>'Homestead Network Transmission'!J65</f>
        <v>267.53999999999996</v>
      </c>
      <c r="L163" s="43">
        <f>'Homestead Network Transmission'!K65</f>
        <v>101.92</v>
      </c>
      <c r="M163" s="43">
        <f>'Homestead Network Transmission'!L65</f>
        <v>0</v>
      </c>
      <c r="N163" s="43">
        <f>'Homestead Network Transmission'!M65</f>
        <v>0</v>
      </c>
      <c r="O163" s="43">
        <f t="shared" si="17"/>
        <v>1668.9399999999998</v>
      </c>
      <c r="Q163" s="11"/>
    </row>
    <row r="164" spans="1:17">
      <c r="A164" s="454" t="s">
        <v>438</v>
      </c>
      <c r="B164" s="216">
        <v>456.22199999999998</v>
      </c>
      <c r="C164" s="43">
        <f>'Homestead Network Transmission'!B72</f>
        <v>1814.4</v>
      </c>
      <c r="D164" s="43">
        <f>'Homestead Network Transmission'!C72</f>
        <v>604.79999999999995</v>
      </c>
      <c r="E164" s="43">
        <f>'Homestead Network Transmission'!D72</f>
        <v>0</v>
      </c>
      <c r="F164" s="43">
        <f>'Homestead Network Transmission'!E72</f>
        <v>302.39999999999998</v>
      </c>
      <c r="G164" s="43">
        <f>'Homestead Network Transmission'!F72</f>
        <v>1209.5999999999999</v>
      </c>
      <c r="H164" s="43">
        <f>'Homestead Network Transmission'!G72</f>
        <v>2016</v>
      </c>
      <c r="I164" s="43">
        <f>'Homestead Network Transmission'!H72</f>
        <v>2520</v>
      </c>
      <c r="J164" s="43">
        <f>'Homestead Network Transmission'!I72</f>
        <v>1814.4</v>
      </c>
      <c r="K164" s="43">
        <f>'Homestead Network Transmission'!J72</f>
        <v>2116.8000000000002</v>
      </c>
      <c r="L164" s="43">
        <f>'Homestead Network Transmission'!K72</f>
        <v>806.4</v>
      </c>
      <c r="M164" s="43">
        <f>'Homestead Network Transmission'!L72</f>
        <v>0</v>
      </c>
      <c r="N164" s="43">
        <f>'Homestead Network Transmission'!M72</f>
        <v>0</v>
      </c>
      <c r="O164" s="43">
        <f t="shared" si="17"/>
        <v>13204.800000000001</v>
      </c>
      <c r="Q164" s="11"/>
    </row>
    <row r="165" spans="1:17">
      <c r="A165" s="454" t="s">
        <v>448</v>
      </c>
      <c r="B165" s="216">
        <v>456.21100000000001</v>
      </c>
      <c r="C165" s="43">
        <f>'Quincy Transmission'!B45</f>
        <v>30210</v>
      </c>
      <c r="D165" s="43">
        <f>'Quincy Transmission'!C45</f>
        <v>37801.152900000001</v>
      </c>
      <c r="E165" s="43">
        <f>'Quincy Transmission'!D45</f>
        <v>34605.873</v>
      </c>
      <c r="F165" s="43">
        <f>'Quincy Transmission'!E45</f>
        <v>31031.950500000003</v>
      </c>
      <c r="G165" s="43">
        <f>'Quincy Transmission'!F45</f>
        <v>36658.785600000003</v>
      </c>
      <c r="H165" s="43">
        <f>'Quincy Transmission'!G45</f>
        <v>44015.270400000001</v>
      </c>
      <c r="I165" s="43">
        <f>'Quincy Transmission'!H45</f>
        <v>43510.413600000007</v>
      </c>
      <c r="J165" s="43">
        <f>'Quincy Transmission'!I45</f>
        <v>30210</v>
      </c>
      <c r="K165" s="43">
        <f>'Quincy Transmission'!J45</f>
        <v>40197.934800000003</v>
      </c>
      <c r="L165" s="43">
        <f>'Quincy Transmission'!K45</f>
        <v>35417.25</v>
      </c>
      <c r="M165" s="43">
        <f>'Quincy Transmission'!L45</f>
        <v>40755.595500000003</v>
      </c>
      <c r="N165" s="43">
        <f>'Quincy Transmission'!M45</f>
        <v>36624.012300000002</v>
      </c>
      <c r="O165" s="43">
        <f t="shared" si="17"/>
        <v>441038.23859999998</v>
      </c>
      <c r="Q165" s="11"/>
    </row>
    <row r="166" spans="1:17">
      <c r="A166" s="454" t="s">
        <v>449</v>
      </c>
      <c r="B166" s="216">
        <v>456.221</v>
      </c>
      <c r="C166" s="43">
        <f>'Quincy Transmission'!B52</f>
        <v>242.06</v>
      </c>
      <c r="D166" s="43">
        <f>'Quincy Transmission'!C52</f>
        <v>302.88470940000002</v>
      </c>
      <c r="E166" s="43">
        <f>'Quincy Transmission'!D52</f>
        <v>277.28227800000002</v>
      </c>
      <c r="F166" s="43">
        <f>'Quincy Transmission'!E52</f>
        <v>248.64594299999999</v>
      </c>
      <c r="G166" s="43">
        <f>'Quincy Transmission'!F52</f>
        <v>293.73140159999997</v>
      </c>
      <c r="H166" s="43">
        <f>'Quincy Transmission'!G52</f>
        <v>352.67581439999998</v>
      </c>
      <c r="I166" s="43">
        <f>'Quincy Transmission'!H52</f>
        <v>348.63060960000001</v>
      </c>
      <c r="J166" s="43">
        <f>'Quincy Transmission'!I52</f>
        <v>242.06</v>
      </c>
      <c r="K166" s="43">
        <f>'Quincy Transmission'!J52</f>
        <v>322.08911280000001</v>
      </c>
      <c r="L166" s="43">
        <f>'Quincy Transmission'!K52</f>
        <v>283.7835</v>
      </c>
      <c r="M166" s="43">
        <f>'Quincy Transmission'!L52</f>
        <v>326.557413</v>
      </c>
      <c r="N166" s="43">
        <f>'Quincy Transmission'!M52</f>
        <v>293.45277779999998</v>
      </c>
      <c r="O166" s="43">
        <f t="shared" si="17"/>
        <v>3533.8535595999997</v>
      </c>
      <c r="Q166" s="11"/>
    </row>
    <row r="167" spans="1:17">
      <c r="A167" s="89" t="s">
        <v>14</v>
      </c>
      <c r="B167" s="216">
        <v>456.21100000000001</v>
      </c>
      <c r="C167" s="40">
        <f>'TSAS Demand Revenues (7)'!B206</f>
        <v>728309.04</v>
      </c>
      <c r="D167" s="40">
        <f>'TSAS Demand Revenues (7)'!C206</f>
        <v>728309.04</v>
      </c>
      <c r="E167" s="40">
        <f>'TSAS Demand Revenues (7)'!D206</f>
        <v>473909.04000000004</v>
      </c>
      <c r="F167" s="40">
        <f>'TSAS Demand Revenues (7)'!E206</f>
        <v>473909.04000000004</v>
      </c>
      <c r="G167" s="40">
        <f>'TSAS Demand Revenues (7)'!F206</f>
        <v>473909.04000000004</v>
      </c>
      <c r="H167" s="40">
        <f>'TSAS Demand Revenues (7)'!G206</f>
        <v>473909.04000000004</v>
      </c>
      <c r="I167" s="40">
        <f>'TSAS Demand Revenues (7)'!H206</f>
        <v>473909.04000000004</v>
      </c>
      <c r="J167" s="40">
        <f>'TSAS Demand Revenues (7)'!I206</f>
        <v>473909.04000000004</v>
      </c>
      <c r="K167" s="40">
        <f>'TSAS Demand Revenues (7)'!J206</f>
        <v>473909.04000000004</v>
      </c>
      <c r="L167" s="40">
        <f>'TSAS Demand Revenues (7)'!K206</f>
        <v>473909.04000000004</v>
      </c>
      <c r="M167" s="40">
        <f>'TSAS Demand Revenues (7)'!L206</f>
        <v>472319.04000000004</v>
      </c>
      <c r="N167" s="40">
        <f>'TSAS Demand Revenues (7)'!M206</f>
        <v>472319.04000000004</v>
      </c>
      <c r="O167" s="43">
        <f t="shared" si="17"/>
        <v>6192528.4800000004</v>
      </c>
    </row>
    <row r="168" spans="1:17">
      <c r="A168" s="89" t="s">
        <v>146</v>
      </c>
      <c r="B168" s="216">
        <v>456.221</v>
      </c>
      <c r="C168" s="40">
        <f>'TSAS Scheduling Revenue (1)'!B208</f>
        <v>5835.6334399999996</v>
      </c>
      <c r="D168" s="40">
        <f>'TSAS Scheduling Revenue (1)'!C208</f>
        <v>5835.6334399999996</v>
      </c>
      <c r="E168" s="40">
        <f>'TSAS Scheduling Revenue (1)'!D208</f>
        <v>3797.23344</v>
      </c>
      <c r="F168" s="40">
        <f>'TSAS Scheduling Revenue (1)'!E208</f>
        <v>3797.23344</v>
      </c>
      <c r="G168" s="40">
        <f>'TSAS Scheduling Revenue (1)'!F208</f>
        <v>3797.23344</v>
      </c>
      <c r="H168" s="40">
        <f>'TSAS Scheduling Revenue (1)'!G208</f>
        <v>3797.23344</v>
      </c>
      <c r="I168" s="40">
        <f>'TSAS Scheduling Revenue (1)'!H208</f>
        <v>3797.23344</v>
      </c>
      <c r="J168" s="40">
        <f>'TSAS Scheduling Revenue (1)'!I208</f>
        <v>3797.23344</v>
      </c>
      <c r="K168" s="40">
        <f>'TSAS Scheduling Revenue (1)'!J208</f>
        <v>3797.23344</v>
      </c>
      <c r="L168" s="40">
        <f>'TSAS Scheduling Revenue (1)'!K208</f>
        <v>3797.23344</v>
      </c>
      <c r="M168" s="40">
        <f>'TSAS Scheduling Revenue (1)'!L208</f>
        <v>3784.4934400000002</v>
      </c>
      <c r="N168" s="40">
        <f>'TSAS Scheduling Revenue (1)'!M208</f>
        <v>3784.4934400000002</v>
      </c>
      <c r="O168" s="43">
        <f t="shared" si="17"/>
        <v>49618.121279999992</v>
      </c>
    </row>
    <row r="169" spans="1:17">
      <c r="A169" s="89" t="s">
        <v>77</v>
      </c>
      <c r="B169" s="216">
        <v>456.22199999999998</v>
      </c>
      <c r="C169" s="40">
        <f>'TSAS Reactive Revenues (2)'!B208</f>
        <v>45030.720000000001</v>
      </c>
      <c r="D169" s="40">
        <f>'TSAS Reactive Revenues (2)'!C208</f>
        <v>45030.720000000001</v>
      </c>
      <c r="E169" s="40">
        <f>'TSAS Reactive Revenues (2)'!D208</f>
        <v>28902.720000000001</v>
      </c>
      <c r="F169" s="40">
        <f>'TSAS Reactive Revenues (2)'!E208</f>
        <v>28902.720000000001</v>
      </c>
      <c r="G169" s="40">
        <f>'TSAS Reactive Revenues (2)'!F208</f>
        <v>28902.720000000001</v>
      </c>
      <c r="H169" s="40">
        <f>'TSAS Reactive Revenues (2)'!G208</f>
        <v>28902.720000000001</v>
      </c>
      <c r="I169" s="40">
        <f>'TSAS Reactive Revenues (2)'!H208</f>
        <v>28902.720000000001</v>
      </c>
      <c r="J169" s="40">
        <f>'TSAS Reactive Revenues (2)'!I208</f>
        <v>28902.720000000001</v>
      </c>
      <c r="K169" s="40">
        <f>'TSAS Reactive Revenues (2)'!J208</f>
        <v>28902.720000000001</v>
      </c>
      <c r="L169" s="40">
        <f>'TSAS Reactive Revenues (2)'!K208</f>
        <v>28902.720000000001</v>
      </c>
      <c r="M169" s="40">
        <f>'TSAS Reactive Revenues (2)'!L208</f>
        <v>28801.919999999998</v>
      </c>
      <c r="N169" s="40">
        <f>'TSAS Reactive Revenues (2)'!M208</f>
        <v>28801.919999999998</v>
      </c>
      <c r="O169" s="43">
        <f t="shared" si="17"/>
        <v>378887.03999999992</v>
      </c>
    </row>
    <row r="170" spans="1:17">
      <c r="A170" s="89" t="s">
        <v>124</v>
      </c>
      <c r="B170" s="216">
        <v>456.14499999999998</v>
      </c>
      <c r="C170" s="40">
        <f>Dynamic_Scheduling!B16</f>
        <v>7200</v>
      </c>
      <c r="D170" s="40">
        <f>Dynamic_Scheduling!C16</f>
        <v>7200</v>
      </c>
      <c r="E170" s="40">
        <f>Dynamic_Scheduling!D16</f>
        <v>7200</v>
      </c>
      <c r="F170" s="40">
        <f>Dynamic_Scheduling!E16</f>
        <v>7200</v>
      </c>
      <c r="G170" s="40">
        <f>Dynamic_Scheduling!F16</f>
        <v>7200</v>
      </c>
      <c r="H170" s="40">
        <f>Dynamic_Scheduling!G16</f>
        <v>7200</v>
      </c>
      <c r="I170" s="40">
        <f>Dynamic_Scheduling!H16</f>
        <v>7200</v>
      </c>
      <c r="J170" s="40">
        <f>Dynamic_Scheduling!I16</f>
        <v>7200</v>
      </c>
      <c r="K170" s="40">
        <f>Dynamic_Scheduling!J16</f>
        <v>7200</v>
      </c>
      <c r="L170" s="40">
        <f>Dynamic_Scheduling!K16</f>
        <v>7200</v>
      </c>
      <c r="M170" s="40">
        <f>Dynamic_Scheduling!L16</f>
        <v>7200</v>
      </c>
      <c r="N170" s="40">
        <f>Dynamic_Scheduling!M16</f>
        <v>7200</v>
      </c>
      <c r="O170" s="43">
        <f t="shared" si="17"/>
        <v>86400</v>
      </c>
    </row>
    <row r="171" spans="1:17">
      <c r="A171" s="89" t="s">
        <v>153</v>
      </c>
      <c r="B171" s="216">
        <v>456.21300000000002</v>
      </c>
      <c r="C171" s="40">
        <f>st_nf!D9</f>
        <v>252959.05</v>
      </c>
      <c r="D171" s="40">
        <f>st_nf!E9</f>
        <v>211139.89</v>
      </c>
      <c r="E171" s="40">
        <f>st_nf!F9</f>
        <v>230869.65</v>
      </c>
      <c r="F171" s="40">
        <f>st_nf!G9</f>
        <v>165524.70000000001</v>
      </c>
      <c r="G171" s="40">
        <f>st_nf!H9</f>
        <v>230869.65</v>
      </c>
      <c r="H171" s="40">
        <f>st_nf!I9</f>
        <v>338831.64</v>
      </c>
      <c r="I171" s="40">
        <f>st_nf!J9</f>
        <v>225520.52</v>
      </c>
      <c r="J171" s="40">
        <f>st_nf!K9</f>
        <v>328491.74</v>
      </c>
      <c r="K171" s="40">
        <f>st_nf!L9</f>
        <v>320710.51</v>
      </c>
      <c r="L171" s="40">
        <f>st_nf!M9</f>
        <v>438157.95</v>
      </c>
      <c r="M171" s="40">
        <f>st_nf!N9</f>
        <v>323720.68</v>
      </c>
      <c r="N171" s="40">
        <f>st_nf!O9</f>
        <v>226700.14</v>
      </c>
      <c r="O171" s="43">
        <f t="shared" si="17"/>
        <v>3293496.1200000006</v>
      </c>
    </row>
    <row r="172" spans="1:17">
      <c r="A172" s="89" t="s">
        <v>154</v>
      </c>
      <c r="B172" s="216">
        <v>456.22300000000001</v>
      </c>
      <c r="C172" s="217">
        <f>st_nf!D10</f>
        <v>31266.38</v>
      </c>
      <c r="D172" s="217">
        <f>st_nf!E10</f>
        <v>33737.19</v>
      </c>
      <c r="E172" s="217">
        <f>st_nf!F10</f>
        <v>33995.410000000003</v>
      </c>
      <c r="F172" s="217">
        <f>st_nf!G10</f>
        <v>34925.39</v>
      </c>
      <c r="G172" s="217">
        <f>st_nf!H10</f>
        <v>33923.370000000003</v>
      </c>
      <c r="H172" s="217">
        <f>st_nf!I10</f>
        <v>16500.57</v>
      </c>
      <c r="I172" s="217">
        <f>st_nf!J10</f>
        <v>25237.65</v>
      </c>
      <c r="J172" s="217">
        <f>st_nf!K10</f>
        <v>31769.99</v>
      </c>
      <c r="K172" s="217">
        <f>st_nf!L10</f>
        <v>41391.03</v>
      </c>
      <c r="L172" s="217">
        <f>st_nf!M10</f>
        <v>29168.31</v>
      </c>
      <c r="M172" s="217">
        <f>st_nf!N10</f>
        <v>28251.96</v>
      </c>
      <c r="N172" s="217">
        <f>st_nf!O10</f>
        <v>31973.599999999999</v>
      </c>
      <c r="O172" s="217">
        <f t="shared" si="17"/>
        <v>372140.85</v>
      </c>
    </row>
    <row r="173" spans="1:17" ht="10.8" thickBot="1">
      <c r="A173" s="89" t="s">
        <v>155</v>
      </c>
      <c r="B173" s="89"/>
      <c r="C173" s="386">
        <f t="shared" ref="C173:O173" si="19">SUM(C131:C172)</f>
        <v>4569869.4322620127</v>
      </c>
      <c r="D173" s="386">
        <f t="shared" si="19"/>
        <v>4488942.0854422729</v>
      </c>
      <c r="E173" s="386">
        <f t="shared" si="19"/>
        <v>3900721.0085823881</v>
      </c>
      <c r="F173" s="386">
        <f t="shared" si="19"/>
        <v>3738801.3911512587</v>
      </c>
      <c r="G173" s="386">
        <f t="shared" si="19"/>
        <v>4026221.7779032374</v>
      </c>
      <c r="H173" s="386">
        <f t="shared" si="19"/>
        <v>4469270.3225906203</v>
      </c>
      <c r="I173" s="386">
        <f t="shared" si="19"/>
        <v>4530544.8680304093</v>
      </c>
      <c r="J173" s="386">
        <f t="shared" si="19"/>
        <v>4642951.4396881331</v>
      </c>
      <c r="K173" s="386">
        <f t="shared" si="19"/>
        <v>4623254.1318308655</v>
      </c>
      <c r="L173" s="386">
        <f t="shared" si="19"/>
        <v>4311707.6592247877</v>
      </c>
      <c r="M173" s="386">
        <f t="shared" si="19"/>
        <v>4073175.7349632904</v>
      </c>
      <c r="N173" s="386">
        <f t="shared" si="19"/>
        <v>3789871.3833381282</v>
      </c>
      <c r="O173" s="386">
        <f t="shared" si="19"/>
        <v>51165331.235007398</v>
      </c>
    </row>
    <row r="174" spans="1:17" ht="10.8" thickTop="1">
      <c r="A174" s="89"/>
      <c r="B174" s="89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</row>
    <row r="175" spans="1:17">
      <c r="A175" s="89"/>
      <c r="B175" s="89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0"/>
    </row>
    <row r="176" spans="1:17">
      <c r="A176" s="89" t="s">
        <v>131</v>
      </c>
      <c r="B176" s="216">
        <v>456.25200000000001</v>
      </c>
      <c r="C176" s="44">
        <f>'SECI-Credit Settlement'!$B$11*(-1)</f>
        <v>-566426.91666666674</v>
      </c>
      <c r="D176" s="44">
        <f>'SECI-Credit Settlement'!$B$11*(-1)</f>
        <v>-566426.91666666674</v>
      </c>
      <c r="E176" s="44">
        <f>'SECI-Credit Settlement'!$B$11*(-1)</f>
        <v>-566426.91666666674</v>
      </c>
      <c r="F176" s="44">
        <f>'SECI-Credit Settlement'!$B$11*(-1)</f>
        <v>-566426.91666666674</v>
      </c>
      <c r="G176" s="44">
        <f>'SECI-Credit Settlement'!$B$11*(-1)</f>
        <v>-566426.91666666674</v>
      </c>
      <c r="H176" s="44">
        <f>'SECI-Credit Settlement'!$B$11*(-1)</f>
        <v>-566426.91666666674</v>
      </c>
      <c r="I176" s="44">
        <f>'SECI-Credit Settlement'!$B$11*(-1)</f>
        <v>-566426.91666666674</v>
      </c>
      <c r="J176" s="44">
        <f>'SECI-Credit Settlement'!$B$11*(-1)</f>
        <v>-566426.91666666674</v>
      </c>
      <c r="K176" s="44">
        <f>'SECI-Credit Settlement'!$B$11*(-1)</f>
        <v>-566426.91666666674</v>
      </c>
      <c r="L176" s="44">
        <f>'SECI-Credit Settlement'!$B$11*(-1)</f>
        <v>-566426.91666666674</v>
      </c>
      <c r="M176" s="44">
        <f>'SECI-Credit Settlement'!$B$11*(-1)</f>
        <v>-566426.91666666674</v>
      </c>
      <c r="N176" s="44">
        <f>'SECI-Credit Settlement'!$B$11*(-1)</f>
        <v>-566426.91666666674</v>
      </c>
      <c r="O176" s="41">
        <f>SUM(C176:N176)</f>
        <v>-6797123.0000000028</v>
      </c>
    </row>
    <row r="177" spans="1:15">
      <c r="A177" s="88"/>
      <c r="B177" s="88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</row>
    <row r="178" spans="1:15">
      <c r="A178" s="88" t="s">
        <v>181</v>
      </c>
      <c r="B178" s="88"/>
      <c r="C178" s="40">
        <f>C173+C176</f>
        <v>4003442.5155953458</v>
      </c>
      <c r="D178" s="40">
        <f t="shared" ref="D178:O178" si="20">D173+D176</f>
        <v>3922515.168775606</v>
      </c>
      <c r="E178" s="40">
        <f t="shared" si="20"/>
        <v>3334294.0919157211</v>
      </c>
      <c r="F178" s="40">
        <f t="shared" si="20"/>
        <v>3172374.4744845917</v>
      </c>
      <c r="G178" s="40">
        <f t="shared" si="20"/>
        <v>3459794.8612365704</v>
      </c>
      <c r="H178" s="40">
        <f t="shared" si="20"/>
        <v>3902843.4059239533</v>
      </c>
      <c r="I178" s="40">
        <f t="shared" si="20"/>
        <v>3964117.9513637424</v>
      </c>
      <c r="J178" s="40">
        <f t="shared" si="20"/>
        <v>4076524.5230214661</v>
      </c>
      <c r="K178" s="40">
        <f t="shared" si="20"/>
        <v>4056827.2151641985</v>
      </c>
      <c r="L178" s="40">
        <f t="shared" si="20"/>
        <v>3745280.7425581207</v>
      </c>
      <c r="M178" s="40">
        <f t="shared" si="20"/>
        <v>3506748.8182966234</v>
      </c>
      <c r="N178" s="40">
        <f t="shared" si="20"/>
        <v>3223444.4666714612</v>
      </c>
      <c r="O178" s="40">
        <f t="shared" si="20"/>
        <v>44368208.235007398</v>
      </c>
    </row>
    <row r="179" spans="1:15">
      <c r="A179" s="90"/>
      <c r="B179" s="90"/>
    </row>
    <row r="180" spans="1:15">
      <c r="A180" s="203" t="s">
        <v>217</v>
      </c>
      <c r="B180" s="209"/>
      <c r="C180" s="201" t="s">
        <v>0</v>
      </c>
      <c r="D180" s="201" t="s">
        <v>1</v>
      </c>
      <c r="E180" s="201" t="s">
        <v>2</v>
      </c>
      <c r="F180" s="201" t="s">
        <v>3</v>
      </c>
      <c r="G180" s="201" t="s">
        <v>4</v>
      </c>
      <c r="H180" s="201" t="s">
        <v>5</v>
      </c>
      <c r="I180" s="201" t="s">
        <v>6</v>
      </c>
      <c r="J180" s="201" t="s">
        <v>7</v>
      </c>
      <c r="K180" s="201" t="s">
        <v>8</v>
      </c>
      <c r="L180" s="201" t="s">
        <v>9</v>
      </c>
      <c r="M180" s="201" t="s">
        <v>10</v>
      </c>
      <c r="N180" s="201" t="s">
        <v>11</v>
      </c>
      <c r="O180" s="202" t="s">
        <v>12</v>
      </c>
    </row>
    <row r="181" spans="1:15">
      <c r="A181" s="90"/>
      <c r="B181" s="90"/>
    </row>
    <row r="182" spans="1:15">
      <c r="A182" s="89" t="s">
        <v>79</v>
      </c>
      <c r="B182" s="216">
        <v>456.21100000000001</v>
      </c>
      <c r="C182" s="40">
        <f>'FMPA Network'!B91</f>
        <v>686307.6</v>
      </c>
      <c r="D182" s="40">
        <f>'FMPA Network'!C91</f>
        <v>639345.36</v>
      </c>
      <c r="E182" s="40">
        <f>'FMPA Network'!D91</f>
        <v>559183.92000000004</v>
      </c>
      <c r="F182" s="40">
        <f>'FMPA Network'!E91</f>
        <v>600803.76</v>
      </c>
      <c r="G182" s="40">
        <f>'FMPA Network'!F91</f>
        <v>677886.96000000008</v>
      </c>
      <c r="H182" s="40">
        <f>'FMPA Network'!G91</f>
        <v>737319.57000000007</v>
      </c>
      <c r="I182" s="40">
        <f>'FMPA Network'!H91</f>
        <v>762905.85000000009</v>
      </c>
      <c r="J182" s="40">
        <f>'FMPA Network'!I91</f>
        <v>775861.17</v>
      </c>
      <c r="K182" s="40">
        <f>'FMPA Network'!J91</f>
        <v>707845.74</v>
      </c>
      <c r="L182" s="40">
        <f>'FMPA Network'!K91</f>
        <v>654081.48</v>
      </c>
      <c r="M182" s="40">
        <f>'FMPA Network'!L91</f>
        <v>585581.1</v>
      </c>
      <c r="N182" s="40">
        <f>'FMPA Network'!M91</f>
        <v>562098.39</v>
      </c>
      <c r="O182" s="40">
        <f>SUM(C182:N182)</f>
        <v>7949220.8999999994</v>
      </c>
    </row>
    <row r="183" spans="1:15">
      <c r="A183" s="89" t="s">
        <v>142</v>
      </c>
      <c r="B183" s="216">
        <v>456.221</v>
      </c>
      <c r="C183" s="40">
        <f>'FMPA Network'!B98</f>
        <v>5499.0936000000002</v>
      </c>
      <c r="D183" s="40">
        <f>'FMPA Network'!C98</f>
        <v>5122.8049599999995</v>
      </c>
      <c r="E183" s="40">
        <f>'FMPA Network'!D98</f>
        <v>4480.5051199999998</v>
      </c>
      <c r="F183" s="40">
        <f>'FMPA Network'!E98</f>
        <v>4813.9873600000001</v>
      </c>
      <c r="G183" s="40">
        <f>'FMPA Network'!F98</f>
        <v>5431.6225599999998</v>
      </c>
      <c r="H183" s="40">
        <f>'FMPA Network'!G98</f>
        <v>5907.8310199999996</v>
      </c>
      <c r="I183" s="40">
        <f>'FMPA Network'!H98</f>
        <v>6112.8431</v>
      </c>
      <c r="J183" s="40">
        <f>'FMPA Network'!I98</f>
        <v>6216.6486199999999</v>
      </c>
      <c r="K183" s="40">
        <f>'FMPA Network'!J98</f>
        <v>5671.6696400000001</v>
      </c>
      <c r="L183" s="40">
        <f>'FMPA Network'!K98</f>
        <v>5240.8792800000001</v>
      </c>
      <c r="M183" s="40">
        <f>'FMPA Network'!L98</f>
        <v>4692.0145999999995</v>
      </c>
      <c r="N183" s="40">
        <f>'FMPA Network'!M98</f>
        <v>4503.85754</v>
      </c>
      <c r="O183" s="40">
        <f>SUM(C183:N183)</f>
        <v>63693.757399999995</v>
      </c>
    </row>
    <row r="184" spans="1:15">
      <c r="A184" s="89" t="s">
        <v>78</v>
      </c>
      <c r="B184" s="216">
        <v>456.22199999999998</v>
      </c>
      <c r="C184" s="40">
        <f>'FMPA Network'!B105</f>
        <v>30214.800000000003</v>
      </c>
      <c r="D184" s="40">
        <f>'FMPA Network'!C105</f>
        <v>28147.280000000002</v>
      </c>
      <c r="E184" s="40">
        <f>'FMPA Network'!D105</f>
        <v>24618.160000000003</v>
      </c>
      <c r="F184" s="40">
        <f>'FMPA Network'!E105</f>
        <v>26450.480000000003</v>
      </c>
      <c r="G184" s="40">
        <f>'FMPA Network'!F105</f>
        <v>29844.080000000002</v>
      </c>
      <c r="H184" s="40">
        <f>'FMPA Network'!G105</f>
        <v>32460.610000000004</v>
      </c>
      <c r="I184" s="40">
        <f>'FMPA Network'!H105</f>
        <v>33587.050000000003</v>
      </c>
      <c r="J184" s="40">
        <f>'FMPA Network'!I105</f>
        <v>34157.410000000003</v>
      </c>
      <c r="K184" s="40">
        <f>'FMPA Network'!J105</f>
        <v>31163.020000000004</v>
      </c>
      <c r="L184" s="40">
        <f>'FMPA Network'!K105</f>
        <v>28796.040000000005</v>
      </c>
      <c r="M184" s="40">
        <f>'FMPA Network'!L105</f>
        <v>25780.300000000003</v>
      </c>
      <c r="N184" s="40">
        <f>'FMPA Network'!M105</f>
        <v>24746.47</v>
      </c>
      <c r="O184" s="40">
        <f>SUM(C184:N184)</f>
        <v>349965.69999999995</v>
      </c>
    </row>
    <row r="185" spans="1:15">
      <c r="A185" s="89" t="s">
        <v>125</v>
      </c>
      <c r="B185" s="216">
        <v>456.21100000000001</v>
      </c>
      <c r="C185" s="40">
        <f>'Vero Beach Network'!B90</f>
        <v>289876.08</v>
      </c>
      <c r="D185" s="40">
        <f>'Vero Beach Network'!C90</f>
        <v>251010.12000000002</v>
      </c>
      <c r="E185" s="40">
        <f>'Vero Beach Network'!D90</f>
        <v>200807.46000000002</v>
      </c>
      <c r="F185" s="40">
        <f>'Vero Beach Network'!E90</f>
        <v>207285.12000000002</v>
      </c>
      <c r="G185" s="40">
        <f>'Vero Beach Network'!F90</f>
        <v>228338.31</v>
      </c>
      <c r="H185" s="40">
        <f>'Vero Beach Network'!G90</f>
        <v>251010.12000000002</v>
      </c>
      <c r="I185" s="40">
        <f>'Vero Beach Network'!H90</f>
        <v>249389.91</v>
      </c>
      <c r="J185" s="40">
        <f>'Vero Beach Network'!I90</f>
        <v>267204.27</v>
      </c>
      <c r="K185" s="40">
        <f>'Vero Beach Network'!J90</f>
        <v>252628.74000000002</v>
      </c>
      <c r="L185" s="40">
        <f>'Vero Beach Network'!K90</f>
        <v>238054.80000000002</v>
      </c>
      <c r="M185" s="40">
        <f>'Vero Beach Network'!L90</f>
        <v>202427.67</v>
      </c>
      <c r="N185" s="40">
        <f>'Vero Beach Network'!M90</f>
        <v>228338.31</v>
      </c>
      <c r="O185" s="40">
        <f t="shared" ref="O185:O222" si="21">SUM(C185:N185)</f>
        <v>2866370.91</v>
      </c>
    </row>
    <row r="186" spans="1:15">
      <c r="A186" s="89" t="s">
        <v>143</v>
      </c>
      <c r="B186" s="216">
        <v>456.221</v>
      </c>
      <c r="C186" s="40">
        <f>'Vero Beach Network'!B97</f>
        <v>2322.65488</v>
      </c>
      <c r="D186" s="40">
        <f>'Vero Beach Network'!C97</f>
        <v>2011.2383199999999</v>
      </c>
      <c r="E186" s="40">
        <f>'Vero Beach Network'!D97</f>
        <v>1608.9855599999999</v>
      </c>
      <c r="F186" s="40">
        <f>'Vero Beach Network'!E97</f>
        <v>1660.88832</v>
      </c>
      <c r="G186" s="40">
        <f>'Vero Beach Network'!F97</f>
        <v>1829.5786599999999</v>
      </c>
      <c r="H186" s="40">
        <f>'Vero Beach Network'!G97</f>
        <v>2011.2383199999999</v>
      </c>
      <c r="I186" s="40">
        <f>'Vero Beach Network'!H97</f>
        <v>1998.2562599999999</v>
      </c>
      <c r="J186" s="40">
        <f>'Vero Beach Network'!I97</f>
        <v>2140.9952199999998</v>
      </c>
      <c r="K186" s="40">
        <f>'Vero Beach Network'!J97</f>
        <v>2024.2076399999999</v>
      </c>
      <c r="L186" s="40">
        <f>'Vero Beach Network'!K97</f>
        <v>1907.4328</v>
      </c>
      <c r="M186" s="40">
        <f>'Vero Beach Network'!L97</f>
        <v>1621.9676199999999</v>
      </c>
      <c r="N186" s="40">
        <f>'Vero Beach Network'!M97</f>
        <v>1829.5786599999999</v>
      </c>
      <c r="O186" s="40">
        <f t="shared" si="21"/>
        <v>22967.022259999998</v>
      </c>
    </row>
    <row r="187" spans="1:15">
      <c r="A187" s="89" t="s">
        <v>126</v>
      </c>
      <c r="B187" s="216">
        <v>456.22199999999998</v>
      </c>
      <c r="C187" s="40">
        <f>'Vero Beach Network'!B104</f>
        <v>18377.049599999998</v>
      </c>
      <c r="D187" s="40">
        <f>'Vero Beach Network'!C104</f>
        <v>15913.0944</v>
      </c>
      <c r="E187" s="40">
        <f>'Vero Beach Network'!D104</f>
        <v>12730.4352</v>
      </c>
      <c r="F187" s="40">
        <f>'Vero Beach Network'!E104</f>
        <v>13141.0944</v>
      </c>
      <c r="G187" s="40">
        <f>'Vero Beach Network'!F104</f>
        <v>14475.787200000001</v>
      </c>
      <c r="H187" s="40">
        <f>'Vero Beach Network'!G104</f>
        <v>15913.0944</v>
      </c>
      <c r="I187" s="40">
        <f>'Vero Beach Network'!H104</f>
        <v>15810.379199999999</v>
      </c>
      <c r="J187" s="40">
        <f>'Vero Beach Network'!I104</f>
        <v>16939.742399999999</v>
      </c>
      <c r="K187" s="40">
        <f>'Vero Beach Network'!J104</f>
        <v>16015.7088</v>
      </c>
      <c r="L187" s="40">
        <f>'Vero Beach Network'!K104</f>
        <v>15091.776</v>
      </c>
      <c r="M187" s="40">
        <f>'Vero Beach Network'!L104</f>
        <v>12833.1504</v>
      </c>
      <c r="N187" s="40">
        <f>'Vero Beach Network'!M104</f>
        <v>14475.787200000001</v>
      </c>
      <c r="O187" s="40">
        <f t="shared" si="21"/>
        <v>181717.09920000003</v>
      </c>
    </row>
    <row r="188" spans="1:15">
      <c r="A188" s="89" t="s">
        <v>80</v>
      </c>
      <c r="B188" s="216">
        <v>456.21100000000001</v>
      </c>
      <c r="C188" s="40">
        <f>'SECI Network'!B91</f>
        <v>860553.6831380541</v>
      </c>
      <c r="D188" s="40">
        <f>'SECI Network'!C91</f>
        <v>683307.96739684162</v>
      </c>
      <c r="E188" s="40">
        <f>'SECI Network'!D91</f>
        <v>628616.17931737134</v>
      </c>
      <c r="F188" s="40">
        <f>'SECI Network'!E91</f>
        <v>594809.03718797758</v>
      </c>
      <c r="G188" s="40">
        <f>'SECI Network'!F91</f>
        <v>673361.35506877233</v>
      </c>
      <c r="H188" s="40">
        <f>'SECI Network'!G91</f>
        <v>728970.04584819148</v>
      </c>
      <c r="I188" s="40">
        <f>'SECI Network'!H91</f>
        <v>723151.11563932756</v>
      </c>
      <c r="J188" s="40">
        <f>'SECI Network'!I91</f>
        <v>721455.00764136517</v>
      </c>
      <c r="K188" s="40">
        <f>'SECI Network'!J91</f>
        <v>729976.04686704034</v>
      </c>
      <c r="L188" s="40">
        <f>'SECI Network'!K91</f>
        <v>633205.55272542033</v>
      </c>
      <c r="M188" s="40">
        <f>'SECI Network'!L91</f>
        <v>610861.31431482418</v>
      </c>
      <c r="N188" s="40">
        <f>'SECI Network'!M91</f>
        <v>661514.51859398885</v>
      </c>
      <c r="O188" s="40">
        <f t="shared" si="21"/>
        <v>8249781.8237391748</v>
      </c>
    </row>
    <row r="189" spans="1:15">
      <c r="A189" s="89" t="s">
        <v>144</v>
      </c>
      <c r="B189" s="216">
        <v>456.221</v>
      </c>
      <c r="C189" s="40">
        <f>'SECI Network'!B96</f>
        <v>6895.2540397350995</v>
      </c>
      <c r="D189" s="40">
        <f>'SECI Network'!C96</f>
        <v>5475.0588079470199</v>
      </c>
      <c r="E189" s="40">
        <f>'SECI Network'!D96</f>
        <v>5036.8365562913905</v>
      </c>
      <c r="F189" s="40">
        <f>'SECI Network'!E96</f>
        <v>4765.9541721854303</v>
      </c>
      <c r="G189" s="40">
        <f>'SECI Network'!F96</f>
        <v>5395.3607947019864</v>
      </c>
      <c r="H189" s="40">
        <f>'SECI Network'!G96</f>
        <v>5840.9298013245025</v>
      </c>
      <c r="I189" s="40">
        <f>'SECI Network'!H96</f>
        <v>5794.3051655629142</v>
      </c>
      <c r="J189" s="40">
        <f>'SECI Network'!I96</f>
        <v>5780.7149668874163</v>
      </c>
      <c r="K189" s="40">
        <f>'SECI Network'!J96</f>
        <v>5848.9904635761586</v>
      </c>
      <c r="L189" s="40">
        <f>'SECI Network'!K96</f>
        <v>5073.6092715231789</v>
      </c>
      <c r="M189" s="40">
        <f>'SECI Network'!L96</f>
        <v>4894.5743046357611</v>
      </c>
      <c r="N189" s="40">
        <f>'SECI Network'!M96</f>
        <v>5300.4370860927147</v>
      </c>
      <c r="O189" s="40">
        <f t="shared" si="21"/>
        <v>66102.02543046356</v>
      </c>
    </row>
    <row r="190" spans="1:15">
      <c r="A190" s="89" t="s">
        <v>76</v>
      </c>
      <c r="B190" s="216">
        <v>456.22199999999998</v>
      </c>
      <c r="C190" s="40">
        <f>'SECI Network'!B101</f>
        <v>10824.574630667346</v>
      </c>
      <c r="D190" s="40">
        <f>'SECI Network'!C101</f>
        <v>8595.0687722873154</v>
      </c>
      <c r="E190" s="40">
        <f>'SECI Network'!D101</f>
        <v>7907.1217524197655</v>
      </c>
      <c r="F190" s="40">
        <f>'SECI Network'!E101</f>
        <v>7481.874681609781</v>
      </c>
      <c r="G190" s="40">
        <f>'SECI Network'!F101</f>
        <v>8469.954151808457</v>
      </c>
      <c r="H190" s="40">
        <f>'SECI Network'!G101</f>
        <v>9169.4345389709615</v>
      </c>
      <c r="I190" s="40">
        <f>'SECI Network'!H101</f>
        <v>9096.2404482934289</v>
      </c>
      <c r="J190" s="40">
        <f>'SECI Network'!I101</f>
        <v>9074.9057564951599</v>
      </c>
      <c r="K190" s="40">
        <f>'SECI Network'!J101</f>
        <v>9182.0886398369839</v>
      </c>
      <c r="L190" s="40">
        <f>'SECI Network'!K101</f>
        <v>7964.8497198166069</v>
      </c>
      <c r="M190" s="40">
        <f>'SECI Network'!L101</f>
        <v>7683.7901171676003</v>
      </c>
      <c r="N190" s="40">
        <f>'SECI Network'!M101</f>
        <v>8320.9373408048905</v>
      </c>
      <c r="O190" s="40">
        <f t="shared" si="21"/>
        <v>103770.84055017828</v>
      </c>
    </row>
    <row r="191" spans="1:15">
      <c r="A191" s="89" t="s">
        <v>57</v>
      </c>
      <c r="B191" s="216">
        <v>456.22399999999999</v>
      </c>
      <c r="C191" s="40">
        <f>SECI_Regulation_Imbalance!B64</f>
        <v>35203.140385124803</v>
      </c>
      <c r="D191" s="40">
        <f>SECI_Regulation_Imbalance!C64</f>
        <v>27952.452907794192</v>
      </c>
      <c r="E191" s="40">
        <f>SECI_Regulation_Imbalance!D64</f>
        <v>25715.146007131938</v>
      </c>
      <c r="F191" s="40">
        <f>SECI_Regulation_Imbalance!E64</f>
        <v>24332.178745797246</v>
      </c>
      <c r="G191" s="40">
        <f>SECI_Regulation_Imbalance!F64</f>
        <v>27545.56139480387</v>
      </c>
      <c r="H191" s="40">
        <f>SECI_Regulation_Imbalance!G64</f>
        <v>29820.376535914413</v>
      </c>
      <c r="I191" s="40">
        <f>SECI_Regulation_Imbalance!H64</f>
        <v>29582.338373917471</v>
      </c>
      <c r="J191" s="40">
        <f>SECI_Regulation_Imbalance!I64</f>
        <v>29512.954755985731</v>
      </c>
      <c r="K191" s="40">
        <f>SECI_Regulation_Imbalance!J64</f>
        <v>29861.529570045845</v>
      </c>
      <c r="L191" s="40">
        <f>SECI_Regulation_Imbalance!K64</f>
        <v>25902.886016301574</v>
      </c>
      <c r="M191" s="40">
        <f>SECI_Regulation_Imbalance!L64</f>
        <v>24988.838029546605</v>
      </c>
      <c r="N191" s="40">
        <f>SECI_Regulation_Imbalance!M64</f>
        <v>27060.936372898621</v>
      </c>
      <c r="O191" s="40">
        <f t="shared" si="21"/>
        <v>337478.33909526229</v>
      </c>
    </row>
    <row r="192" spans="1:15">
      <c r="A192" s="89" t="s">
        <v>275</v>
      </c>
      <c r="B192" s="216">
        <v>456.24900000000002</v>
      </c>
      <c r="C192" s="44">
        <f>'Radial Facilities'!B63</f>
        <v>20838.830000000002</v>
      </c>
      <c r="D192" s="44">
        <f>'Radial Facilities'!C63</f>
        <v>20622.16</v>
      </c>
      <c r="E192" s="44">
        <f>'Radial Facilities'!D63</f>
        <v>20622.16</v>
      </c>
      <c r="F192" s="44">
        <f>'Radial Facilities'!E63</f>
        <v>20622.16</v>
      </c>
      <c r="G192" s="44">
        <f>'Radial Facilities'!F63</f>
        <v>20622.16</v>
      </c>
      <c r="H192" s="44">
        <f>'Radial Facilities'!G63</f>
        <v>20622.16</v>
      </c>
      <c r="I192" s="44">
        <f>'Radial Facilities'!H63</f>
        <v>20622.16</v>
      </c>
      <c r="J192" s="44">
        <f>'Radial Facilities'!I63</f>
        <v>20622.16</v>
      </c>
      <c r="K192" s="44">
        <f>'Radial Facilities'!J63</f>
        <v>20622.16</v>
      </c>
      <c r="L192" s="44">
        <f>'Radial Facilities'!K63</f>
        <v>20622.16</v>
      </c>
      <c r="M192" s="44">
        <f>'Radial Facilities'!L63</f>
        <v>20622.16</v>
      </c>
      <c r="N192" s="44">
        <f>'Radial Facilities'!M63</f>
        <v>20622.16</v>
      </c>
      <c r="O192" s="41">
        <f>SUM(C192:N192)</f>
        <v>247682.59000000003</v>
      </c>
    </row>
    <row r="193" spans="1:15">
      <c r="A193" s="89" t="s">
        <v>129</v>
      </c>
      <c r="B193" s="216">
        <v>456.21100000000001</v>
      </c>
      <c r="C193" s="44">
        <f>'LCEC Network'!B69</f>
        <v>867619.57021550392</v>
      </c>
      <c r="D193" s="44">
        <f>'LCEC Network'!C69</f>
        <v>1184816.912721721</v>
      </c>
      <c r="E193" s="44">
        <f>'LCEC Network'!D69</f>
        <v>1063623.8247854579</v>
      </c>
      <c r="F193" s="44">
        <f>'LCEC Network'!E69</f>
        <v>980154.1300518089</v>
      </c>
      <c r="G193" s="44">
        <f>'LCEC Network'!F69</f>
        <v>960229.98477907828</v>
      </c>
      <c r="H193" s="44">
        <f>'LCEC Network'!G69</f>
        <v>1112685.1728869586</v>
      </c>
      <c r="I193" s="44">
        <f>'LCEC Network'!H69</f>
        <v>1221966.5257909165</v>
      </c>
      <c r="J193" s="44">
        <f>'LCEC Network'!I69</f>
        <v>1191107.114385304</v>
      </c>
      <c r="K193" s="44">
        <f>'LCEC Network'!J69</f>
        <v>1245726.3264794385</v>
      </c>
      <c r="L193" s="44">
        <f>'LCEC Network'!K69</f>
        <v>1069777.3682947713</v>
      </c>
      <c r="M193" s="44">
        <f>'LCEC Network'!L69</f>
        <v>1126783.8027800731</v>
      </c>
      <c r="N193" s="44">
        <f>'LCEC Network'!M69</f>
        <v>925566.22383386642</v>
      </c>
      <c r="O193" s="41">
        <f t="shared" si="21"/>
        <v>12950056.957004899</v>
      </c>
    </row>
    <row r="194" spans="1:15">
      <c r="A194" s="89" t="str">
        <f>A143</f>
        <v xml:space="preserve">   LCEC Network Transmission Service Scheduling Revenues</v>
      </c>
      <c r="B194" s="216">
        <v>456.221</v>
      </c>
      <c r="C194" s="44">
        <f>'LCEC Network'!B76</f>
        <v>6951.8700154374328</v>
      </c>
      <c r="D194" s="44">
        <f>'LCEC Network'!C76</f>
        <v>9493.4386591664934</v>
      </c>
      <c r="E194" s="44">
        <f>'LCEC Network'!D76</f>
        <v>8522.3695143186997</v>
      </c>
      <c r="F194" s="44">
        <f>'LCEC Network'!E76</f>
        <v>7853.5620231824178</v>
      </c>
      <c r="G194" s="44">
        <f>'LCEC Network'!F76</f>
        <v>7693.9182428210424</v>
      </c>
      <c r="H194" s="44">
        <f>'LCEC Network'!G76</f>
        <v>8915.4774230061957</v>
      </c>
      <c r="I194" s="44">
        <f>'LCEC Network'!H76</f>
        <v>9791.1028544504879</v>
      </c>
      <c r="J194" s="44">
        <f>'LCEC Network'!I76</f>
        <v>9543.8393945086609</v>
      </c>
      <c r="K194" s="44">
        <f>'LCEC Network'!J76</f>
        <v>9981.4801253761289</v>
      </c>
      <c r="L194" s="44">
        <f>'LCEC Network'!K76</f>
        <v>8571.6752654562169</v>
      </c>
      <c r="M194" s="44">
        <f>'LCEC Network'!L76</f>
        <v>9028.4438034076302</v>
      </c>
      <c r="N194" s="44">
        <f>'LCEC Network'!M76</f>
        <v>7416.172133109093</v>
      </c>
      <c r="O194" s="41">
        <f t="shared" si="21"/>
        <v>103763.3494542405</v>
      </c>
    </row>
    <row r="195" spans="1:15">
      <c r="A195" s="89" t="s">
        <v>184</v>
      </c>
      <c r="B195" s="216">
        <v>456.21100000000001</v>
      </c>
      <c r="C195" s="44">
        <f>'FKEC Network'!B69</f>
        <v>183053.72930234752</v>
      </c>
      <c r="D195" s="44">
        <f>'FKEC Network'!C69</f>
        <v>178721.3945374875</v>
      </c>
      <c r="E195" s="44">
        <f>'FKEC Network'!D69</f>
        <v>190165.97877931414</v>
      </c>
      <c r="F195" s="44">
        <f>'FKEC Network'!E69</f>
        <v>180461.90183327213</v>
      </c>
      <c r="G195" s="44">
        <f>'FKEC Network'!F69</f>
        <v>214308.01381557705</v>
      </c>
      <c r="H195" s="44">
        <f>'FKEC Network'!G69</f>
        <v>227807.23026870456</v>
      </c>
      <c r="I195" s="44">
        <f>'FKEC Network'!H69</f>
        <v>234448.99637318298</v>
      </c>
      <c r="J195" s="44">
        <f>'FKEC Network'!I69</f>
        <v>252394.86626460147</v>
      </c>
      <c r="K195" s="44">
        <f>'FKEC Network'!J69</f>
        <v>247742.99060061914</v>
      </c>
      <c r="L195" s="44">
        <f>'FKEC Network'!K69</f>
        <v>228553.30433125814</v>
      </c>
      <c r="M195" s="44">
        <f>'FKEC Network'!L69</f>
        <v>218515.51383622203</v>
      </c>
      <c r="N195" s="44">
        <f>'FKEC Network'!M69</f>
        <v>193861.71327729442</v>
      </c>
      <c r="O195" s="41">
        <f t="shared" si="21"/>
        <v>2550035.633219881</v>
      </c>
    </row>
    <row r="196" spans="1:15">
      <c r="A196" s="89" t="s">
        <v>185</v>
      </c>
      <c r="B196" s="216">
        <v>456.221</v>
      </c>
      <c r="C196" s="44">
        <f>'FKEC Network'!B76</f>
        <v>1466.732397051514</v>
      </c>
      <c r="D196" s="44">
        <f>'FKEC Network'!C76</f>
        <v>1432.0192241557174</v>
      </c>
      <c r="E196" s="44">
        <f>'FKEC Network'!D76</f>
        <v>1523.7198551248189</v>
      </c>
      <c r="F196" s="44">
        <f>'FKEC Network'!E76</f>
        <v>1445.9651756955261</v>
      </c>
      <c r="G196" s="44">
        <f>'FKEC Network'!F76</f>
        <v>1717.1598088116048</v>
      </c>
      <c r="H196" s="44">
        <f>'FKEC Network'!G76</f>
        <v>1825.3233419014439</v>
      </c>
      <c r="I196" s="44">
        <f>'FKEC Network'!H76</f>
        <v>1878.5410149650006</v>
      </c>
      <c r="J196" s="44">
        <f>'FKEC Network'!I76</f>
        <v>2022.3337083088193</v>
      </c>
      <c r="K196" s="44">
        <f>'FKEC Network'!J76</f>
        <v>1985.0601888376652</v>
      </c>
      <c r="L196" s="44">
        <f>'FKEC Network'!K76</f>
        <v>1831.3013189812757</v>
      </c>
      <c r="M196" s="44">
        <f>'FKEC Network'!L76</f>
        <v>1750.8727335053261</v>
      </c>
      <c r="N196" s="44">
        <f>'FKEC Network'!M76</f>
        <v>1553.3322183350508</v>
      </c>
      <c r="O196" s="41">
        <f t="shared" si="21"/>
        <v>20432.360985673764</v>
      </c>
    </row>
    <row r="197" spans="1:15">
      <c r="A197" s="89" t="s">
        <v>202</v>
      </c>
      <c r="B197" s="216">
        <v>456.21100000000001</v>
      </c>
      <c r="C197" s="44">
        <f>'Wauchula Network'!B69</f>
        <v>20670</v>
      </c>
      <c r="D197" s="44">
        <f>'Wauchula Network'!C69</f>
        <v>0</v>
      </c>
      <c r="E197" s="44">
        <f>'Wauchula Network'!D69</f>
        <v>0</v>
      </c>
      <c r="F197" s="44">
        <f>'Wauchula Network'!E69</f>
        <v>0</v>
      </c>
      <c r="G197" s="44">
        <f>'Wauchula Network'!F69</f>
        <v>0</v>
      </c>
      <c r="H197" s="44">
        <f>'Wauchula Network'!G69</f>
        <v>0</v>
      </c>
      <c r="I197" s="44">
        <f>'Wauchula Network'!H69</f>
        <v>0</v>
      </c>
      <c r="J197" s="44">
        <f>'Wauchula Network'!I69</f>
        <v>0</v>
      </c>
      <c r="K197" s="44">
        <f>'Wauchula Network'!J69</f>
        <v>0</v>
      </c>
      <c r="L197" s="44">
        <f>'Wauchula Network'!K69</f>
        <v>0</v>
      </c>
      <c r="M197" s="44">
        <f>'Wauchula Network'!L69</f>
        <v>0</v>
      </c>
      <c r="N197" s="44">
        <f>'Wauchula Network'!M69</f>
        <v>0</v>
      </c>
      <c r="O197" s="41">
        <f>SUM(C197:N197)</f>
        <v>20670</v>
      </c>
    </row>
    <row r="198" spans="1:15">
      <c r="A198" s="89" t="s">
        <v>203</v>
      </c>
      <c r="B198" s="216">
        <v>456.221</v>
      </c>
      <c r="C198" s="44">
        <f>'Wauchula Network'!B76</f>
        <v>162.61168384879724</v>
      </c>
      <c r="D198" s="44">
        <f>'Wauchula Network'!C76</f>
        <v>0</v>
      </c>
      <c r="E198" s="44">
        <f>'Wauchula Network'!D76</f>
        <v>0</v>
      </c>
      <c r="F198" s="44">
        <f>'Wauchula Network'!E76</f>
        <v>0</v>
      </c>
      <c r="G198" s="44">
        <f>'Wauchula Network'!F76</f>
        <v>0</v>
      </c>
      <c r="H198" s="44">
        <f>'Wauchula Network'!G76</f>
        <v>0</v>
      </c>
      <c r="I198" s="44">
        <f>'Wauchula Network'!H76</f>
        <v>0</v>
      </c>
      <c r="J198" s="44">
        <f>'Wauchula Network'!I76</f>
        <v>0</v>
      </c>
      <c r="K198" s="44">
        <f>'Wauchula Network'!J76</f>
        <v>0</v>
      </c>
      <c r="L198" s="44">
        <f>'Wauchula Network'!K76</f>
        <v>0</v>
      </c>
      <c r="M198" s="44">
        <f>'Wauchula Network'!L76</f>
        <v>0</v>
      </c>
      <c r="N198" s="44">
        <f>'Wauchula Network'!M76</f>
        <v>0</v>
      </c>
      <c r="O198" s="41">
        <f>SUM(C198:N198)</f>
        <v>162.61168384879724</v>
      </c>
    </row>
    <row r="199" spans="1:15">
      <c r="A199" s="89" t="s">
        <v>272</v>
      </c>
      <c r="B199" s="216">
        <v>456.21100000000001</v>
      </c>
      <c r="C199" s="44">
        <f>'Blountstown Network'!B69</f>
        <v>14310</v>
      </c>
      <c r="D199" s="44">
        <f>'Blountstown Network'!C69</f>
        <v>0</v>
      </c>
      <c r="E199" s="44">
        <f>'Blountstown Network'!D69</f>
        <v>0</v>
      </c>
      <c r="F199" s="44">
        <f>'Blountstown Network'!E69</f>
        <v>0</v>
      </c>
      <c r="G199" s="44">
        <f>'Blountstown Network'!F69</f>
        <v>0</v>
      </c>
      <c r="H199" s="44">
        <f>'Blountstown Network'!G69</f>
        <v>0</v>
      </c>
      <c r="I199" s="44">
        <f>'Blountstown Network'!H69</f>
        <v>0</v>
      </c>
      <c r="J199" s="44">
        <f>'Blountstown Network'!I69</f>
        <v>0</v>
      </c>
      <c r="K199" s="44">
        <f>'Blountstown Network'!J69</f>
        <v>0</v>
      </c>
      <c r="L199" s="44">
        <f>'Blountstown Network'!K69</f>
        <v>0</v>
      </c>
      <c r="M199" s="44">
        <f>'Blountstown Network'!L69</f>
        <v>0</v>
      </c>
      <c r="N199" s="44">
        <f>'Blountstown Network'!M69</f>
        <v>0</v>
      </c>
      <c r="O199" s="41">
        <f t="shared" ref="O199:O217" si="22">SUM(C199:N199)</f>
        <v>14310</v>
      </c>
    </row>
    <row r="200" spans="1:15">
      <c r="A200" s="89" t="s">
        <v>273</v>
      </c>
      <c r="B200" s="216">
        <v>456.221</v>
      </c>
      <c r="C200" s="44">
        <f>'Blountstown Network'!B76</f>
        <v>114.66</v>
      </c>
      <c r="D200" s="44">
        <f>'Blountstown Network'!C76</f>
        <v>0</v>
      </c>
      <c r="E200" s="44">
        <f>'Blountstown Network'!D76</f>
        <v>0</v>
      </c>
      <c r="F200" s="44">
        <f>'Blountstown Network'!E76</f>
        <v>0</v>
      </c>
      <c r="G200" s="44">
        <f>'Blountstown Network'!F76</f>
        <v>0</v>
      </c>
      <c r="H200" s="44">
        <f>'Blountstown Network'!G76</f>
        <v>0</v>
      </c>
      <c r="I200" s="44">
        <f>'Blountstown Network'!H76</f>
        <v>0</v>
      </c>
      <c r="J200" s="44">
        <f>'Blountstown Network'!I76</f>
        <v>0</v>
      </c>
      <c r="K200" s="44">
        <f>'Blountstown Network'!J76</f>
        <v>0</v>
      </c>
      <c r="L200" s="44">
        <f>'Blountstown Network'!K76</f>
        <v>0</v>
      </c>
      <c r="M200" s="44">
        <f>'Blountstown Network'!L76</f>
        <v>0</v>
      </c>
      <c r="N200" s="44">
        <f>'Blountstown Network'!M76</f>
        <v>0</v>
      </c>
      <c r="O200" s="41">
        <f t="shared" si="22"/>
        <v>114.66</v>
      </c>
    </row>
    <row r="201" spans="1:15">
      <c r="A201" s="89" t="s">
        <v>300</v>
      </c>
      <c r="B201" s="216">
        <v>456.21100000000001</v>
      </c>
      <c r="C201" s="44">
        <f>'Winter Park Network'!B62</f>
        <v>95400</v>
      </c>
      <c r="D201" s="44">
        <f>'Winter Park Network'!C62</f>
        <v>95400</v>
      </c>
      <c r="E201" s="44">
        <f>'Winter Park Network'!D62</f>
        <v>69905.737275000007</v>
      </c>
      <c r="F201" s="44">
        <f>'Winter Park Network'!E62</f>
        <v>75271.074615000005</v>
      </c>
      <c r="G201" s="44">
        <f>'Winter Park Network'!F62</f>
        <v>103439.09565</v>
      </c>
      <c r="H201" s="44">
        <f>'Winter Park Network'!G62</f>
        <v>106121.76431999999</v>
      </c>
      <c r="I201" s="44">
        <f>'Winter Park Network'!H62</f>
        <v>102097.76131499998</v>
      </c>
      <c r="J201" s="44">
        <f>'Winter Park Network'!I62</f>
        <v>114169.77032999998</v>
      </c>
      <c r="K201" s="44">
        <f>'Winter Park Network'!J62</f>
        <v>95400</v>
      </c>
      <c r="L201" s="44">
        <f>'Winter Park Network'!K62</f>
        <v>96732.423975000012</v>
      </c>
      <c r="M201" s="44">
        <f>'Winter Park Network'!L62</f>
        <v>68564.40294</v>
      </c>
      <c r="N201" s="44">
        <f>'Winter Park Network'!M62</f>
        <v>68564.40294</v>
      </c>
      <c r="O201" s="41">
        <f t="shared" si="22"/>
        <v>1091066.4333599999</v>
      </c>
    </row>
    <row r="202" spans="1:15">
      <c r="A202" s="89" t="s">
        <v>431</v>
      </c>
      <c r="B202" s="216">
        <v>456.221</v>
      </c>
      <c r="C202" s="44">
        <f>'Winter Park Network'!B69</f>
        <v>764.4</v>
      </c>
      <c r="D202" s="44">
        <f>'Winter Park Network'!C69</f>
        <v>764.4</v>
      </c>
      <c r="E202" s="44">
        <f>'Winter Park Network'!D69</f>
        <v>560.12521564999997</v>
      </c>
      <c r="F202" s="44">
        <f>'Winter Park Network'!E69</f>
        <v>603.11540288999993</v>
      </c>
      <c r="G202" s="44">
        <f>'Winter Park Network'!F69</f>
        <v>828.81388589999995</v>
      </c>
      <c r="H202" s="44">
        <f>'Winter Park Network'!G69</f>
        <v>850.30897951999987</v>
      </c>
      <c r="I202" s="44">
        <f>'Winter Park Network'!H69</f>
        <v>818.06633908999981</v>
      </c>
      <c r="J202" s="44">
        <f>'Winter Park Network'!I69</f>
        <v>914.79426037999986</v>
      </c>
      <c r="K202" s="44">
        <f>'Winter Park Network'!J69</f>
        <v>764.4</v>
      </c>
      <c r="L202" s="44">
        <f>'Winter Park Network'!K69</f>
        <v>775.07615184999997</v>
      </c>
      <c r="M202" s="44">
        <f>'Winter Park Network'!L69</f>
        <v>549.37766883999996</v>
      </c>
      <c r="N202" s="44">
        <f>'Winter Park Network'!M69</f>
        <v>549.37766883999996</v>
      </c>
      <c r="O202" s="41">
        <f t="shared" si="22"/>
        <v>8742.255572959999</v>
      </c>
    </row>
    <row r="203" spans="1:15">
      <c r="A203" s="89" t="s">
        <v>321</v>
      </c>
      <c r="B203" s="216">
        <v>456.21100000000001</v>
      </c>
      <c r="C203" s="44">
        <f>'New Smyrna Network'!B82</f>
        <v>39750</v>
      </c>
      <c r="D203" s="44">
        <f>'New Smyrna Network'!C82</f>
        <v>71550</v>
      </c>
      <c r="E203" s="44">
        <f>'New Smyrna Network'!D82</f>
        <v>71550</v>
      </c>
      <c r="F203" s="44">
        <f>'New Smyrna Network'!E82</f>
        <v>47700</v>
      </c>
      <c r="G203" s="44">
        <f>'New Smyrna Network'!F82</f>
        <v>31800</v>
      </c>
      <c r="H203" s="44">
        <f>'New Smyrna Network'!G82</f>
        <v>47700</v>
      </c>
      <c r="I203" s="44">
        <f>'New Smyrna Network'!H82</f>
        <v>71550</v>
      </c>
      <c r="J203" s="44">
        <f>'New Smyrna Network'!I82</f>
        <v>71550</v>
      </c>
      <c r="K203" s="44">
        <f>'New Smyrna Network'!J82</f>
        <v>71550</v>
      </c>
      <c r="L203" s="44">
        <f>'New Smyrna Network'!K82</f>
        <v>47700</v>
      </c>
      <c r="M203" s="44">
        <f>'New Smyrna Network'!L82</f>
        <v>55650</v>
      </c>
      <c r="N203" s="44">
        <f>'New Smyrna Network'!M82</f>
        <v>0</v>
      </c>
      <c r="O203" s="41">
        <f t="shared" si="22"/>
        <v>628050</v>
      </c>
    </row>
    <row r="204" spans="1:15">
      <c r="A204" s="89" t="s">
        <v>322</v>
      </c>
      <c r="B204" s="216">
        <v>456.221</v>
      </c>
      <c r="C204" s="44">
        <f>'New Smyrna Network'!B89</f>
        <v>318.5</v>
      </c>
      <c r="D204" s="44">
        <f>'New Smyrna Network'!C89</f>
        <v>573.29999999999995</v>
      </c>
      <c r="E204" s="44">
        <f>'New Smyrna Network'!D89</f>
        <v>573.29999999999995</v>
      </c>
      <c r="F204" s="44">
        <f>'New Smyrna Network'!E89</f>
        <v>382.2</v>
      </c>
      <c r="G204" s="44">
        <f>'New Smyrna Network'!F89</f>
        <v>254.79999999999998</v>
      </c>
      <c r="H204" s="44">
        <f>'New Smyrna Network'!G89</f>
        <v>382.2</v>
      </c>
      <c r="I204" s="44">
        <f>'New Smyrna Network'!H89</f>
        <v>573.29999999999995</v>
      </c>
      <c r="J204" s="44">
        <f>'New Smyrna Network'!I89</f>
        <v>573.29999999999995</v>
      </c>
      <c r="K204" s="44">
        <f>'New Smyrna Network'!J89</f>
        <v>573.29999999999995</v>
      </c>
      <c r="L204" s="44">
        <f>'New Smyrna Network'!K89</f>
        <v>382.2</v>
      </c>
      <c r="M204" s="44">
        <f>'New Smyrna Network'!L89</f>
        <v>445.9</v>
      </c>
      <c r="N204" s="44">
        <f>'New Smyrna Network'!M89</f>
        <v>0</v>
      </c>
      <c r="O204" s="41">
        <f t="shared" si="22"/>
        <v>5032.2999999999993</v>
      </c>
    </row>
    <row r="205" spans="1:15">
      <c r="A205" s="89" t="s">
        <v>423</v>
      </c>
      <c r="B205" s="216">
        <v>456.22199999999998</v>
      </c>
      <c r="C205" s="44">
        <f>'New Smyrna Network'!B96</f>
        <v>2520</v>
      </c>
      <c r="D205" s="44">
        <f>'New Smyrna Network'!C96</f>
        <v>4536</v>
      </c>
      <c r="E205" s="44">
        <f>'New Smyrna Network'!D96</f>
        <v>4536</v>
      </c>
      <c r="F205" s="44">
        <f>'New Smyrna Network'!E96</f>
        <v>3024</v>
      </c>
      <c r="G205" s="44">
        <f>'New Smyrna Network'!F96</f>
        <v>2016</v>
      </c>
      <c r="H205" s="44">
        <f>'New Smyrna Network'!G96</f>
        <v>3024</v>
      </c>
      <c r="I205" s="44">
        <f>'New Smyrna Network'!H96</f>
        <v>4536</v>
      </c>
      <c r="J205" s="44">
        <f>'New Smyrna Network'!I96</f>
        <v>4536</v>
      </c>
      <c r="K205" s="44">
        <f>'New Smyrna Network'!J96</f>
        <v>4536</v>
      </c>
      <c r="L205" s="44">
        <f>'New Smyrna Network'!K96</f>
        <v>3024</v>
      </c>
      <c r="M205" s="44">
        <f>'New Smyrna Network'!L96</f>
        <v>3528</v>
      </c>
      <c r="N205" s="44">
        <f>'New Smyrna Network'!M96</f>
        <v>0</v>
      </c>
      <c r="O205" s="41">
        <f t="shared" si="22"/>
        <v>39816</v>
      </c>
    </row>
    <row r="206" spans="1:15">
      <c r="A206" s="89" t="s">
        <v>13</v>
      </c>
      <c r="B206" s="216">
        <v>456.21300000000002</v>
      </c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1">
        <f t="shared" si="22"/>
        <v>0</v>
      </c>
    </row>
    <row r="207" spans="1:15">
      <c r="A207" s="454" t="s">
        <v>375</v>
      </c>
      <c r="B207" s="216">
        <v>456.21100000000001</v>
      </c>
      <c r="C207" s="44">
        <f>'Georgia Trans Network'!B81</f>
        <v>29877.690000000002</v>
      </c>
      <c r="D207" s="44">
        <f>'Georgia Trans Network'!C81</f>
        <v>29877.690000000002</v>
      </c>
      <c r="E207" s="44">
        <f>'Georgia Trans Network'!D81</f>
        <v>29877.690000000002</v>
      </c>
      <c r="F207" s="44">
        <f>'Georgia Trans Network'!E81</f>
        <v>29877.690000000002</v>
      </c>
      <c r="G207" s="44">
        <f>'Georgia Trans Network'!F81</f>
        <v>29877.690000000002</v>
      </c>
      <c r="H207" s="44">
        <f>'Georgia Trans Network'!G81</f>
        <v>25770.720000000001</v>
      </c>
      <c r="I207" s="44">
        <f>'Georgia Trans Network'!H81</f>
        <v>25770.720000000001</v>
      </c>
      <c r="J207" s="44">
        <f>'Georgia Trans Network'!I81</f>
        <v>25770.720000000001</v>
      </c>
      <c r="K207" s="44">
        <f>'Georgia Trans Network'!J81</f>
        <v>25770.720000000001</v>
      </c>
      <c r="L207" s="44">
        <f>'Georgia Trans Network'!K81</f>
        <v>30624.99</v>
      </c>
      <c r="M207" s="44">
        <f>'Georgia Trans Network'!L81</f>
        <v>30624.99</v>
      </c>
      <c r="N207" s="44">
        <f>'Georgia Trans Network'!M81</f>
        <v>30624.99</v>
      </c>
      <c r="O207" s="41">
        <f t="shared" si="22"/>
        <v>344346.3</v>
      </c>
    </row>
    <row r="208" spans="1:15">
      <c r="A208" s="454" t="s">
        <v>376</v>
      </c>
      <c r="B208" s="216">
        <v>456.221</v>
      </c>
      <c r="C208" s="44">
        <f>'Georgia Trans Network'!B88</f>
        <v>239.39733999999999</v>
      </c>
      <c r="D208" s="44">
        <f>'Georgia Trans Network'!C88</f>
        <v>239.39733999999999</v>
      </c>
      <c r="E208" s="44">
        <f>'Georgia Trans Network'!D88</f>
        <v>239.39733999999999</v>
      </c>
      <c r="F208" s="44">
        <f>'Georgia Trans Network'!E88</f>
        <v>239.39733999999999</v>
      </c>
      <c r="G208" s="44">
        <f>'Georgia Trans Network'!F88</f>
        <v>239.39733999999999</v>
      </c>
      <c r="H208" s="44">
        <f>'Georgia Trans Network'!G88</f>
        <v>206.48991999999998</v>
      </c>
      <c r="I208" s="44">
        <f>'Georgia Trans Network'!H88</f>
        <v>206.48991999999998</v>
      </c>
      <c r="J208" s="44">
        <f>'Georgia Trans Network'!I88</f>
        <v>206.48991999999998</v>
      </c>
      <c r="K208" s="44">
        <f>'Georgia Trans Network'!J88</f>
        <v>206.48991999999998</v>
      </c>
      <c r="L208" s="44">
        <f>'Georgia Trans Network'!K88</f>
        <v>245.38513999999998</v>
      </c>
      <c r="M208" s="44">
        <f>'Georgia Trans Network'!L88</f>
        <v>245.38513999999998</v>
      </c>
      <c r="N208" s="44">
        <f>'Georgia Trans Network'!M88</f>
        <v>245.38513999999998</v>
      </c>
      <c r="O208" s="41">
        <f t="shared" si="22"/>
        <v>2759.1017999999995</v>
      </c>
    </row>
    <row r="209" spans="1:17">
      <c r="A209" s="454" t="s">
        <v>420</v>
      </c>
      <c r="B209" s="216">
        <v>456.22199999999998</v>
      </c>
      <c r="C209" s="44">
        <f>'Georgia Trans Network'!B95</f>
        <v>1894.1328000000001</v>
      </c>
      <c r="D209" s="44">
        <f>'Georgia Trans Network'!C95</f>
        <v>1894.1328000000001</v>
      </c>
      <c r="E209" s="44">
        <f>'Georgia Trans Network'!D95</f>
        <v>1894.1328000000001</v>
      </c>
      <c r="F209" s="44">
        <f>'Georgia Trans Network'!E95</f>
        <v>1894.1328000000001</v>
      </c>
      <c r="G209" s="44">
        <f>'Georgia Trans Network'!F95</f>
        <v>1894.1328000000001</v>
      </c>
      <c r="H209" s="44">
        <f>'Georgia Trans Network'!G95</f>
        <v>1633.7664</v>
      </c>
      <c r="I209" s="44">
        <f>'Georgia Trans Network'!H95</f>
        <v>1633.7664</v>
      </c>
      <c r="J209" s="44">
        <f>'Georgia Trans Network'!I95</f>
        <v>1633.7664</v>
      </c>
      <c r="K209" s="44">
        <f>'Georgia Trans Network'!J95</f>
        <v>1633.7664</v>
      </c>
      <c r="L209" s="44">
        <f>'Georgia Trans Network'!K95</f>
        <v>1941.5088000000001</v>
      </c>
      <c r="M209" s="44">
        <f>'Georgia Trans Network'!L95</f>
        <v>1941.5088000000001</v>
      </c>
      <c r="N209" s="44">
        <f>'Georgia Trans Network'!M95</f>
        <v>1941.5088000000001</v>
      </c>
      <c r="O209" s="41">
        <f t="shared" si="22"/>
        <v>21830.256000000001</v>
      </c>
    </row>
    <row r="210" spans="1:17">
      <c r="A210" s="89" t="s">
        <v>325</v>
      </c>
      <c r="B210" s="216">
        <v>456.21100000000001</v>
      </c>
      <c r="C210" s="43">
        <f>'Lake Worth Network Transmission'!B80</f>
        <v>112361.40297620524</v>
      </c>
      <c r="D210" s="43">
        <f>'Lake Worth Network Transmission'!C80</f>
        <v>109738.82696588789</v>
      </c>
      <c r="E210" s="43">
        <f>'Lake Worth Network Transmission'!D80</f>
        <v>114576.203519082</v>
      </c>
      <c r="F210" s="43">
        <f>'Lake Worth Network Transmission'!E80</f>
        <v>119805.36252101908</v>
      </c>
      <c r="G210" s="43">
        <f>'Lake Worth Network Transmission'!F80</f>
        <v>133861.73765706795</v>
      </c>
      <c r="H210" s="43">
        <f>'Lake Worth Network Transmission'!G80</f>
        <v>140541.30532309346</v>
      </c>
      <c r="I210" s="43">
        <f>'Lake Worth Network Transmission'!H80</f>
        <v>146079.10168028538</v>
      </c>
      <c r="J210" s="43">
        <f>'Lake Worth Network Transmission'!I80</f>
        <v>146925.04865256179</v>
      </c>
      <c r="K210" s="43">
        <f>'Lake Worth Network Transmission'!J80</f>
        <v>141843.00681890332</v>
      </c>
      <c r="L210" s="43">
        <f>'Lake Worth Network Transmission'!K80</f>
        <v>133210.886909163</v>
      </c>
      <c r="M210" s="43">
        <f>'Lake Worth Network Transmission'!L80</f>
        <v>118941.83253004502</v>
      </c>
      <c r="N210" s="43">
        <f>'Lake Worth Network Transmission'!M80</f>
        <v>112980.26768671493</v>
      </c>
      <c r="O210" s="43">
        <f t="shared" si="22"/>
        <v>1530864.9832400291</v>
      </c>
      <c r="Q210" s="11"/>
    </row>
    <row r="211" spans="1:17">
      <c r="A211" s="89" t="s">
        <v>326</v>
      </c>
      <c r="B211" s="216">
        <v>456.221</v>
      </c>
      <c r="C211" s="43">
        <f>'Lake Worth Network Transmission'!B87</f>
        <v>900.3045747904747</v>
      </c>
      <c r="D211" s="43">
        <f>'Lake Worth Network Transmission'!C87</f>
        <v>879.2909783304475</v>
      </c>
      <c r="E211" s="43">
        <f>'Lake Worth Network Transmission'!D87</f>
        <v>918.05083825981421</v>
      </c>
      <c r="F211" s="43">
        <f>'Lake Worth Network Transmission'!E87</f>
        <v>959.9498858602409</v>
      </c>
      <c r="G211" s="43">
        <f>'Lake Worth Network Transmission'!F87</f>
        <v>1072.5776966987708</v>
      </c>
      <c r="H211" s="43">
        <f>'Lake Worth Network Transmission'!G87</f>
        <v>1126.0982577460443</v>
      </c>
      <c r="I211" s="43">
        <f>'Lake Worth Network Transmission'!H87</f>
        <v>1170.4702864193937</v>
      </c>
      <c r="J211" s="43">
        <f>'Lake Worth Network Transmission'!I87</f>
        <v>1177.2485030400235</v>
      </c>
      <c r="K211" s="43">
        <f>'Lake Worth Network Transmission'!J87</f>
        <v>1136.5282433162442</v>
      </c>
      <c r="L211" s="43">
        <f>'Lake Worth Network Transmission'!K87</f>
        <v>1067.3627039136709</v>
      </c>
      <c r="M211" s="43">
        <f>'Lake Worth Network Transmission'!L87</f>
        <v>953.03078391998326</v>
      </c>
      <c r="N211" s="43">
        <f>'Lake Worth Network Transmission'!M87</f>
        <v>905.26327693631947</v>
      </c>
      <c r="O211" s="43">
        <f t="shared" si="22"/>
        <v>12266.176029231427</v>
      </c>
      <c r="Q211" s="11"/>
    </row>
    <row r="212" spans="1:17">
      <c r="A212" s="89" t="s">
        <v>422</v>
      </c>
      <c r="B212" s="216">
        <v>456.22199999999998</v>
      </c>
      <c r="C212" s="43">
        <f>'Lake Worth Network Transmission'!B94</f>
        <v>7123.2889433971623</v>
      </c>
      <c r="D212" s="43">
        <f>'Lake Worth Network Transmission'!C94</f>
        <v>6957.0275208562889</v>
      </c>
      <c r="E212" s="43">
        <f>'Lake Worth Network Transmission'!D94</f>
        <v>7263.6989400776511</v>
      </c>
      <c r="F212" s="43">
        <f>'Lake Worth Network Transmission'!E94</f>
        <v>7595.2078881249827</v>
      </c>
      <c r="G212" s="43">
        <f>'Lake Worth Network Transmission'!F94</f>
        <v>8486.3290288254393</v>
      </c>
      <c r="H212" s="43">
        <f>'Lake Worth Network Transmission'!G94</f>
        <v>8909.7884129357353</v>
      </c>
      <c r="I212" s="43">
        <f>'Lake Worth Network Transmission'!H94</f>
        <v>9260.8638046369615</v>
      </c>
      <c r="J212" s="43">
        <f>'Lake Worth Network Transmission'!I94</f>
        <v>9314.4936504265588</v>
      </c>
      <c r="K212" s="43">
        <f>'Lake Worth Network Transmission'!J94</f>
        <v>8992.3113756889652</v>
      </c>
      <c r="L212" s="43">
        <f>'Lake Worth Network Transmission'!K94</f>
        <v>8445.0675474488253</v>
      </c>
      <c r="M212" s="43">
        <f>'Lake Worth Network Transmission'!L94</f>
        <v>7540.4633453009674</v>
      </c>
      <c r="N212" s="43">
        <f>'Lake Worth Network Transmission'!M94</f>
        <v>7162.5226307049461</v>
      </c>
      <c r="O212" s="43">
        <f t="shared" si="22"/>
        <v>97051.063088424489</v>
      </c>
      <c r="Q212" s="11"/>
    </row>
    <row r="213" spans="1:17">
      <c r="A213" s="454" t="s">
        <v>436</v>
      </c>
      <c r="B213" s="216">
        <v>456.21100000000001</v>
      </c>
      <c r="C213" s="43">
        <f>'Homestead Network Transmission'!B81</f>
        <v>33390</v>
      </c>
      <c r="D213" s="43">
        <f>'Homestead Network Transmission'!C81</f>
        <v>9540</v>
      </c>
      <c r="E213" s="43">
        <f>'Homestead Network Transmission'!D81</f>
        <v>0</v>
      </c>
      <c r="F213" s="43">
        <f>'Homestead Network Transmission'!E81</f>
        <v>4770</v>
      </c>
      <c r="G213" s="43">
        <f>'Homestead Network Transmission'!F81</f>
        <v>19080</v>
      </c>
      <c r="H213" s="43">
        <f>'Homestead Network Transmission'!G81</f>
        <v>31800</v>
      </c>
      <c r="I213" s="43">
        <f>'Homestead Network Transmission'!H81</f>
        <v>39750</v>
      </c>
      <c r="J213" s="43">
        <f>'Homestead Network Transmission'!I81</f>
        <v>33390</v>
      </c>
      <c r="K213" s="43">
        <f>'Homestead Network Transmission'!J81</f>
        <v>33390</v>
      </c>
      <c r="L213" s="43">
        <f>'Homestead Network Transmission'!K81</f>
        <v>12720</v>
      </c>
      <c r="M213" s="43">
        <f>'Homestead Network Transmission'!L81</f>
        <v>0</v>
      </c>
      <c r="N213" s="43">
        <f>'Homestead Network Transmission'!M81</f>
        <v>0</v>
      </c>
      <c r="O213" s="43">
        <f t="shared" si="22"/>
        <v>217830</v>
      </c>
      <c r="Q213" s="11"/>
    </row>
    <row r="214" spans="1:17">
      <c r="A214" s="454" t="s">
        <v>437</v>
      </c>
      <c r="B214" s="216">
        <v>456.221</v>
      </c>
      <c r="C214" s="43">
        <f>'Homestead Network Transmission'!B88</f>
        <v>267.53999999999996</v>
      </c>
      <c r="D214" s="43">
        <f>'Homestead Network Transmission'!C88</f>
        <v>76.44</v>
      </c>
      <c r="E214" s="43">
        <f>'Homestead Network Transmission'!D88</f>
        <v>0</v>
      </c>
      <c r="F214" s="43">
        <f>'Homestead Network Transmission'!E88</f>
        <v>38.22</v>
      </c>
      <c r="G214" s="43">
        <f>'Homestead Network Transmission'!F88</f>
        <v>152.88</v>
      </c>
      <c r="H214" s="43">
        <f>'Homestead Network Transmission'!G88</f>
        <v>254.79999999999998</v>
      </c>
      <c r="I214" s="43">
        <f>'Homestead Network Transmission'!H88</f>
        <v>318.5</v>
      </c>
      <c r="J214" s="43">
        <f>'Homestead Network Transmission'!I88</f>
        <v>267.53999999999996</v>
      </c>
      <c r="K214" s="43">
        <f>'Homestead Network Transmission'!J88</f>
        <v>267.53999999999996</v>
      </c>
      <c r="L214" s="43">
        <f>'Homestead Network Transmission'!K88</f>
        <v>101.92</v>
      </c>
      <c r="M214" s="43">
        <f>'Homestead Network Transmission'!L88</f>
        <v>0</v>
      </c>
      <c r="N214" s="43">
        <f>'Homestead Network Transmission'!M88</f>
        <v>0</v>
      </c>
      <c r="O214" s="43">
        <f t="shared" si="22"/>
        <v>1745.3799999999999</v>
      </c>
      <c r="Q214" s="11"/>
    </row>
    <row r="215" spans="1:17">
      <c r="A215" s="454" t="s">
        <v>438</v>
      </c>
      <c r="B215" s="216">
        <v>456.22199999999998</v>
      </c>
      <c r="C215" s="43">
        <f>'Homestead Network Transmission'!B95</f>
        <v>2116.8000000000002</v>
      </c>
      <c r="D215" s="43">
        <f>'Homestead Network Transmission'!C95</f>
        <v>604.79999999999995</v>
      </c>
      <c r="E215" s="43">
        <f>'Homestead Network Transmission'!D95</f>
        <v>0</v>
      </c>
      <c r="F215" s="43">
        <f>'Homestead Network Transmission'!E95</f>
        <v>302.39999999999998</v>
      </c>
      <c r="G215" s="43">
        <f>'Homestead Network Transmission'!F95</f>
        <v>1209.5999999999999</v>
      </c>
      <c r="H215" s="43">
        <f>'Homestead Network Transmission'!G95</f>
        <v>2016</v>
      </c>
      <c r="I215" s="43">
        <f>'Homestead Network Transmission'!H95</f>
        <v>2520</v>
      </c>
      <c r="J215" s="43">
        <f>'Homestead Network Transmission'!I95</f>
        <v>2116.8000000000002</v>
      </c>
      <c r="K215" s="43">
        <f>'Homestead Network Transmission'!J95</f>
        <v>2116.8000000000002</v>
      </c>
      <c r="L215" s="43">
        <f>'Homestead Network Transmission'!K95</f>
        <v>806.4</v>
      </c>
      <c r="M215" s="43">
        <f>'Homestead Network Transmission'!L95</f>
        <v>0</v>
      </c>
      <c r="N215" s="43">
        <f>'Homestead Network Transmission'!M95</f>
        <v>0</v>
      </c>
      <c r="O215" s="43">
        <f t="shared" si="22"/>
        <v>13809.6</v>
      </c>
      <c r="Q215" s="11"/>
    </row>
    <row r="216" spans="1:17">
      <c r="A216" s="454" t="s">
        <v>448</v>
      </c>
      <c r="B216" s="216">
        <v>456.21100000000001</v>
      </c>
      <c r="C216" s="43">
        <f>'Quincy Transmission'!B62</f>
        <v>30210</v>
      </c>
      <c r="D216" s="43">
        <f>'Quincy Transmission'!C62</f>
        <v>37801.152900000001</v>
      </c>
      <c r="E216" s="43">
        <f>'Quincy Transmission'!D62</f>
        <v>34605.873</v>
      </c>
      <c r="F216" s="43">
        <f>'Quincy Transmission'!E62</f>
        <v>31031.950500000003</v>
      </c>
      <c r="G216" s="43">
        <f>'Quincy Transmission'!F62</f>
        <v>36658.785600000003</v>
      </c>
      <c r="H216" s="43">
        <f>'Quincy Transmission'!G62</f>
        <v>44015.270400000001</v>
      </c>
      <c r="I216" s="43">
        <f>'Quincy Transmission'!H62</f>
        <v>43510.413600000007</v>
      </c>
      <c r="J216" s="43">
        <f>'Quincy Transmission'!I62</f>
        <v>30210</v>
      </c>
      <c r="K216" s="43">
        <f>'Quincy Transmission'!J62</f>
        <v>40197.934800000003</v>
      </c>
      <c r="L216" s="43">
        <f>'Quincy Transmission'!K62</f>
        <v>35417.25</v>
      </c>
      <c r="M216" s="43">
        <f>'Quincy Transmission'!L62</f>
        <v>40755.595500000003</v>
      </c>
      <c r="N216" s="43">
        <f>'Quincy Transmission'!M62</f>
        <v>36624.012300000002</v>
      </c>
      <c r="O216" s="43">
        <f t="shared" si="22"/>
        <v>441038.23859999998</v>
      </c>
      <c r="Q216" s="11"/>
    </row>
    <row r="217" spans="1:17">
      <c r="A217" s="454" t="s">
        <v>449</v>
      </c>
      <c r="B217" s="216">
        <v>456.221</v>
      </c>
      <c r="C217" s="43">
        <f>'Quincy Transmission'!B69</f>
        <v>242.06</v>
      </c>
      <c r="D217" s="43">
        <f>'Quincy Transmission'!C69</f>
        <v>302.88470940000002</v>
      </c>
      <c r="E217" s="43">
        <f>'Quincy Transmission'!D69</f>
        <v>277.28227800000002</v>
      </c>
      <c r="F217" s="43">
        <f>'Quincy Transmission'!E69</f>
        <v>248.64594299999999</v>
      </c>
      <c r="G217" s="43">
        <f>'Quincy Transmission'!F69</f>
        <v>293.73140159999997</v>
      </c>
      <c r="H217" s="43">
        <f>'Quincy Transmission'!G69</f>
        <v>352.67581439999998</v>
      </c>
      <c r="I217" s="43">
        <f>'Quincy Transmission'!H69</f>
        <v>348.63060960000001</v>
      </c>
      <c r="J217" s="43">
        <f>'Quincy Transmission'!I69</f>
        <v>242.06</v>
      </c>
      <c r="K217" s="43">
        <f>'Quincy Transmission'!J69</f>
        <v>322.08911280000001</v>
      </c>
      <c r="L217" s="43">
        <f>'Quincy Transmission'!K69</f>
        <v>283.7835</v>
      </c>
      <c r="M217" s="43">
        <f>'Quincy Transmission'!L69</f>
        <v>326.557413</v>
      </c>
      <c r="N217" s="43">
        <f>'Quincy Transmission'!M69</f>
        <v>293.45277779999998</v>
      </c>
      <c r="O217" s="43">
        <f t="shared" si="22"/>
        <v>3533.8535595999997</v>
      </c>
      <c r="Q217" s="11"/>
    </row>
    <row r="218" spans="1:17">
      <c r="A218" s="89" t="s">
        <v>14</v>
      </c>
      <c r="B218" s="216">
        <v>456.21100000000001</v>
      </c>
      <c r="C218" s="40">
        <f>'TSAS Demand Revenues (7)'!B266</f>
        <v>472319.04000000004</v>
      </c>
      <c r="D218" s="40">
        <f>'TSAS Demand Revenues (7)'!C266</f>
        <v>472319.04000000004</v>
      </c>
      <c r="E218" s="40">
        <f>'TSAS Demand Revenues (7)'!D266</f>
        <v>472319.04000000004</v>
      </c>
      <c r="F218" s="40">
        <f>'TSAS Demand Revenues (7)'!E266</f>
        <v>472319.04000000004</v>
      </c>
      <c r="G218" s="40">
        <f>'TSAS Demand Revenues (7)'!F266</f>
        <v>472319.04000000004</v>
      </c>
      <c r="H218" s="40">
        <f>'TSAS Demand Revenues (7)'!G266</f>
        <v>472319.04000000004</v>
      </c>
      <c r="I218" s="40">
        <f>'TSAS Demand Revenues (7)'!H266</f>
        <v>472319.04000000004</v>
      </c>
      <c r="J218" s="40">
        <f>'TSAS Demand Revenues (7)'!I266</f>
        <v>472319.04000000004</v>
      </c>
      <c r="K218" s="40">
        <f>'TSAS Demand Revenues (7)'!J266</f>
        <v>472319.04000000004</v>
      </c>
      <c r="L218" s="40">
        <f>'TSAS Demand Revenues (7)'!K266</f>
        <v>472319.04000000004</v>
      </c>
      <c r="M218" s="40">
        <f>'TSAS Demand Revenues (7)'!L266</f>
        <v>472319.04000000004</v>
      </c>
      <c r="N218" s="40">
        <f>'TSAS Demand Revenues (7)'!M266</f>
        <v>472319.04000000004</v>
      </c>
      <c r="O218" s="43">
        <f t="shared" si="21"/>
        <v>5667828.4800000004</v>
      </c>
    </row>
    <row r="219" spans="1:17">
      <c r="A219" s="89" t="s">
        <v>146</v>
      </c>
      <c r="B219" s="216">
        <v>456.221</v>
      </c>
      <c r="C219" s="40">
        <f>'TSAS Scheduling Revenue (1)'!B268</f>
        <v>3784.4934400000002</v>
      </c>
      <c r="D219" s="40">
        <f>'TSAS Scheduling Revenue (1)'!C268</f>
        <v>3784.4934400000002</v>
      </c>
      <c r="E219" s="40">
        <f>'TSAS Scheduling Revenue (1)'!D268</f>
        <v>3784.4934400000002</v>
      </c>
      <c r="F219" s="40">
        <f>'TSAS Scheduling Revenue (1)'!E268</f>
        <v>3784.4934400000002</v>
      </c>
      <c r="G219" s="40">
        <f>'TSAS Scheduling Revenue (1)'!F268</f>
        <v>3784.4934400000002</v>
      </c>
      <c r="H219" s="40">
        <f>'TSAS Scheduling Revenue (1)'!G268</f>
        <v>3784.4934400000002</v>
      </c>
      <c r="I219" s="40">
        <f>'TSAS Scheduling Revenue (1)'!H268</f>
        <v>3784.4934400000002</v>
      </c>
      <c r="J219" s="40">
        <f>'TSAS Scheduling Revenue (1)'!I268</f>
        <v>3784.4934400000002</v>
      </c>
      <c r="K219" s="40">
        <f>'TSAS Scheduling Revenue (1)'!J268</f>
        <v>3784.4934400000002</v>
      </c>
      <c r="L219" s="40">
        <f>'TSAS Scheduling Revenue (1)'!K268</f>
        <v>3784.4934400000002</v>
      </c>
      <c r="M219" s="40">
        <f>'TSAS Scheduling Revenue (1)'!L268</f>
        <v>3784.4934400000002</v>
      </c>
      <c r="N219" s="40">
        <f>'TSAS Scheduling Revenue (1)'!M268</f>
        <v>3784.4934400000002</v>
      </c>
      <c r="O219" s="43">
        <f t="shared" si="21"/>
        <v>45413.921279999988</v>
      </c>
    </row>
    <row r="220" spans="1:17">
      <c r="A220" s="89" t="s">
        <v>77</v>
      </c>
      <c r="B220" s="216">
        <v>456.22199999999998</v>
      </c>
      <c r="C220" s="40">
        <f>'TSAS Reactive Revenues (2)'!B268</f>
        <v>28801.919999999998</v>
      </c>
      <c r="D220" s="40">
        <f>'TSAS Reactive Revenues (2)'!C268</f>
        <v>28801.919999999998</v>
      </c>
      <c r="E220" s="40">
        <f>'TSAS Reactive Revenues (2)'!D268</f>
        <v>28801.919999999998</v>
      </c>
      <c r="F220" s="40">
        <f>'TSAS Reactive Revenues (2)'!E268</f>
        <v>28801.919999999998</v>
      </c>
      <c r="G220" s="40">
        <f>'TSAS Reactive Revenues (2)'!F268</f>
        <v>28801.919999999998</v>
      </c>
      <c r="H220" s="40">
        <f>'TSAS Reactive Revenues (2)'!G268</f>
        <v>28801.919999999998</v>
      </c>
      <c r="I220" s="40">
        <f>'TSAS Reactive Revenues (2)'!H268</f>
        <v>28801.919999999998</v>
      </c>
      <c r="J220" s="40">
        <f>'TSAS Reactive Revenues (2)'!I268</f>
        <v>28801.919999999998</v>
      </c>
      <c r="K220" s="40">
        <f>'TSAS Reactive Revenues (2)'!J268</f>
        <v>28801.919999999998</v>
      </c>
      <c r="L220" s="40">
        <f>'TSAS Reactive Revenues (2)'!K268</f>
        <v>28801.919999999998</v>
      </c>
      <c r="M220" s="40">
        <f>'TSAS Reactive Revenues (2)'!L268</f>
        <v>28801.919999999998</v>
      </c>
      <c r="N220" s="40">
        <f>'TSAS Reactive Revenues (2)'!M268</f>
        <v>28801.919999999998</v>
      </c>
      <c r="O220" s="43">
        <f t="shared" si="21"/>
        <v>345623.03999999986</v>
      </c>
    </row>
    <row r="221" spans="1:17">
      <c r="A221" s="89" t="s">
        <v>124</v>
      </c>
      <c r="B221" s="216">
        <v>456.14499999999998</v>
      </c>
      <c r="C221" s="40">
        <f>Dynamic_Scheduling!B16</f>
        <v>7200</v>
      </c>
      <c r="D221" s="40">
        <f>Dynamic_Scheduling!C16</f>
        <v>7200</v>
      </c>
      <c r="E221" s="40">
        <f>Dynamic_Scheduling!D16</f>
        <v>7200</v>
      </c>
      <c r="F221" s="40">
        <f>Dynamic_Scheduling!E16</f>
        <v>7200</v>
      </c>
      <c r="G221" s="40">
        <f>Dynamic_Scheduling!F16</f>
        <v>7200</v>
      </c>
      <c r="H221" s="40">
        <f>Dynamic_Scheduling!G16</f>
        <v>7200</v>
      </c>
      <c r="I221" s="40">
        <f>Dynamic_Scheduling!H16</f>
        <v>7200</v>
      </c>
      <c r="J221" s="40">
        <f>Dynamic_Scheduling!I16</f>
        <v>7200</v>
      </c>
      <c r="K221" s="40">
        <f>Dynamic_Scheduling!J16</f>
        <v>7200</v>
      </c>
      <c r="L221" s="40">
        <f>Dynamic_Scheduling!K16</f>
        <v>7200</v>
      </c>
      <c r="M221" s="40">
        <f>Dynamic_Scheduling!L16</f>
        <v>7200</v>
      </c>
      <c r="N221" s="40">
        <f>Dynamic_Scheduling!M16</f>
        <v>7200</v>
      </c>
      <c r="O221" s="43">
        <f t="shared" si="21"/>
        <v>86400</v>
      </c>
    </row>
    <row r="222" spans="1:17">
      <c r="A222" s="89" t="s">
        <v>153</v>
      </c>
      <c r="B222" s="216">
        <v>456.21300000000002</v>
      </c>
      <c r="C222" s="40">
        <f>st_nf!D9</f>
        <v>252959.05</v>
      </c>
      <c r="D222" s="40">
        <f>st_nf!E9</f>
        <v>211139.89</v>
      </c>
      <c r="E222" s="40">
        <f>st_nf!F9</f>
        <v>230869.65</v>
      </c>
      <c r="F222" s="40">
        <f>st_nf!G9</f>
        <v>165524.70000000001</v>
      </c>
      <c r="G222" s="40">
        <f>st_nf!H9</f>
        <v>230869.65</v>
      </c>
      <c r="H222" s="40">
        <f>st_nf!I9</f>
        <v>338831.64</v>
      </c>
      <c r="I222" s="40">
        <f>st_nf!J9</f>
        <v>225520.52</v>
      </c>
      <c r="J222" s="40">
        <f>st_nf!K9</f>
        <v>328491.74</v>
      </c>
      <c r="K222" s="40">
        <f>st_nf!L9</f>
        <v>320710.51</v>
      </c>
      <c r="L222" s="40">
        <f>st_nf!M9</f>
        <v>438157.95</v>
      </c>
      <c r="M222" s="40">
        <f>st_nf!N9</f>
        <v>323720.68</v>
      </c>
      <c r="N222" s="40">
        <f>st_nf!O9</f>
        <v>226700.14</v>
      </c>
      <c r="O222" s="43">
        <f t="shared" si="21"/>
        <v>3293496.1200000006</v>
      </c>
    </row>
    <row r="223" spans="1:17">
      <c r="A223" s="89" t="s">
        <v>154</v>
      </c>
      <c r="B223" s="216">
        <v>456.22300000000001</v>
      </c>
      <c r="C223" s="217">
        <f>st_nf!D10</f>
        <v>31266.38</v>
      </c>
      <c r="D223" s="217">
        <f>st_nf!E10</f>
        <v>33737.19</v>
      </c>
      <c r="E223" s="217">
        <f>st_nf!F10</f>
        <v>33995.410000000003</v>
      </c>
      <c r="F223" s="217">
        <f>st_nf!G10</f>
        <v>34925.39</v>
      </c>
      <c r="G223" s="217">
        <f>st_nf!H10</f>
        <v>33923.370000000003</v>
      </c>
      <c r="H223" s="217">
        <f>st_nf!I10</f>
        <v>16500.57</v>
      </c>
      <c r="I223" s="217">
        <f>st_nf!J10</f>
        <v>25237.65</v>
      </c>
      <c r="J223" s="217">
        <f>st_nf!K10</f>
        <v>31769.99</v>
      </c>
      <c r="K223" s="217">
        <f>st_nf!L10</f>
        <v>41391.03</v>
      </c>
      <c r="L223" s="217">
        <f>st_nf!M10</f>
        <v>29168.31</v>
      </c>
      <c r="M223" s="217">
        <f>st_nf!N10</f>
        <v>28251.96</v>
      </c>
      <c r="N223" s="217">
        <f>st_nf!O10</f>
        <v>31973.599999999999</v>
      </c>
      <c r="O223" s="217">
        <f>SUM(C223:N223)</f>
        <v>372140.85</v>
      </c>
    </row>
    <row r="224" spans="1:17" ht="10.8" thickBot="1">
      <c r="A224" s="89" t="s">
        <v>155</v>
      </c>
      <c r="B224" s="89"/>
      <c r="C224" s="386">
        <f t="shared" ref="C224:O224" si="23">SUM(C182:C223)</f>
        <v>4214968.333962163</v>
      </c>
      <c r="D224" s="386">
        <f t="shared" si="23"/>
        <v>4189684.2473618751</v>
      </c>
      <c r="E224" s="386">
        <f t="shared" si="23"/>
        <v>3868910.8070934997</v>
      </c>
      <c r="F224" s="386">
        <f t="shared" si="23"/>
        <v>3712380.9842874226</v>
      </c>
      <c r="G224" s="386">
        <f t="shared" si="23"/>
        <v>4025213.8509764667</v>
      </c>
      <c r="H224" s="386">
        <f t="shared" si="23"/>
        <v>4472421.4656526679</v>
      </c>
      <c r="I224" s="386">
        <f t="shared" si="23"/>
        <v>4539143.3216156494</v>
      </c>
      <c r="J224" s="386">
        <f t="shared" si="23"/>
        <v>4659399.3482698649</v>
      </c>
      <c r="K224" s="386">
        <f t="shared" si="23"/>
        <v>4619183.6391254785</v>
      </c>
      <c r="L224" s="386">
        <f t="shared" si="23"/>
        <v>4297585.083190904</v>
      </c>
      <c r="M224" s="386">
        <f t="shared" si="23"/>
        <v>4052210.6501004887</v>
      </c>
      <c r="N224" s="386">
        <f t="shared" si="23"/>
        <v>3717879.2009173864</v>
      </c>
      <c r="O224" s="386">
        <f t="shared" si="23"/>
        <v>50368980.93255385</v>
      </c>
    </row>
    <row r="225" spans="1:15" ht="10.8" thickTop="1">
      <c r="A225" s="89"/>
      <c r="B225" s="89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</row>
    <row r="226" spans="1:15">
      <c r="A226" s="89"/>
      <c r="B226" s="89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0"/>
    </row>
    <row r="227" spans="1:15">
      <c r="A227" s="89" t="s">
        <v>131</v>
      </c>
      <c r="B227" s="216">
        <v>456.25200000000001</v>
      </c>
      <c r="C227" s="44">
        <f>'SECI-Credit Settlement'!$B$11*(-1)</f>
        <v>-566426.91666666674</v>
      </c>
      <c r="D227" s="44">
        <f>'SECI-Credit Settlement'!$B$11*(-1)</f>
        <v>-566426.91666666674</v>
      </c>
      <c r="E227" s="44">
        <f>'SECI-Credit Settlement'!$B$11*(-1)</f>
        <v>-566426.91666666674</v>
      </c>
      <c r="F227" s="44">
        <f>'SECI-Credit Settlement'!$B$11*(-1)</f>
        <v>-566426.91666666674</v>
      </c>
      <c r="G227" s="44">
        <f>'SECI-Credit Settlement'!$B$11*(-1)</f>
        <v>-566426.91666666674</v>
      </c>
      <c r="H227" s="44">
        <f>'SECI-Credit Settlement'!$B$11*(-1)</f>
        <v>-566426.91666666674</v>
      </c>
      <c r="I227" s="44">
        <f>'SECI-Credit Settlement'!$B$11*(-1)</f>
        <v>-566426.91666666674</v>
      </c>
      <c r="J227" s="44">
        <f>'SECI-Credit Settlement'!$B$11*(-1)</f>
        <v>-566426.91666666674</v>
      </c>
      <c r="K227" s="44">
        <f>'SECI-Credit Settlement'!$B$11*(-1)</f>
        <v>-566426.91666666674</v>
      </c>
      <c r="L227" s="44">
        <f>'SECI-Credit Settlement'!$B$11*(-1)</f>
        <v>-566426.91666666674</v>
      </c>
      <c r="M227" s="44">
        <f>'SECI-Credit Settlement'!$B$11*(-1)</f>
        <v>-566426.91666666674</v>
      </c>
      <c r="N227" s="44">
        <f>'SECI-Credit Settlement'!$B$11*(-1)</f>
        <v>-566426.91666666674</v>
      </c>
      <c r="O227" s="41">
        <f>SUM(C227:N227)</f>
        <v>-6797123.0000000028</v>
      </c>
    </row>
    <row r="228" spans="1:15">
      <c r="A228" s="88"/>
      <c r="B228" s="88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</row>
    <row r="229" spans="1:15">
      <c r="A229" s="88" t="s">
        <v>245</v>
      </c>
      <c r="B229" s="88"/>
      <c r="C229" s="40">
        <f>C224+C227</f>
        <v>3648541.417295496</v>
      </c>
      <c r="D229" s="40">
        <f t="shared" ref="D229:O229" si="24">D224+D227</f>
        <v>3623257.3306952082</v>
      </c>
      <c r="E229" s="40">
        <f t="shared" si="24"/>
        <v>3302483.8904268332</v>
      </c>
      <c r="F229" s="40">
        <f t="shared" si="24"/>
        <v>3145954.0676207561</v>
      </c>
      <c r="G229" s="40">
        <f t="shared" si="24"/>
        <v>3458786.9343098002</v>
      </c>
      <c r="H229" s="40">
        <f t="shared" si="24"/>
        <v>3905994.5489860009</v>
      </c>
      <c r="I229" s="40">
        <f t="shared" si="24"/>
        <v>3972716.4049489824</v>
      </c>
      <c r="J229" s="40">
        <f t="shared" si="24"/>
        <v>4092972.4316031979</v>
      </c>
      <c r="K229" s="40">
        <f t="shared" si="24"/>
        <v>4052756.7224588115</v>
      </c>
      <c r="L229" s="40">
        <f t="shared" si="24"/>
        <v>3731158.166524237</v>
      </c>
      <c r="M229" s="40">
        <f t="shared" si="24"/>
        <v>3485783.7334338222</v>
      </c>
      <c r="N229" s="40">
        <f t="shared" si="24"/>
        <v>3151452.2842507195</v>
      </c>
      <c r="O229" s="40">
        <f t="shared" si="24"/>
        <v>43571857.93255385</v>
      </c>
    </row>
    <row r="232" spans="1:15">
      <c r="A232" s="203" t="s">
        <v>218</v>
      </c>
      <c r="B232" s="209"/>
      <c r="C232" s="201" t="s">
        <v>0</v>
      </c>
      <c r="D232" s="201" t="s">
        <v>1</v>
      </c>
      <c r="E232" s="201" t="s">
        <v>2</v>
      </c>
      <c r="F232" s="201" t="s">
        <v>3</v>
      </c>
      <c r="G232" s="201" t="s">
        <v>4</v>
      </c>
      <c r="H232" s="201" t="s">
        <v>5</v>
      </c>
      <c r="I232" s="201" t="s">
        <v>6</v>
      </c>
      <c r="J232" s="201" t="s">
        <v>7</v>
      </c>
      <c r="K232" s="201" t="s">
        <v>8</v>
      </c>
      <c r="L232" s="201" t="s">
        <v>9</v>
      </c>
      <c r="M232" s="201" t="s">
        <v>10</v>
      </c>
      <c r="N232" s="201" t="s">
        <v>11</v>
      </c>
      <c r="O232" s="202" t="s">
        <v>12</v>
      </c>
    </row>
    <row r="233" spans="1:15">
      <c r="A233" s="90"/>
      <c r="B233" s="90"/>
    </row>
    <row r="234" spans="1:15">
      <c r="A234" s="89" t="s">
        <v>79</v>
      </c>
      <c r="B234" s="216">
        <v>456.21100000000001</v>
      </c>
      <c r="C234" s="40">
        <f>'FMPA Network'!B116</f>
        <v>691813.77000000014</v>
      </c>
      <c r="D234" s="40">
        <f>'FMPA Network'!C116</f>
        <v>644851.53</v>
      </c>
      <c r="E234" s="40">
        <f>'FMPA Network'!D116</f>
        <v>564042.96000000008</v>
      </c>
      <c r="F234" s="40">
        <f>'FMPA Network'!E116</f>
        <v>605985.57000000007</v>
      </c>
      <c r="G234" s="40">
        <f>'FMPA Network'!F116</f>
        <v>683717.49</v>
      </c>
      <c r="H234" s="40">
        <f>'FMPA Network'!G116</f>
        <v>743635.05</v>
      </c>
      <c r="I234" s="40">
        <f>'FMPA Network'!H116</f>
        <v>769383.51</v>
      </c>
      <c r="J234" s="40">
        <f>'FMPA Network'!I116</f>
        <v>782501.01</v>
      </c>
      <c r="K234" s="40">
        <f>'FMPA Network'!J116</f>
        <v>713838.45000000007</v>
      </c>
      <c r="L234" s="40">
        <f>'FMPA Network'!K116</f>
        <v>659587.65</v>
      </c>
      <c r="M234" s="40">
        <f>'FMPA Network'!L116</f>
        <v>590600.73</v>
      </c>
      <c r="N234" s="40">
        <f>'FMPA Network'!M116</f>
        <v>566795.25</v>
      </c>
      <c r="O234" s="40">
        <f t="shared" ref="O234:O248" si="25">SUM(C234:N234)</f>
        <v>8016752.9700000007</v>
      </c>
    </row>
    <row r="235" spans="1:15">
      <c r="A235" s="89" t="s">
        <v>142</v>
      </c>
      <c r="B235" s="216">
        <v>456.221</v>
      </c>
      <c r="C235" s="40">
        <f>'FMPA Network'!B123</f>
        <v>5543.2122200000003</v>
      </c>
      <c r="D235" s="40">
        <f>'FMPA Network'!C123</f>
        <v>5166.9235799999997</v>
      </c>
      <c r="E235" s="40">
        <f>'FMPA Network'!D123</f>
        <v>4519.4385599999996</v>
      </c>
      <c r="F235" s="40">
        <f>'FMPA Network'!E123</f>
        <v>4855.50702</v>
      </c>
      <c r="G235" s="40">
        <f>'FMPA Network'!F123</f>
        <v>5478.3401400000002</v>
      </c>
      <c r="H235" s="40">
        <f>'FMPA Network'!G123</f>
        <v>5958.4342999999999</v>
      </c>
      <c r="I235" s="40">
        <f>'FMPA Network'!H123</f>
        <v>6164.74586</v>
      </c>
      <c r="J235" s="40">
        <f>'FMPA Network'!I123</f>
        <v>6269.8508599999996</v>
      </c>
      <c r="K235" s="40">
        <f>'FMPA Network'!J123</f>
        <v>5719.6867000000002</v>
      </c>
      <c r="L235" s="40">
        <f>'FMPA Network'!K123</f>
        <v>5284.9978999999994</v>
      </c>
      <c r="M235" s="40">
        <f>'FMPA Network'!L123</f>
        <v>4732.2347799999998</v>
      </c>
      <c r="N235" s="40">
        <f>'FMPA Network'!M123</f>
        <v>4541.4915000000001</v>
      </c>
      <c r="O235" s="40">
        <f>SUM(C235:N235)</f>
        <v>64234.863419999994</v>
      </c>
    </row>
    <row r="236" spans="1:15">
      <c r="A236" s="89" t="s">
        <v>78</v>
      </c>
      <c r="B236" s="216">
        <v>456.22199999999998</v>
      </c>
      <c r="C236" s="40">
        <f>'FMPA Network'!B130</f>
        <v>30457.210000000006</v>
      </c>
      <c r="D236" s="40">
        <f>'FMPA Network'!C130</f>
        <v>28389.690000000002</v>
      </c>
      <c r="E236" s="40">
        <f>'FMPA Network'!D130</f>
        <v>24832.080000000002</v>
      </c>
      <c r="F236" s="40">
        <f>'FMPA Network'!E130</f>
        <v>26678.610000000004</v>
      </c>
      <c r="G236" s="40">
        <f>'FMPA Network'!F130</f>
        <v>30100.770000000004</v>
      </c>
      <c r="H236" s="40">
        <f>'FMPA Network'!G130</f>
        <v>32738.65</v>
      </c>
      <c r="I236" s="40">
        <f>'FMPA Network'!H130</f>
        <v>33872.230000000003</v>
      </c>
      <c r="J236" s="40">
        <f>'FMPA Network'!I130</f>
        <v>34449.730000000003</v>
      </c>
      <c r="K236" s="40">
        <f>'FMPA Network'!J130</f>
        <v>31426.850000000002</v>
      </c>
      <c r="L236" s="40">
        <f>'FMPA Network'!K130</f>
        <v>29038.450000000004</v>
      </c>
      <c r="M236" s="40">
        <f>'FMPA Network'!L130</f>
        <v>26001.29</v>
      </c>
      <c r="N236" s="40">
        <f>'FMPA Network'!M130</f>
        <v>24953.250000000004</v>
      </c>
      <c r="O236" s="40">
        <f>SUM(C236:N236)</f>
        <v>352938.81</v>
      </c>
    </row>
    <row r="237" spans="1:15">
      <c r="A237" s="89" t="s">
        <v>125</v>
      </c>
      <c r="B237" s="216">
        <v>456.21100000000001</v>
      </c>
      <c r="C237" s="40">
        <f>'Vero Beach Network'!B115</f>
        <v>291494.7</v>
      </c>
      <c r="D237" s="40">
        <f>'Vero Beach Network'!C115</f>
        <v>254248.95</v>
      </c>
      <c r="E237" s="40">
        <f>'Vero Beach Network'!D115</f>
        <v>202427.67</v>
      </c>
      <c r="F237" s="40">
        <f>'Vero Beach Network'!E115</f>
        <v>208905.33000000002</v>
      </c>
      <c r="G237" s="40">
        <f>'Vero Beach Network'!F115</f>
        <v>231577.14</v>
      </c>
      <c r="H237" s="40">
        <f>'Vero Beach Network'!G115</f>
        <v>254248.95</v>
      </c>
      <c r="I237" s="40">
        <f>'Vero Beach Network'!H115</f>
        <v>251010.12000000002</v>
      </c>
      <c r="J237" s="40">
        <f>'Vero Beach Network'!I115</f>
        <v>268822.89</v>
      </c>
      <c r="K237" s="40">
        <f>'Vero Beach Network'!J115</f>
        <v>254248.95</v>
      </c>
      <c r="L237" s="40">
        <f>'Vero Beach Network'!K115</f>
        <v>239673.42</v>
      </c>
      <c r="M237" s="40">
        <f>'Vero Beach Network'!L115</f>
        <v>204046.29</v>
      </c>
      <c r="N237" s="40">
        <f>'Vero Beach Network'!M115</f>
        <v>229956.93000000002</v>
      </c>
      <c r="O237" s="40">
        <f t="shared" si="25"/>
        <v>2890661.3400000003</v>
      </c>
    </row>
    <row r="238" spans="1:15">
      <c r="A238" s="89" t="s">
        <v>143</v>
      </c>
      <c r="B238" s="216">
        <v>456.221</v>
      </c>
      <c r="C238" s="40">
        <f>'Vero Beach Network'!B122</f>
        <v>2335.6241999999997</v>
      </c>
      <c r="D238" s="40">
        <f>'Vero Beach Network'!C122</f>
        <v>2037.1896999999999</v>
      </c>
      <c r="E238" s="40">
        <f>'Vero Beach Network'!D122</f>
        <v>1621.9676199999999</v>
      </c>
      <c r="F238" s="40">
        <f>'Vero Beach Network'!E122</f>
        <v>1673.8703799999998</v>
      </c>
      <c r="G238" s="40">
        <f>'Vero Beach Network'!F122</f>
        <v>1855.5300399999999</v>
      </c>
      <c r="H238" s="40">
        <f>'Vero Beach Network'!G122</f>
        <v>2037.1896999999999</v>
      </c>
      <c r="I238" s="40">
        <f>'Vero Beach Network'!H122</f>
        <v>2011.2383199999999</v>
      </c>
      <c r="J238" s="40">
        <f>'Vero Beach Network'!I122</f>
        <v>2153.9645399999999</v>
      </c>
      <c r="K238" s="40">
        <f>'Vero Beach Network'!J122</f>
        <v>2037.1896999999999</v>
      </c>
      <c r="L238" s="40">
        <f>'Vero Beach Network'!K122</f>
        <v>1920.40212</v>
      </c>
      <c r="M238" s="40">
        <f>'Vero Beach Network'!L122</f>
        <v>1634.93694</v>
      </c>
      <c r="N238" s="40">
        <f>'Vero Beach Network'!M122</f>
        <v>1842.5479800000001</v>
      </c>
      <c r="O238" s="40">
        <f t="shared" si="25"/>
        <v>23161.651239999996</v>
      </c>
    </row>
    <row r="239" spans="1:15">
      <c r="A239" s="89" t="s">
        <v>126</v>
      </c>
      <c r="B239" s="216">
        <v>456.22199999999998</v>
      </c>
      <c r="C239" s="40">
        <f>'Vero Beach Network'!B129</f>
        <v>18479.664000000001</v>
      </c>
      <c r="D239" s="40">
        <f>'Vero Beach Network'!C129</f>
        <v>16118.424000000001</v>
      </c>
      <c r="E239" s="40">
        <f>'Vero Beach Network'!D129</f>
        <v>12833.1504</v>
      </c>
      <c r="F239" s="40">
        <f>'Vero Beach Network'!E129</f>
        <v>13243.809600000001</v>
      </c>
      <c r="G239" s="40">
        <f>'Vero Beach Network'!F129</f>
        <v>14681.1168</v>
      </c>
      <c r="H239" s="40">
        <f>'Vero Beach Network'!G129</f>
        <v>16118.424000000001</v>
      </c>
      <c r="I239" s="40">
        <f>'Vero Beach Network'!H129</f>
        <v>15913.0944</v>
      </c>
      <c r="J239" s="40">
        <f>'Vero Beach Network'!I129</f>
        <v>17042.356800000001</v>
      </c>
      <c r="K239" s="40">
        <f>'Vero Beach Network'!J129</f>
        <v>16118.424000000001</v>
      </c>
      <c r="L239" s="40">
        <f>'Vero Beach Network'!K129</f>
        <v>15194.3904</v>
      </c>
      <c r="M239" s="40">
        <f>'Vero Beach Network'!L129</f>
        <v>12935.764800000001</v>
      </c>
      <c r="N239" s="40">
        <f>'Vero Beach Network'!M129</f>
        <v>14578.401599999999</v>
      </c>
      <c r="O239" s="40">
        <f t="shared" si="25"/>
        <v>183257.02080000003</v>
      </c>
    </row>
    <row r="240" spans="1:15">
      <c r="A240" s="89" t="s">
        <v>80</v>
      </c>
      <c r="B240" s="216">
        <v>456.21100000000001</v>
      </c>
      <c r="C240" s="40">
        <f>'SECI Network'!B115</f>
        <v>882978.92002037703</v>
      </c>
      <c r="D240" s="40">
        <f>'SECI Network'!C115</f>
        <v>703609.42435048393</v>
      </c>
      <c r="E240" s="40">
        <f>'SECI Network'!D115</f>
        <v>646889.43453897105</v>
      </c>
      <c r="F240" s="40">
        <f>'SECI Network'!E115</f>
        <v>612465.0840550178</v>
      </c>
      <c r="G240" s="40">
        <f>'SECI Network'!F115</f>
        <v>691383.51502801839</v>
      </c>
      <c r="H240" s="40">
        <f>'SECI Network'!G115</f>
        <v>742780.28527763626</v>
      </c>
      <c r="I240" s="40">
        <f>'SECI Network'!H115</f>
        <v>736987.27457972488</v>
      </c>
      <c r="J240" s="40">
        <f>'SECI Network'!I115</f>
        <v>734673.95822720323</v>
      </c>
      <c r="K240" s="40">
        <f>'SECI Network'!J115</f>
        <v>744343.55578196631</v>
      </c>
      <c r="L240" s="40">
        <f>'SECI Network'!K115</f>
        <v>647049.81151299027</v>
      </c>
      <c r="M240" s="40">
        <f>'SECI Network'!L115</f>
        <v>623702.81202241464</v>
      </c>
      <c r="N240" s="40">
        <f>'SECI Network'!M115</f>
        <v>674752.90881304129</v>
      </c>
      <c r="O240" s="40">
        <f t="shared" si="25"/>
        <v>8441616.9842078462</v>
      </c>
    </row>
    <row r="241" spans="1:15">
      <c r="A241" s="89" t="s">
        <v>144</v>
      </c>
      <c r="B241" s="216">
        <v>456.221</v>
      </c>
      <c r="C241" s="40">
        <f>'SECI Network'!B120</f>
        <v>7074.9380132450333</v>
      </c>
      <c r="D241" s="40">
        <f>'SECI Network'!C120</f>
        <v>5637.7258278145691</v>
      </c>
      <c r="E241" s="40">
        <f>'SECI Network'!D120</f>
        <v>5183.2524503311261</v>
      </c>
      <c r="F241" s="40">
        <f>'SECI Network'!E120</f>
        <v>4907.4246357615893</v>
      </c>
      <c r="G241" s="40">
        <f>'SECI Network'!F120</f>
        <v>5539.7647682119205</v>
      </c>
      <c r="H241" s="40">
        <f>'SECI Network'!G120</f>
        <v>5951.5854304635759</v>
      </c>
      <c r="I241" s="40">
        <f>'SECI Network'!H120</f>
        <v>5905.1684768211917</v>
      </c>
      <c r="J241" s="40">
        <f>'SECI Network'!I120</f>
        <v>5886.6328476821191</v>
      </c>
      <c r="K241" s="40">
        <f>'SECI Network'!J120</f>
        <v>5964.1112582781452</v>
      </c>
      <c r="L241" s="40">
        <f>'SECI Network'!K120</f>
        <v>5184.537483443708</v>
      </c>
      <c r="M241" s="40">
        <f>'SECI Network'!L120</f>
        <v>4997.4678145695361</v>
      </c>
      <c r="N241" s="40">
        <f>'SECI Network'!M120</f>
        <v>5406.510728476821</v>
      </c>
      <c r="O241" s="40">
        <f t="shared" si="25"/>
        <v>67639.119735099332</v>
      </c>
    </row>
    <row r="242" spans="1:15">
      <c r="A242" s="89" t="s">
        <v>76</v>
      </c>
      <c r="B242" s="216">
        <v>456.22199999999998</v>
      </c>
      <c r="C242" s="40">
        <f>'SECI Network'!B125</f>
        <v>11106.653082017321</v>
      </c>
      <c r="D242" s="40">
        <f>'SECI Network'!C125</f>
        <v>8850.4330106979105</v>
      </c>
      <c r="E242" s="40">
        <f>'SECI Network'!D125</f>
        <v>8136.9740193581256</v>
      </c>
      <c r="F242" s="40">
        <f>'SECI Network'!E125</f>
        <v>7703.9633214467649</v>
      </c>
      <c r="G242" s="40">
        <f>'SECI Network'!F125</f>
        <v>8696.6479877738147</v>
      </c>
      <c r="H242" s="40">
        <f>'SECI Network'!G125</f>
        <v>9343.1482424859896</v>
      </c>
      <c r="I242" s="40">
        <f>'SECI Network'!H125</f>
        <v>9270.280183392766</v>
      </c>
      <c r="J242" s="40">
        <f>'SECI Network'!I125</f>
        <v>9241.1818644931227</v>
      </c>
      <c r="K242" s="40">
        <f>'SECI Network'!J125</f>
        <v>9362.8120224146714</v>
      </c>
      <c r="L242" s="40">
        <f>'SECI Network'!K125</f>
        <v>8138.991339786041</v>
      </c>
      <c r="M242" s="40">
        <f>'SECI Network'!L125</f>
        <v>7845.3183902190522</v>
      </c>
      <c r="N242" s="40">
        <f>'SECI Network'!M125</f>
        <v>8487.4579724910836</v>
      </c>
      <c r="O242" s="40">
        <f t="shared" si="25"/>
        <v>106183.86143657666</v>
      </c>
    </row>
    <row r="243" spans="1:15">
      <c r="A243" s="89" t="s">
        <v>57</v>
      </c>
      <c r="B243" s="216">
        <v>456.22399999999999</v>
      </c>
      <c r="C243" s="40">
        <f>SECI_Regulation_Imbalance!B78</f>
        <v>36120.501820682628</v>
      </c>
      <c r="D243" s="40">
        <f>SECI_Regulation_Imbalance!C78</f>
        <v>28782.935715741205</v>
      </c>
      <c r="E243" s="40">
        <f>SECI_Regulation_Imbalance!D78</f>
        <v>26462.660057055527</v>
      </c>
      <c r="F243" s="40">
        <f>SECI_Regulation_Imbalance!E78</f>
        <v>25054.444315843095</v>
      </c>
      <c r="G243" s="40">
        <f>SECI_Regulation_Imbalance!F78</f>
        <v>28282.803753438609</v>
      </c>
      <c r="H243" s="40">
        <f>SECI_Regulation_Imbalance!G78</f>
        <v>30385.319556800809</v>
      </c>
      <c r="I243" s="40">
        <f>SECI_Regulation_Imbalance!H78</f>
        <v>30148.34169842078</v>
      </c>
      <c r="J243" s="40">
        <f>SECI_Regulation_Imbalance!I78</f>
        <v>30053.70960061131</v>
      </c>
      <c r="K243" s="40">
        <f>SECI_Regulation_Imbalance!J78</f>
        <v>30449.269118695869</v>
      </c>
      <c r="L243" s="40">
        <f>SECI_Regulation_Imbalance!K78</f>
        <v>26469.22068568517</v>
      </c>
      <c r="M243" s="40">
        <f>SECI_Regulation_Imbalance!L78</f>
        <v>25514.152202750887</v>
      </c>
      <c r="N243" s="40">
        <f>SECI_Regulation_Imbalance!M78</f>
        <v>27602.486445236878</v>
      </c>
      <c r="O243" s="40">
        <f t="shared" si="25"/>
        <v>345325.84497096279</v>
      </c>
    </row>
    <row r="244" spans="1:15">
      <c r="A244" s="89" t="s">
        <v>275</v>
      </c>
      <c r="B244" s="216">
        <v>456.24900000000002</v>
      </c>
      <c r="C244" s="44">
        <f>'Radial Facilities'!B77</f>
        <v>20622.16</v>
      </c>
      <c r="D244" s="44">
        <f>'Radial Facilities'!C77</f>
        <v>20405.489999999998</v>
      </c>
      <c r="E244" s="44">
        <f>'Radial Facilities'!D77</f>
        <v>20405.489999999998</v>
      </c>
      <c r="F244" s="44">
        <f>'Radial Facilities'!E77</f>
        <v>20405.489999999998</v>
      </c>
      <c r="G244" s="44">
        <f>'Radial Facilities'!F77</f>
        <v>20405.489999999998</v>
      </c>
      <c r="H244" s="44">
        <f>'Radial Facilities'!G77</f>
        <v>20405.489999999998</v>
      </c>
      <c r="I244" s="44">
        <f>'Radial Facilities'!H77</f>
        <v>20405.489999999998</v>
      </c>
      <c r="J244" s="44">
        <f>'Radial Facilities'!I77</f>
        <v>20405.489999999998</v>
      </c>
      <c r="K244" s="44">
        <f>'Radial Facilities'!J77</f>
        <v>20405.489999999998</v>
      </c>
      <c r="L244" s="44">
        <f>'Radial Facilities'!K77</f>
        <v>20405.489999999998</v>
      </c>
      <c r="M244" s="44">
        <f>'Radial Facilities'!L77</f>
        <v>20405.489999999998</v>
      </c>
      <c r="N244" s="44">
        <f>'Radial Facilities'!M77</f>
        <v>20405.489999999998</v>
      </c>
      <c r="O244" s="41">
        <f t="shared" si="25"/>
        <v>245082.54999999993</v>
      </c>
    </row>
    <row r="245" spans="1:15">
      <c r="A245" s="89" t="s">
        <v>129</v>
      </c>
      <c r="B245" s="216">
        <v>456.21100000000001</v>
      </c>
      <c r="C245" s="44">
        <f>'LCEC Network'!B86</f>
        <v>870016.4611237247</v>
      </c>
      <c r="D245" s="44">
        <f>'LCEC Network'!C86</f>
        <v>1185999.9936089597</v>
      </c>
      <c r="E245" s="44">
        <f>'LCEC Network'!D86</f>
        <v>1064689.5405121818</v>
      </c>
      <c r="F245" s="44">
        <f>'LCEC Network'!E86</f>
        <v>981233.19939946721</v>
      </c>
      <c r="G245" s="44">
        <f>'LCEC Network'!F86</f>
        <v>966264.38125860307</v>
      </c>
      <c r="H245" s="44">
        <f>'LCEC Network'!G86</f>
        <v>1118459.2715716555</v>
      </c>
      <c r="I245" s="44">
        <f>'LCEC Network'!H86</f>
        <v>1226254.5693463837</v>
      </c>
      <c r="J245" s="44">
        <f>'LCEC Network'!I86</f>
        <v>1197859.4240150116</v>
      </c>
      <c r="K245" s="44">
        <f>'LCEC Network'!J86</f>
        <v>1252819.1714598774</v>
      </c>
      <c r="L245" s="44">
        <f>'LCEC Network'!K86</f>
        <v>1075883.1914098314</v>
      </c>
      <c r="M245" s="44">
        <f>'LCEC Network'!L86</f>
        <v>1130610.2532188396</v>
      </c>
      <c r="N245" s="44">
        <f>'LCEC Network'!M86</f>
        <v>927459.22995619313</v>
      </c>
      <c r="O245" s="41">
        <f t="shared" si="25"/>
        <v>12997548.686880728</v>
      </c>
    </row>
    <row r="246" spans="1:15">
      <c r="A246" s="89" t="s">
        <v>145</v>
      </c>
      <c r="B246" s="216">
        <v>456.221</v>
      </c>
      <c r="C246" s="44">
        <f>'LCEC Network'!B93</f>
        <v>6971.0752922743713</v>
      </c>
      <c r="D246" s="44">
        <f>'LCEC Network'!C93</f>
        <v>9502.9181877849969</v>
      </c>
      <c r="E246" s="44">
        <f>'LCEC Network'!D93</f>
        <v>8530.9086453617583</v>
      </c>
      <c r="F246" s="44">
        <f>'LCEC Network'!E93</f>
        <v>7862.2081511630258</v>
      </c>
      <c r="G246" s="44">
        <f>'LCEC Network'!F93</f>
        <v>7742.2693190154732</v>
      </c>
      <c r="H246" s="44">
        <f>'LCEC Network'!G93</f>
        <v>8961.7428426559054</v>
      </c>
      <c r="I246" s="44">
        <f>'LCEC Network'!H93</f>
        <v>9825.4611405490105</v>
      </c>
      <c r="J246" s="44">
        <f>'LCEC Network'!I93</f>
        <v>9597.9428062586467</v>
      </c>
      <c r="K246" s="44">
        <f>'LCEC Network'!J93</f>
        <v>10038.312103395494</v>
      </c>
      <c r="L246" s="44">
        <f>'LCEC Network'!K93</f>
        <v>8620.5986531831768</v>
      </c>
      <c r="M246" s="44">
        <f>'LCEC Network'!L93</f>
        <v>9059.1035383698218</v>
      </c>
      <c r="N246" s="44">
        <f>'LCEC Network'!M93</f>
        <v>7431.3399934854715</v>
      </c>
      <c r="O246" s="41">
        <f t="shared" si="25"/>
        <v>104143.88067349714</v>
      </c>
    </row>
    <row r="247" spans="1:15">
      <c r="A247" s="89" t="s">
        <v>184</v>
      </c>
      <c r="B247" s="216">
        <v>456.21100000000001</v>
      </c>
      <c r="C247" s="44">
        <f>'FKEC Network'!B86</f>
        <v>184779.12550080568</v>
      </c>
      <c r="D247" s="44">
        <f>'FKEC Network'!C86</f>
        <v>180405.95576381907</v>
      </c>
      <c r="E247" s="44">
        <f>'FKEC Network'!D86</f>
        <v>191958.41238944817</v>
      </c>
      <c r="F247" s="44">
        <f>'FKEC Network'!E86</f>
        <v>182162.86843240311</v>
      </c>
      <c r="G247" s="44">
        <f>'FKEC Network'!F86</f>
        <v>216328.00124629348</v>
      </c>
      <c r="H247" s="44">
        <f>'FKEC Network'!G86</f>
        <v>229954.45628035106</v>
      </c>
      <c r="I247" s="44">
        <f>'FKEC Network'!H86</f>
        <v>236658.82519566218</v>
      </c>
      <c r="J247" s="44">
        <f>'FKEC Network'!I86</f>
        <v>256361.6804990033</v>
      </c>
      <c r="K247" s="44">
        <f>'FKEC Network'!J86</f>
        <v>250078.12365584876</v>
      </c>
      <c r="L247" s="44">
        <f>'FKEC Network'!K86</f>
        <v>230707.56255883502</v>
      </c>
      <c r="M247" s="44">
        <f>'FKEC Network'!L86</f>
        <v>220575.15959331242</v>
      </c>
      <c r="N247" s="44">
        <f>'FKEC Network'!M86</f>
        <v>195688.98150280409</v>
      </c>
      <c r="O247" s="41">
        <f t="shared" si="25"/>
        <v>2575659.1526185861</v>
      </c>
    </row>
    <row r="248" spans="1:15">
      <c r="A248" s="89" t="s">
        <v>185</v>
      </c>
      <c r="B248" s="216">
        <v>456.221</v>
      </c>
      <c r="C248" s="44">
        <f>'FKEC Network'!B93</f>
        <v>1480.5572697360153</v>
      </c>
      <c r="D248" s="44">
        <f>'FKEC Network'!C93</f>
        <v>1445.5169034157577</v>
      </c>
      <c r="E248" s="44">
        <f>'FKEC Network'!D93</f>
        <v>1538.0818703406096</v>
      </c>
      <c r="F248" s="44">
        <f>'FKEC Network'!E93</f>
        <v>1459.5943042948525</v>
      </c>
      <c r="G248" s="44">
        <f>'FKEC Network'!F93</f>
        <v>1733.3451169042635</v>
      </c>
      <c r="H248" s="44">
        <f>'FKEC Network'!G93</f>
        <v>1842.5281591268379</v>
      </c>
      <c r="I248" s="44">
        <f>'FKEC Network'!H93</f>
        <v>1896.2474421337961</v>
      </c>
      <c r="J248" s="44">
        <f>'FKEC Network'!I93</f>
        <v>2054.1181192184285</v>
      </c>
      <c r="K248" s="44">
        <f>'FKEC Network'!J93</f>
        <v>2003.7706260223351</v>
      </c>
      <c r="L248" s="44">
        <f>'FKEC Network'!K93</f>
        <v>1848.562482389659</v>
      </c>
      <c r="M248" s="44">
        <f>'FKEC Network'!L93</f>
        <v>1767.375807055849</v>
      </c>
      <c r="N248" s="44">
        <f>'FKEC Network'!M93</f>
        <v>1567.9733486451094</v>
      </c>
      <c r="O248" s="41">
        <f t="shared" si="25"/>
        <v>20637.671449283513</v>
      </c>
    </row>
    <row r="249" spans="1:15">
      <c r="A249" s="89" t="s">
        <v>202</v>
      </c>
      <c r="B249" s="216">
        <v>456.21100000000001</v>
      </c>
      <c r="C249" s="44">
        <f>'Wauchula Network'!B86</f>
        <v>0</v>
      </c>
      <c r="D249" s="44">
        <f>'Wauchula Network'!C86</f>
        <v>0</v>
      </c>
      <c r="E249" s="44">
        <f>'Wauchula Network'!D86</f>
        <v>0</v>
      </c>
      <c r="F249" s="44">
        <f>'Wauchula Network'!E86</f>
        <v>0</v>
      </c>
      <c r="G249" s="44">
        <f>'Wauchula Network'!F86</f>
        <v>0</v>
      </c>
      <c r="H249" s="44">
        <f>'Wauchula Network'!G86</f>
        <v>0</v>
      </c>
      <c r="I249" s="44">
        <f>'Wauchula Network'!H86</f>
        <v>0</v>
      </c>
      <c r="J249" s="44">
        <f>'Wauchula Network'!I86</f>
        <v>0</v>
      </c>
      <c r="K249" s="44">
        <f>'Wauchula Network'!J86</f>
        <v>0</v>
      </c>
      <c r="L249" s="44">
        <f>'Wauchula Network'!K86</f>
        <v>0</v>
      </c>
      <c r="M249" s="44">
        <f>'Wauchula Network'!L86</f>
        <v>0</v>
      </c>
      <c r="N249" s="44">
        <f>'Wauchula Network'!M86</f>
        <v>0</v>
      </c>
      <c r="O249" s="41">
        <f>SUM(C249:N249)</f>
        <v>0</v>
      </c>
    </row>
    <row r="250" spans="1:15">
      <c r="A250" s="89" t="s">
        <v>203</v>
      </c>
      <c r="B250" s="216">
        <v>456.221</v>
      </c>
      <c r="C250" s="44">
        <f>'Wauchula Network'!B93</f>
        <v>0</v>
      </c>
      <c r="D250" s="44">
        <f>'Wauchula Network'!C93</f>
        <v>0</v>
      </c>
      <c r="E250" s="44">
        <f>'Wauchula Network'!D93</f>
        <v>0</v>
      </c>
      <c r="F250" s="44">
        <f>'Wauchula Network'!E93</f>
        <v>0</v>
      </c>
      <c r="G250" s="44">
        <f>'Wauchula Network'!F93</f>
        <v>0</v>
      </c>
      <c r="H250" s="44">
        <f>'Wauchula Network'!G93</f>
        <v>0</v>
      </c>
      <c r="I250" s="44">
        <f>'Wauchula Network'!H93</f>
        <v>0</v>
      </c>
      <c r="J250" s="44">
        <f>'Wauchula Network'!I93</f>
        <v>0</v>
      </c>
      <c r="K250" s="44">
        <f>'Wauchula Network'!J93</f>
        <v>0</v>
      </c>
      <c r="L250" s="44">
        <f>'Wauchula Network'!K93</f>
        <v>0</v>
      </c>
      <c r="M250" s="44">
        <f>'Wauchula Network'!L93</f>
        <v>0</v>
      </c>
      <c r="N250" s="44">
        <f>'Wauchula Network'!M93</f>
        <v>0</v>
      </c>
      <c r="O250" s="41">
        <f>SUM(C250:N250)</f>
        <v>0</v>
      </c>
    </row>
    <row r="251" spans="1:15">
      <c r="A251" s="89" t="s">
        <v>272</v>
      </c>
      <c r="B251" s="216">
        <v>456.21100000000001</v>
      </c>
      <c r="C251" s="44">
        <f>'Blountstown Network'!B85</f>
        <v>0</v>
      </c>
      <c r="D251" s="44">
        <f>'Blountstown Network'!C85</f>
        <v>0</v>
      </c>
      <c r="E251" s="44">
        <f>'Blountstown Network'!D85</f>
        <v>0</v>
      </c>
      <c r="F251" s="44">
        <f>'Blountstown Network'!E85</f>
        <v>0</v>
      </c>
      <c r="G251" s="44">
        <f>'Blountstown Network'!F85</f>
        <v>0</v>
      </c>
      <c r="H251" s="44">
        <f>'Blountstown Network'!G85</f>
        <v>0</v>
      </c>
      <c r="I251" s="44">
        <f>'Blountstown Network'!H85</f>
        <v>0</v>
      </c>
      <c r="J251" s="44">
        <f>'Blountstown Network'!I85</f>
        <v>0</v>
      </c>
      <c r="K251" s="44">
        <f>'Blountstown Network'!J85</f>
        <v>0</v>
      </c>
      <c r="L251" s="44">
        <f>'Blountstown Network'!K85</f>
        <v>0</v>
      </c>
      <c r="M251" s="44">
        <f>'Blountstown Network'!L85</f>
        <v>0</v>
      </c>
      <c r="N251" s="44">
        <f>'Blountstown Network'!M85</f>
        <v>0</v>
      </c>
      <c r="O251" s="41">
        <f t="shared" ref="O251:O269" si="26">SUM(C251:N251)</f>
        <v>0</v>
      </c>
    </row>
    <row r="252" spans="1:15">
      <c r="A252" s="89" t="s">
        <v>273</v>
      </c>
      <c r="B252" s="216">
        <v>456.221</v>
      </c>
      <c r="C252" s="44">
        <f>'Blountstown Network'!B92</f>
        <v>0</v>
      </c>
      <c r="D252" s="44">
        <f>'Blountstown Network'!C92</f>
        <v>0</v>
      </c>
      <c r="E252" s="44">
        <f>'Blountstown Network'!D92</f>
        <v>0</v>
      </c>
      <c r="F252" s="44">
        <f>'Blountstown Network'!E92</f>
        <v>0</v>
      </c>
      <c r="G252" s="44">
        <f>'Blountstown Network'!F92</f>
        <v>0</v>
      </c>
      <c r="H252" s="44">
        <f>'Blountstown Network'!G92</f>
        <v>0</v>
      </c>
      <c r="I252" s="44">
        <f>'Blountstown Network'!H92</f>
        <v>0</v>
      </c>
      <c r="J252" s="44">
        <f>'Blountstown Network'!I92</f>
        <v>0</v>
      </c>
      <c r="K252" s="44">
        <f>'Blountstown Network'!J92</f>
        <v>0</v>
      </c>
      <c r="L252" s="44">
        <f>'Blountstown Network'!K92</f>
        <v>0</v>
      </c>
      <c r="M252" s="44">
        <f>'Blountstown Network'!L92</f>
        <v>0</v>
      </c>
      <c r="N252" s="44">
        <f>'Blountstown Network'!M92</f>
        <v>0</v>
      </c>
      <c r="O252" s="41">
        <f t="shared" si="26"/>
        <v>0</v>
      </c>
    </row>
    <row r="253" spans="1:15">
      <c r="A253" s="89" t="s">
        <v>300</v>
      </c>
      <c r="B253" s="216">
        <v>456.21100000000001</v>
      </c>
      <c r="C253" s="44">
        <f>'Winter Park Network'!B78</f>
        <v>100756.42697999999</v>
      </c>
      <c r="D253" s="44">
        <f>'Winter Park Network'!C78</f>
        <v>95400</v>
      </c>
      <c r="E253" s="44">
        <f>'Winter Park Network'!D78</f>
        <v>69905.737275000007</v>
      </c>
      <c r="F253" s="44">
        <f>'Winter Park Network'!E78</f>
        <v>75271.074615000005</v>
      </c>
      <c r="G253" s="44">
        <f>'Winter Park Network'!F78</f>
        <v>103439.09565</v>
      </c>
      <c r="H253" s="44">
        <f>'Winter Park Network'!G78</f>
        <v>106121.76431999999</v>
      </c>
      <c r="I253" s="44">
        <f>'Winter Park Network'!H78</f>
        <v>102097.76131499998</v>
      </c>
      <c r="J253" s="44">
        <f>'Winter Park Network'!I78</f>
        <v>114169.77032999998</v>
      </c>
      <c r="K253" s="44">
        <f>'Winter Park Network'!J78</f>
        <v>95400</v>
      </c>
      <c r="L253" s="44">
        <f>'Winter Park Network'!K78</f>
        <v>96732.423975000012</v>
      </c>
      <c r="M253" s="44">
        <f>'Winter Park Network'!L78</f>
        <v>68564.40294</v>
      </c>
      <c r="N253" s="44">
        <f>'Winter Park Network'!M78</f>
        <v>68564.40294</v>
      </c>
      <c r="O253" s="41">
        <f t="shared" si="26"/>
        <v>1096422.8603399999</v>
      </c>
    </row>
    <row r="254" spans="1:15">
      <c r="A254" s="89" t="s">
        <v>431</v>
      </c>
      <c r="B254" s="216">
        <v>456.221</v>
      </c>
      <c r="C254" s="44">
        <f>'Winter Park Network'!B85</f>
        <v>807.31879227999991</v>
      </c>
      <c r="D254" s="44">
        <f>'Winter Park Network'!C85</f>
        <v>764.4</v>
      </c>
      <c r="E254" s="44">
        <f>'Winter Park Network'!D85</f>
        <v>560.12521564999997</v>
      </c>
      <c r="F254" s="44">
        <f>'Winter Park Network'!E85</f>
        <v>603.11540288999993</v>
      </c>
      <c r="G254" s="44">
        <f>'Winter Park Network'!F85</f>
        <v>828.81388589999995</v>
      </c>
      <c r="H254" s="44">
        <f>'Winter Park Network'!G85</f>
        <v>850.30897951999987</v>
      </c>
      <c r="I254" s="44">
        <f>'Winter Park Network'!H85</f>
        <v>818.06633908999981</v>
      </c>
      <c r="J254" s="44">
        <f>'Winter Park Network'!I85</f>
        <v>914.79426037999986</v>
      </c>
      <c r="K254" s="44">
        <f>'Winter Park Network'!J85</f>
        <v>764.4</v>
      </c>
      <c r="L254" s="44">
        <f>'Winter Park Network'!K85</f>
        <v>775.07615184999997</v>
      </c>
      <c r="M254" s="44">
        <f>'Winter Park Network'!L85</f>
        <v>549.37766883999996</v>
      </c>
      <c r="N254" s="44">
        <f>'Winter Park Network'!M85</f>
        <v>549.37766883999996</v>
      </c>
      <c r="O254" s="41">
        <f t="shared" si="26"/>
        <v>8785.17436524</v>
      </c>
    </row>
    <row r="255" spans="1:15">
      <c r="A255" s="89" t="s">
        <v>321</v>
      </c>
      <c r="B255" s="216">
        <v>456.21100000000001</v>
      </c>
      <c r="C255" s="44">
        <f>'New Smyrna Network'!B105</f>
        <v>71550</v>
      </c>
      <c r="D255" s="44">
        <f>'New Smyrna Network'!C105</f>
        <v>71550</v>
      </c>
      <c r="E255" s="44">
        <f>'New Smyrna Network'!D105</f>
        <v>47700</v>
      </c>
      <c r="F255" s="44">
        <f>'New Smyrna Network'!E105</f>
        <v>31800</v>
      </c>
      <c r="G255" s="44">
        <f>'New Smyrna Network'!F105</f>
        <v>47700</v>
      </c>
      <c r="H255" s="44">
        <f>'New Smyrna Network'!G105</f>
        <v>71550</v>
      </c>
      <c r="I255" s="44">
        <f>'New Smyrna Network'!H105</f>
        <v>71550</v>
      </c>
      <c r="J255" s="44">
        <f>'New Smyrna Network'!I105</f>
        <v>71550</v>
      </c>
      <c r="K255" s="44">
        <f>'New Smyrna Network'!J105</f>
        <v>55650</v>
      </c>
      <c r="L255" s="44">
        <f>'New Smyrna Network'!K105</f>
        <v>47700</v>
      </c>
      <c r="M255" s="44">
        <f>'New Smyrna Network'!L105</f>
        <v>31800</v>
      </c>
      <c r="N255" s="44">
        <f>'New Smyrna Network'!M105</f>
        <v>47700</v>
      </c>
      <c r="O255" s="41">
        <f t="shared" si="26"/>
        <v>667800</v>
      </c>
    </row>
    <row r="256" spans="1:15">
      <c r="A256" s="89" t="s">
        <v>322</v>
      </c>
      <c r="B256" s="216">
        <v>456.221</v>
      </c>
      <c r="C256" s="44">
        <f>'New Smyrna Network'!B112</f>
        <v>573.29999999999995</v>
      </c>
      <c r="D256" s="44">
        <f>'New Smyrna Network'!C112</f>
        <v>573.29999999999995</v>
      </c>
      <c r="E256" s="44">
        <f>'New Smyrna Network'!D112</f>
        <v>382.2</v>
      </c>
      <c r="F256" s="44">
        <f>'New Smyrna Network'!E112</f>
        <v>254.79999999999998</v>
      </c>
      <c r="G256" s="44">
        <f>'New Smyrna Network'!F112</f>
        <v>382.2</v>
      </c>
      <c r="H256" s="44">
        <f>'New Smyrna Network'!G112</f>
        <v>573.29999999999995</v>
      </c>
      <c r="I256" s="44">
        <f>'New Smyrna Network'!H112</f>
        <v>573.29999999999995</v>
      </c>
      <c r="J256" s="44">
        <f>'New Smyrna Network'!I112</f>
        <v>573.29999999999995</v>
      </c>
      <c r="K256" s="44">
        <f>'New Smyrna Network'!J112</f>
        <v>445.9</v>
      </c>
      <c r="L256" s="44">
        <f>'New Smyrna Network'!K112</f>
        <v>382.2</v>
      </c>
      <c r="M256" s="44">
        <f>'New Smyrna Network'!L112</f>
        <v>254.79999999999998</v>
      </c>
      <c r="N256" s="44">
        <f>'New Smyrna Network'!M112</f>
        <v>382.2</v>
      </c>
      <c r="O256" s="41">
        <f t="shared" si="26"/>
        <v>5350.7999999999993</v>
      </c>
    </row>
    <row r="257" spans="1:17">
      <c r="A257" s="89" t="s">
        <v>423</v>
      </c>
      <c r="B257" s="216">
        <v>456.22199999999998</v>
      </c>
      <c r="C257" s="44">
        <f>'New Smyrna Network'!B119</f>
        <v>4536</v>
      </c>
      <c r="D257" s="44">
        <f>'New Smyrna Network'!C119</f>
        <v>4536</v>
      </c>
      <c r="E257" s="44">
        <f>'New Smyrna Network'!D119</f>
        <v>3024</v>
      </c>
      <c r="F257" s="44">
        <f>'New Smyrna Network'!E119</f>
        <v>2016</v>
      </c>
      <c r="G257" s="44">
        <f>'New Smyrna Network'!F119</f>
        <v>3024</v>
      </c>
      <c r="H257" s="44">
        <f>'New Smyrna Network'!G119</f>
        <v>4536</v>
      </c>
      <c r="I257" s="44">
        <f>'New Smyrna Network'!H119</f>
        <v>4536</v>
      </c>
      <c r="J257" s="44">
        <f>'New Smyrna Network'!I119</f>
        <v>4536</v>
      </c>
      <c r="K257" s="44">
        <f>'New Smyrna Network'!J119</f>
        <v>3528</v>
      </c>
      <c r="L257" s="44">
        <f>'New Smyrna Network'!K119</f>
        <v>3024</v>
      </c>
      <c r="M257" s="44">
        <f>'New Smyrna Network'!L119</f>
        <v>2016</v>
      </c>
      <c r="N257" s="44">
        <f>'New Smyrna Network'!M119</f>
        <v>3024</v>
      </c>
      <c r="O257" s="41">
        <f t="shared" si="26"/>
        <v>42336</v>
      </c>
    </row>
    <row r="258" spans="1:17">
      <c r="A258" s="89" t="s">
        <v>13</v>
      </c>
      <c r="B258" s="216">
        <v>456.21300000000002</v>
      </c>
      <c r="C258" s="43">
        <v>0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1">
        <f t="shared" si="26"/>
        <v>0</v>
      </c>
    </row>
    <row r="259" spans="1:17">
      <c r="A259" s="454" t="s">
        <v>375</v>
      </c>
      <c r="B259" s="216">
        <v>456.21100000000001</v>
      </c>
      <c r="C259" s="44">
        <f>'Georgia Trans Network'!B104</f>
        <v>30624.99</v>
      </c>
      <c r="D259" s="44">
        <f>'Georgia Trans Network'!C104</f>
        <v>30624.99</v>
      </c>
      <c r="E259" s="44">
        <f>'Georgia Trans Network'!D104</f>
        <v>30624.99</v>
      </c>
      <c r="F259" s="44">
        <f>'Georgia Trans Network'!E104</f>
        <v>30624.99</v>
      </c>
      <c r="G259" s="44">
        <f>'Georgia Trans Network'!F104</f>
        <v>30624.99</v>
      </c>
      <c r="H259" s="44">
        <f>'Georgia Trans Network'!G104</f>
        <v>37069.26</v>
      </c>
      <c r="I259" s="44">
        <f>'Georgia Trans Network'!H104</f>
        <v>37069.26</v>
      </c>
      <c r="J259" s="44">
        <f>'Georgia Trans Network'!I104</f>
        <v>37069.26</v>
      </c>
      <c r="K259" s="44">
        <f>'Georgia Trans Network'!J104</f>
        <v>37069.26</v>
      </c>
      <c r="L259" s="44">
        <f>'Georgia Trans Network'!K104</f>
        <v>41917.170000000006</v>
      </c>
      <c r="M259" s="44">
        <f>'Georgia Trans Network'!L104</f>
        <v>41917.170000000006</v>
      </c>
      <c r="N259" s="44">
        <f>'Georgia Trans Network'!M104</f>
        <v>41917.170000000006</v>
      </c>
      <c r="O259" s="41">
        <f t="shared" si="26"/>
        <v>427153.5</v>
      </c>
    </row>
    <row r="260" spans="1:17">
      <c r="A260" s="454" t="s">
        <v>376</v>
      </c>
      <c r="B260" s="216">
        <v>456.221</v>
      </c>
      <c r="C260" s="44">
        <f>'Georgia Trans Network'!B111</f>
        <v>245.38513999999998</v>
      </c>
      <c r="D260" s="44">
        <f>'Georgia Trans Network'!C111</f>
        <v>245.38513999999998</v>
      </c>
      <c r="E260" s="44">
        <f>'Georgia Trans Network'!D111</f>
        <v>245.38513999999998</v>
      </c>
      <c r="F260" s="44">
        <f>'Georgia Trans Network'!E111</f>
        <v>245.38513999999998</v>
      </c>
      <c r="G260" s="44">
        <f>'Georgia Trans Network'!F111</f>
        <v>245.38513999999998</v>
      </c>
      <c r="H260" s="44">
        <f>'Georgia Trans Network'!G111</f>
        <v>297.02035999999998</v>
      </c>
      <c r="I260" s="44">
        <f>'Georgia Trans Network'!H111</f>
        <v>297.02035999999998</v>
      </c>
      <c r="J260" s="44">
        <f>'Georgia Trans Network'!I111</f>
        <v>297.02035999999998</v>
      </c>
      <c r="K260" s="44">
        <f>'Georgia Trans Network'!J111</f>
        <v>297.02035999999998</v>
      </c>
      <c r="L260" s="44">
        <f>'Georgia Trans Network'!K111</f>
        <v>335.86462</v>
      </c>
      <c r="M260" s="44">
        <f>'Georgia Trans Network'!L111</f>
        <v>335.86462</v>
      </c>
      <c r="N260" s="44">
        <f>'Georgia Trans Network'!M111</f>
        <v>335.86462</v>
      </c>
      <c r="O260" s="41">
        <f t="shared" si="26"/>
        <v>3422.6009999999992</v>
      </c>
    </row>
    <row r="261" spans="1:17">
      <c r="A261" s="454" t="s">
        <v>420</v>
      </c>
      <c r="B261" s="216">
        <v>456.22199999999998</v>
      </c>
      <c r="C261" s="44">
        <f>'Georgia Trans Network'!B118</f>
        <v>1941.5088000000001</v>
      </c>
      <c r="D261" s="44">
        <f>'Georgia Trans Network'!C118</f>
        <v>1941.5088000000001</v>
      </c>
      <c r="E261" s="44">
        <f>'Georgia Trans Network'!D118</f>
        <v>1941.5088000000001</v>
      </c>
      <c r="F261" s="44">
        <f>'Georgia Trans Network'!E118</f>
        <v>1941.5088000000001</v>
      </c>
      <c r="G261" s="44">
        <f>'Georgia Trans Network'!F118</f>
        <v>1941.5088000000001</v>
      </c>
      <c r="H261" s="44">
        <f>'Georgia Trans Network'!G118</f>
        <v>2350.0511999999999</v>
      </c>
      <c r="I261" s="44">
        <f>'Georgia Trans Network'!H118</f>
        <v>2350.0511999999999</v>
      </c>
      <c r="J261" s="44">
        <f>'Georgia Trans Network'!I118</f>
        <v>2350.0511999999999</v>
      </c>
      <c r="K261" s="44">
        <f>'Georgia Trans Network'!J118</f>
        <v>2350.0511999999999</v>
      </c>
      <c r="L261" s="44">
        <f>'Georgia Trans Network'!K118</f>
        <v>2657.3904000000002</v>
      </c>
      <c r="M261" s="44">
        <f>'Georgia Trans Network'!L118</f>
        <v>2657.3904000000002</v>
      </c>
      <c r="N261" s="44">
        <f>'Georgia Trans Network'!M118</f>
        <v>2657.3904000000002</v>
      </c>
      <c r="O261" s="41">
        <f t="shared" si="26"/>
        <v>27079.920000000002</v>
      </c>
    </row>
    <row r="262" spans="1:17">
      <c r="A262" s="89" t="s">
        <v>325</v>
      </c>
      <c r="B262" s="216">
        <v>456.21100000000001</v>
      </c>
      <c r="C262" s="43">
        <f>'Lake Worth Network Transmission'!B103</f>
        <v>113029.82943549796</v>
      </c>
      <c r="D262" s="43">
        <f>'Lake Worth Network Transmission'!C103</f>
        <v>110436.91187530295</v>
      </c>
      <c r="E262" s="43">
        <f>'Lake Worth Network Transmission'!D103</f>
        <v>115234.36586166371</v>
      </c>
      <c r="F262" s="43">
        <f>'Lake Worth Network Transmission'!E103</f>
        <v>120407.46343480251</v>
      </c>
      <c r="G262" s="43">
        <f>'Lake Worth Network Transmission'!F103</f>
        <v>134365.28161810196</v>
      </c>
      <c r="H262" s="43">
        <f>'Lake Worth Network Transmission'!G103</f>
        <v>140980.48089659927</v>
      </c>
      <c r="I262" s="43">
        <f>'Lake Worth Network Transmission'!H103</f>
        <v>146475.10941476247</v>
      </c>
      <c r="J262" s="43">
        <f>'Lake Worth Network Transmission'!I103</f>
        <v>147302.80432457462</v>
      </c>
      <c r="K262" s="43">
        <f>'Lake Worth Network Transmission'!J103</f>
        <v>142260.22712944556</v>
      </c>
      <c r="L262" s="43">
        <f>'Lake Worth Network Transmission'!K103</f>
        <v>133668.10708629957</v>
      </c>
      <c r="M262" s="43">
        <f>'Lake Worth Network Transmission'!L103</f>
        <v>119450.83814698063</v>
      </c>
      <c r="N262" s="43">
        <f>'Lake Worth Network Transmission'!M103</f>
        <v>113483.47075853206</v>
      </c>
      <c r="O262" s="43">
        <f t="shared" si="26"/>
        <v>1537094.889982563</v>
      </c>
      <c r="Q262" s="11"/>
    </row>
    <row r="263" spans="1:17">
      <c r="A263" s="89" t="s">
        <v>326</v>
      </c>
      <c r="B263" s="216">
        <v>456.221</v>
      </c>
      <c r="C263" s="43">
        <f>'Lake Worth Network Transmission'!B110</f>
        <v>905.6603943448074</v>
      </c>
      <c r="D263" s="43">
        <f>'Lake Worth Network Transmission'!C110</f>
        <v>884.88443854802483</v>
      </c>
      <c r="E263" s="43">
        <f>'Lake Worth Network Transmission'!D110</f>
        <v>923.32441577207271</v>
      </c>
      <c r="F263" s="43">
        <f>'Lake Worth Network Transmission'!E110</f>
        <v>964.77426676690811</v>
      </c>
      <c r="G263" s="43">
        <f>'Lake Worth Network Transmission'!F110</f>
        <v>1076.6123822733452</v>
      </c>
      <c r="H263" s="43">
        <f>'Lake Worth Network Transmission'!G110</f>
        <v>1129.6171865551412</v>
      </c>
      <c r="I263" s="43">
        <f>'Lake Worth Network Transmission'!H110</f>
        <v>1173.6433295245745</v>
      </c>
      <c r="J263" s="43">
        <f>'Lake Worth Network Transmission'!I110</f>
        <v>1180.2753000597991</v>
      </c>
      <c r="K263" s="43">
        <f>'Lake Worth Network Transmission'!J110</f>
        <v>1139.8712538548027</v>
      </c>
      <c r="L263" s="43">
        <f>'Lake Worth Network Transmission'!K110</f>
        <v>1071.0262165279601</v>
      </c>
      <c r="M263" s="43">
        <f>'Lake Worth Network Transmission'!L110</f>
        <v>957.10923144184471</v>
      </c>
      <c r="N263" s="43">
        <f>'Lake Worth Network Transmission'!M110</f>
        <v>909.29523110924424</v>
      </c>
      <c r="O263" s="43">
        <f t="shared" si="26"/>
        <v>12316.093646778525</v>
      </c>
      <c r="Q263" s="11"/>
    </row>
    <row r="264" spans="1:17">
      <c r="A264" s="89" t="s">
        <v>422</v>
      </c>
      <c r="B264" s="216">
        <v>456.22199999999998</v>
      </c>
      <c r="C264" s="43">
        <f>'Lake Worth Network Transmission'!B117</f>
        <v>7165.6646585523231</v>
      </c>
      <c r="D264" s="43">
        <f>'Lake Worth Network Transmission'!C117</f>
        <v>7001.283469830526</v>
      </c>
      <c r="E264" s="43">
        <f>'Lake Worth Network Transmission'!D117</f>
        <v>7305.4239489658503</v>
      </c>
      <c r="F264" s="43">
        <f>'Lake Worth Network Transmission'!E117</f>
        <v>7633.3788139799335</v>
      </c>
      <c r="G264" s="43">
        <f>'Lake Worth Network Transmission'!F117</f>
        <v>8518.2518157891063</v>
      </c>
      <c r="H264" s="43">
        <f>'Lake Worth Network Transmission'!G117</f>
        <v>8937.6304870296881</v>
      </c>
      <c r="I264" s="43">
        <f>'Lake Worth Network Transmission'!H117</f>
        <v>9285.9692006339974</v>
      </c>
      <c r="J264" s="43">
        <f>'Lake Worth Network Transmission'!I117</f>
        <v>9338.4419345390706</v>
      </c>
      <c r="K264" s="43">
        <f>'Lake Worth Network Transmission'!J117</f>
        <v>9018.7615689610757</v>
      </c>
      <c r="L264" s="43">
        <f>'Lake Worth Network Transmission'!K117</f>
        <v>8474.0535813201241</v>
      </c>
      <c r="M264" s="43">
        <f>'Lake Worth Network Transmission'!L117</f>
        <v>7572.7323806387722</v>
      </c>
      <c r="N264" s="43">
        <f>'Lake Worth Network Transmission'!M117</f>
        <v>7194.4238065786358</v>
      </c>
      <c r="O264" s="43">
        <f t="shared" si="26"/>
        <v>97446.015666819105</v>
      </c>
      <c r="Q264" s="11"/>
    </row>
    <row r="265" spans="1:17">
      <c r="A265" s="454" t="s">
        <v>436</v>
      </c>
      <c r="B265" s="216">
        <v>456.21100000000001</v>
      </c>
      <c r="C265" s="43">
        <f>'Homestead Network Transmission'!B104</f>
        <v>38160</v>
      </c>
      <c r="D265" s="43">
        <f>'Homestead Network Transmission'!C104</f>
        <v>9540</v>
      </c>
      <c r="E265" s="43">
        <f>'Homestead Network Transmission'!D104</f>
        <v>0</v>
      </c>
      <c r="F265" s="43">
        <f>'Homestead Network Transmission'!E104</f>
        <v>4770</v>
      </c>
      <c r="G265" s="43">
        <f>'Homestead Network Transmission'!F104</f>
        <v>19080</v>
      </c>
      <c r="H265" s="43">
        <f>'Homestead Network Transmission'!G104</f>
        <v>31800</v>
      </c>
      <c r="I265" s="43">
        <f>'Homestead Network Transmission'!H104</f>
        <v>39750</v>
      </c>
      <c r="J265" s="43">
        <f>'Homestead Network Transmission'!I104</f>
        <v>38160</v>
      </c>
      <c r="K265" s="43">
        <f>'Homestead Network Transmission'!J104</f>
        <v>33390</v>
      </c>
      <c r="L265" s="43">
        <f>'Homestead Network Transmission'!K104</f>
        <v>12720</v>
      </c>
      <c r="M265" s="43">
        <f>'Homestead Network Transmission'!L104</f>
        <v>0</v>
      </c>
      <c r="N265" s="43">
        <f>'Homestead Network Transmission'!M104</f>
        <v>0</v>
      </c>
      <c r="O265" s="43">
        <f t="shared" si="26"/>
        <v>227370</v>
      </c>
      <c r="Q265" s="11"/>
    </row>
    <row r="266" spans="1:17">
      <c r="A266" s="454" t="s">
        <v>437</v>
      </c>
      <c r="B266" s="216">
        <v>456.221</v>
      </c>
      <c r="C266" s="43">
        <f>'Homestead Network Transmission'!B111</f>
        <v>305.76</v>
      </c>
      <c r="D266" s="43">
        <f>'Homestead Network Transmission'!C111</f>
        <v>76.44</v>
      </c>
      <c r="E266" s="43">
        <f>'Homestead Network Transmission'!D111</f>
        <v>0</v>
      </c>
      <c r="F266" s="43">
        <f>'Homestead Network Transmission'!E111</f>
        <v>38.22</v>
      </c>
      <c r="G266" s="43">
        <f>'Homestead Network Transmission'!F111</f>
        <v>152.88</v>
      </c>
      <c r="H266" s="43">
        <f>'Homestead Network Transmission'!G111</f>
        <v>254.79999999999998</v>
      </c>
      <c r="I266" s="43">
        <f>'Homestead Network Transmission'!H111</f>
        <v>318.5</v>
      </c>
      <c r="J266" s="43">
        <f>'Homestead Network Transmission'!I111</f>
        <v>305.76</v>
      </c>
      <c r="K266" s="43">
        <f>'Homestead Network Transmission'!J111</f>
        <v>267.53999999999996</v>
      </c>
      <c r="L266" s="43">
        <f>'Homestead Network Transmission'!K111</f>
        <v>101.92</v>
      </c>
      <c r="M266" s="43">
        <f>'Homestead Network Transmission'!L111</f>
        <v>0</v>
      </c>
      <c r="N266" s="43">
        <f>'Homestead Network Transmission'!M111</f>
        <v>0</v>
      </c>
      <c r="O266" s="43">
        <f t="shared" si="26"/>
        <v>1821.82</v>
      </c>
      <c r="Q266" s="11"/>
    </row>
    <row r="267" spans="1:17">
      <c r="A267" s="454" t="s">
        <v>438</v>
      </c>
      <c r="B267" s="216">
        <v>456.22199999999998</v>
      </c>
      <c r="C267" s="43">
        <f>'Homestead Network Transmission'!B118</f>
        <v>2419.1999999999998</v>
      </c>
      <c r="D267" s="43">
        <f>'Homestead Network Transmission'!C118</f>
        <v>604.79999999999995</v>
      </c>
      <c r="E267" s="43">
        <f>'Homestead Network Transmission'!D118</f>
        <v>0</v>
      </c>
      <c r="F267" s="43">
        <f>'Homestead Network Transmission'!E118</f>
        <v>302.39999999999998</v>
      </c>
      <c r="G267" s="43">
        <f>'Homestead Network Transmission'!F118</f>
        <v>1209.5999999999999</v>
      </c>
      <c r="H267" s="43">
        <f>'Homestead Network Transmission'!G118</f>
        <v>2016</v>
      </c>
      <c r="I267" s="43">
        <f>'Homestead Network Transmission'!H118</f>
        <v>2520</v>
      </c>
      <c r="J267" s="43">
        <f>'Homestead Network Transmission'!I118</f>
        <v>2419.1999999999998</v>
      </c>
      <c r="K267" s="43">
        <f>'Homestead Network Transmission'!J118</f>
        <v>2116.8000000000002</v>
      </c>
      <c r="L267" s="43">
        <f>'Homestead Network Transmission'!K118</f>
        <v>806.4</v>
      </c>
      <c r="M267" s="43">
        <f>'Homestead Network Transmission'!L118</f>
        <v>0</v>
      </c>
      <c r="N267" s="43">
        <f>'Homestead Network Transmission'!M118</f>
        <v>0</v>
      </c>
      <c r="O267" s="43">
        <f t="shared" si="26"/>
        <v>14414.4</v>
      </c>
      <c r="Q267" s="11"/>
    </row>
    <row r="268" spans="1:17">
      <c r="A268" s="454" t="s">
        <v>448</v>
      </c>
      <c r="B268" s="216">
        <v>456.21100000000001</v>
      </c>
      <c r="C268" s="43">
        <f>'Quincy Transmission'!B78</f>
        <v>30210</v>
      </c>
      <c r="D268" s="43">
        <f>'Quincy Transmission'!C78</f>
        <v>37801.152900000001</v>
      </c>
      <c r="E268" s="43">
        <f>'Quincy Transmission'!D78</f>
        <v>34605.873</v>
      </c>
      <c r="F268" s="43">
        <f>'Quincy Transmission'!E78</f>
        <v>31031.950500000003</v>
      </c>
      <c r="G268" s="43">
        <f>'Quincy Transmission'!F78</f>
        <v>36658.785600000003</v>
      </c>
      <c r="H268" s="43">
        <f>'Quincy Transmission'!G78</f>
        <v>44015.270400000001</v>
      </c>
      <c r="I268" s="43">
        <f>'Quincy Transmission'!H78</f>
        <v>43510.413600000007</v>
      </c>
      <c r="J268" s="43">
        <f>'Quincy Transmission'!I78</f>
        <v>30210</v>
      </c>
      <c r="K268" s="43">
        <f>'Quincy Transmission'!J78</f>
        <v>40197.934800000003</v>
      </c>
      <c r="L268" s="43">
        <f>'Quincy Transmission'!K78</f>
        <v>35417.25</v>
      </c>
      <c r="M268" s="43">
        <f>'Quincy Transmission'!L78</f>
        <v>40755.595500000003</v>
      </c>
      <c r="N268" s="43">
        <f>'Quincy Transmission'!M78</f>
        <v>36624.012300000002</v>
      </c>
      <c r="O268" s="43">
        <f t="shared" si="26"/>
        <v>441038.23859999998</v>
      </c>
      <c r="Q268" s="11"/>
    </row>
    <row r="269" spans="1:17">
      <c r="A269" s="454" t="s">
        <v>449</v>
      </c>
      <c r="B269" s="216">
        <v>456.221</v>
      </c>
      <c r="C269" s="43">
        <f>'Quincy Transmission'!B85</f>
        <v>242.06</v>
      </c>
      <c r="D269" s="43">
        <f>'Quincy Transmission'!C85</f>
        <v>302.88470940000002</v>
      </c>
      <c r="E269" s="43">
        <f>'Quincy Transmission'!D85</f>
        <v>277.28227800000002</v>
      </c>
      <c r="F269" s="43">
        <f>'Quincy Transmission'!E85</f>
        <v>248.64594299999999</v>
      </c>
      <c r="G269" s="43">
        <f>'Quincy Transmission'!F85</f>
        <v>293.73140159999997</v>
      </c>
      <c r="H269" s="43">
        <f>'Quincy Transmission'!G85</f>
        <v>352.67581439999998</v>
      </c>
      <c r="I269" s="43">
        <f>'Quincy Transmission'!H85</f>
        <v>348.63060960000001</v>
      </c>
      <c r="J269" s="43">
        <f>'Quincy Transmission'!I85</f>
        <v>242.06</v>
      </c>
      <c r="K269" s="43">
        <f>'Quincy Transmission'!J85</f>
        <v>322.08911280000001</v>
      </c>
      <c r="L269" s="43">
        <f>'Quincy Transmission'!K85</f>
        <v>283.7835</v>
      </c>
      <c r="M269" s="43">
        <f>'Quincy Transmission'!L85</f>
        <v>326.557413</v>
      </c>
      <c r="N269" s="43">
        <f>'Quincy Transmission'!M85</f>
        <v>293.45277779999998</v>
      </c>
      <c r="O269" s="43">
        <f t="shared" si="26"/>
        <v>3533.8535595999997</v>
      </c>
      <c r="Q269" s="11"/>
    </row>
    <row r="270" spans="1:17">
      <c r="A270" s="89" t="s">
        <v>14</v>
      </c>
      <c r="B270" s="216">
        <v>456.21100000000001</v>
      </c>
      <c r="C270" s="40">
        <f>'TSAS Demand Revenues (7)'!B321</f>
        <v>472319.04000000004</v>
      </c>
      <c r="D270" s="40">
        <f>'TSAS Demand Revenues (7)'!C321</f>
        <v>392819.04000000004</v>
      </c>
      <c r="E270" s="40">
        <f>'TSAS Demand Revenues (7)'!D321</f>
        <v>392819.04000000004</v>
      </c>
      <c r="F270" s="40">
        <f>'TSAS Demand Revenues (7)'!E321</f>
        <v>392819.04000000004</v>
      </c>
      <c r="G270" s="40">
        <f>'TSAS Demand Revenues (7)'!F321</f>
        <v>392819.04000000004</v>
      </c>
      <c r="H270" s="40">
        <f>'TSAS Demand Revenues (7)'!G321</f>
        <v>392819.04000000004</v>
      </c>
      <c r="I270" s="40">
        <f>'TSAS Demand Revenues (7)'!H321</f>
        <v>392819.04000000004</v>
      </c>
      <c r="J270" s="40">
        <f>'TSAS Demand Revenues (7)'!I321</f>
        <v>392819.04000000004</v>
      </c>
      <c r="K270" s="40">
        <f>'TSAS Demand Revenues (7)'!J321</f>
        <v>392819.04000000004</v>
      </c>
      <c r="L270" s="40">
        <f>'TSAS Demand Revenues (7)'!K321</f>
        <v>392819.04000000004</v>
      </c>
      <c r="M270" s="40">
        <f>'TSAS Demand Revenues (7)'!L321</f>
        <v>392819.04000000004</v>
      </c>
      <c r="N270" s="40">
        <f>'TSAS Demand Revenues (7)'!M321</f>
        <v>392819.04000000004</v>
      </c>
      <c r="O270" s="43">
        <f t="shared" ref="O270:O275" si="27">SUM(C270:N270)</f>
        <v>4793328.4800000004</v>
      </c>
    </row>
    <row r="271" spans="1:17">
      <c r="A271" s="89" t="s">
        <v>146</v>
      </c>
      <c r="B271" s="216">
        <v>456.221</v>
      </c>
      <c r="C271" s="40">
        <f>'TSAS Scheduling Revenue (1)'!B328</f>
        <v>3784.4934400000002</v>
      </c>
      <c r="D271" s="40">
        <f>'TSAS Scheduling Revenue (1)'!C328</f>
        <v>3147.4934400000002</v>
      </c>
      <c r="E271" s="40">
        <f>'TSAS Scheduling Revenue (1)'!D328</f>
        <v>3147.4934400000002</v>
      </c>
      <c r="F271" s="40">
        <f>'TSAS Scheduling Revenue (1)'!E328</f>
        <v>3147.4934400000002</v>
      </c>
      <c r="G271" s="40">
        <f>'TSAS Scheduling Revenue (1)'!F328</f>
        <v>3147.4934400000002</v>
      </c>
      <c r="H271" s="40">
        <f>'TSAS Scheduling Revenue (1)'!G328</f>
        <v>3147.4934400000002</v>
      </c>
      <c r="I271" s="40">
        <f>'TSAS Scheduling Revenue (1)'!H328</f>
        <v>3147.4934400000002</v>
      </c>
      <c r="J271" s="40">
        <f>'TSAS Scheduling Revenue (1)'!I328</f>
        <v>3147.4934400000002</v>
      </c>
      <c r="K271" s="40">
        <f>'TSAS Scheduling Revenue (1)'!J328</f>
        <v>3147.4934400000002</v>
      </c>
      <c r="L271" s="40">
        <f>'TSAS Scheduling Revenue (1)'!K328</f>
        <v>3147.4934400000002</v>
      </c>
      <c r="M271" s="40">
        <f>'TSAS Scheduling Revenue (1)'!L328</f>
        <v>3147.4934400000002</v>
      </c>
      <c r="N271" s="40">
        <f>'TSAS Scheduling Revenue (1)'!M328</f>
        <v>3147.4934400000002</v>
      </c>
      <c r="O271" s="43">
        <f t="shared" si="27"/>
        <v>38406.921279999995</v>
      </c>
    </row>
    <row r="272" spans="1:17">
      <c r="A272" s="89" t="s">
        <v>77</v>
      </c>
      <c r="B272" s="216">
        <v>456.22199999999998</v>
      </c>
      <c r="C272" s="40">
        <f>'TSAS Reactive Revenues (2)'!B323</f>
        <v>28801.919999999998</v>
      </c>
      <c r="D272" s="40">
        <f>'TSAS Reactive Revenues (2)'!C323</f>
        <v>23761.919999999998</v>
      </c>
      <c r="E272" s="40">
        <f>'TSAS Reactive Revenues (2)'!D323</f>
        <v>23761.919999999998</v>
      </c>
      <c r="F272" s="40">
        <f>'TSAS Reactive Revenues (2)'!E323</f>
        <v>23761.919999999998</v>
      </c>
      <c r="G272" s="40">
        <f>'TSAS Reactive Revenues (2)'!F323</f>
        <v>23761.919999999998</v>
      </c>
      <c r="H272" s="40">
        <f>'TSAS Reactive Revenues (2)'!G323</f>
        <v>23761.919999999998</v>
      </c>
      <c r="I272" s="40">
        <f>'TSAS Reactive Revenues (2)'!H323</f>
        <v>23761.919999999998</v>
      </c>
      <c r="J272" s="40">
        <f>'TSAS Reactive Revenues (2)'!I323</f>
        <v>23761.919999999998</v>
      </c>
      <c r="K272" s="40">
        <f>'TSAS Reactive Revenues (2)'!J323</f>
        <v>23761.919999999998</v>
      </c>
      <c r="L272" s="40">
        <f>'TSAS Reactive Revenues (2)'!K323</f>
        <v>23761.919999999998</v>
      </c>
      <c r="M272" s="40">
        <f>'TSAS Reactive Revenues (2)'!L323</f>
        <v>23761.919999999998</v>
      </c>
      <c r="N272" s="40">
        <f>'TSAS Reactive Revenues (2)'!M323</f>
        <v>23761.919999999998</v>
      </c>
      <c r="O272" s="43">
        <f t="shared" si="27"/>
        <v>290183.03999999992</v>
      </c>
    </row>
    <row r="273" spans="1:15">
      <c r="A273" s="89" t="s">
        <v>124</v>
      </c>
      <c r="B273" s="216">
        <v>456.14499999999998</v>
      </c>
      <c r="C273" s="40">
        <f>Dynamic_Scheduling!B16</f>
        <v>7200</v>
      </c>
      <c r="D273" s="40">
        <f>Dynamic_Scheduling!C16</f>
        <v>7200</v>
      </c>
      <c r="E273" s="40">
        <f>Dynamic_Scheduling!D16</f>
        <v>7200</v>
      </c>
      <c r="F273" s="40">
        <f>Dynamic_Scheduling!E16</f>
        <v>7200</v>
      </c>
      <c r="G273" s="40">
        <f>Dynamic_Scheduling!F16</f>
        <v>7200</v>
      </c>
      <c r="H273" s="40">
        <f>Dynamic_Scheduling!G16</f>
        <v>7200</v>
      </c>
      <c r="I273" s="40">
        <f>Dynamic_Scheduling!H16</f>
        <v>7200</v>
      </c>
      <c r="J273" s="40">
        <f>Dynamic_Scheduling!I16</f>
        <v>7200</v>
      </c>
      <c r="K273" s="40">
        <f>Dynamic_Scheduling!J16</f>
        <v>7200</v>
      </c>
      <c r="L273" s="40">
        <f>Dynamic_Scheduling!K16</f>
        <v>7200</v>
      </c>
      <c r="M273" s="40">
        <f>Dynamic_Scheduling!L16</f>
        <v>7200</v>
      </c>
      <c r="N273" s="40">
        <f>Dynamic_Scheduling!M16</f>
        <v>7200</v>
      </c>
      <c r="O273" s="43">
        <f t="shared" si="27"/>
        <v>86400</v>
      </c>
    </row>
    <row r="274" spans="1:15">
      <c r="A274" s="89" t="s">
        <v>153</v>
      </c>
      <c r="B274" s="216">
        <v>456.21300000000002</v>
      </c>
      <c r="C274" s="43">
        <f>st_nf!D9</f>
        <v>252959.05</v>
      </c>
      <c r="D274" s="43">
        <f>st_nf!E9</f>
        <v>211139.89</v>
      </c>
      <c r="E274" s="43">
        <f>st_nf!F9</f>
        <v>230869.65</v>
      </c>
      <c r="F274" s="43">
        <f>st_nf!G9</f>
        <v>165524.70000000001</v>
      </c>
      <c r="G274" s="43">
        <f>st_nf!H9</f>
        <v>230869.65</v>
      </c>
      <c r="H274" s="43">
        <f>st_nf!I9</f>
        <v>338831.64</v>
      </c>
      <c r="I274" s="43">
        <f>st_nf!J9</f>
        <v>225520.52</v>
      </c>
      <c r="J274" s="43">
        <f>st_nf!K9</f>
        <v>328491.74</v>
      </c>
      <c r="K274" s="43">
        <f>st_nf!L9</f>
        <v>320710.51</v>
      </c>
      <c r="L274" s="43">
        <f>st_nf!M9</f>
        <v>438157.95</v>
      </c>
      <c r="M274" s="43">
        <f>st_nf!N9</f>
        <v>323720.68</v>
      </c>
      <c r="N274" s="43">
        <f>st_nf!O9</f>
        <v>226700.14</v>
      </c>
      <c r="O274" s="43">
        <f t="shared" si="27"/>
        <v>3293496.1200000006</v>
      </c>
    </row>
    <row r="275" spans="1:15">
      <c r="A275" s="89" t="s">
        <v>154</v>
      </c>
      <c r="B275" s="216">
        <v>456.22300000000001</v>
      </c>
      <c r="C275" s="217">
        <f>st_nf!D10</f>
        <v>31266.38</v>
      </c>
      <c r="D275" s="217">
        <f>st_nf!E10</f>
        <v>33737.19</v>
      </c>
      <c r="E275" s="217">
        <f>st_nf!F10</f>
        <v>33995.410000000003</v>
      </c>
      <c r="F275" s="217">
        <f>st_nf!G10</f>
        <v>34925.39</v>
      </c>
      <c r="G275" s="217">
        <f>st_nf!H10</f>
        <v>33923.370000000003</v>
      </c>
      <c r="H275" s="217">
        <f>st_nf!I10</f>
        <v>16500.57</v>
      </c>
      <c r="I275" s="217">
        <f>st_nf!J10</f>
        <v>25237.65</v>
      </c>
      <c r="J275" s="217">
        <f>st_nf!K10</f>
        <v>31769.99</v>
      </c>
      <c r="K275" s="217">
        <f>st_nf!L10</f>
        <v>41391.03</v>
      </c>
      <c r="L275" s="217">
        <f>st_nf!M10</f>
        <v>29168.31</v>
      </c>
      <c r="M275" s="217">
        <f>st_nf!N10</f>
        <v>28251.96</v>
      </c>
      <c r="N275" s="217">
        <f>st_nf!O10</f>
        <v>31973.599999999999</v>
      </c>
      <c r="O275" s="217">
        <f t="shared" si="27"/>
        <v>372140.85</v>
      </c>
    </row>
    <row r="276" spans="1:15" ht="10.8" thickBot="1">
      <c r="A276" s="89" t="s">
        <v>155</v>
      </c>
      <c r="B276" s="89"/>
      <c r="C276" s="386">
        <f t="shared" ref="C276:O276" si="28">SUM(C234:C275)</f>
        <v>4261078.5601835381</v>
      </c>
      <c r="D276" s="386">
        <f t="shared" si="28"/>
        <v>4139542.5754217985</v>
      </c>
      <c r="E276" s="386">
        <f t="shared" si="28"/>
        <v>3788595.7504381011</v>
      </c>
      <c r="F276" s="386">
        <f t="shared" si="28"/>
        <v>3640129.2239718363</v>
      </c>
      <c r="G276" s="386">
        <f t="shared" si="28"/>
        <v>3995049.215191924</v>
      </c>
      <c r="H276" s="386">
        <f t="shared" si="28"/>
        <v>4457915.36844528</v>
      </c>
      <c r="I276" s="386">
        <f t="shared" si="28"/>
        <v>4496066.9454516983</v>
      </c>
      <c r="J276" s="386">
        <f t="shared" si="28"/>
        <v>4625182.8613290358</v>
      </c>
      <c r="K276" s="386">
        <f t="shared" si="28"/>
        <v>4562102.0152915595</v>
      </c>
      <c r="L276" s="386">
        <f t="shared" si="28"/>
        <v>4255328.6555171413</v>
      </c>
      <c r="M276" s="386">
        <f t="shared" si="28"/>
        <v>3980487.3108484331</v>
      </c>
      <c r="N276" s="386">
        <f t="shared" si="28"/>
        <v>3720707.5037832339</v>
      </c>
      <c r="O276" s="386">
        <f t="shared" si="28"/>
        <v>49922185.985873573</v>
      </c>
    </row>
    <row r="277" spans="1:15" ht="10.8" thickTop="1">
      <c r="A277" s="89"/>
      <c r="B277" s="89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</row>
    <row r="278" spans="1:15">
      <c r="A278" s="89"/>
      <c r="B278" s="89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0"/>
    </row>
    <row r="279" spans="1:15">
      <c r="A279" s="89" t="s">
        <v>131</v>
      </c>
      <c r="B279" s="216">
        <v>456.25200000000001</v>
      </c>
      <c r="C279" s="44">
        <f>'SECI-Credit Settlement'!$B$11*(-1)</f>
        <v>-566426.91666666674</v>
      </c>
      <c r="D279" s="44">
        <f>'SECI-Credit Settlement'!$B$11*(-1)</f>
        <v>-566426.91666666674</v>
      </c>
      <c r="E279" s="44">
        <f>'SECI-Credit Settlement'!$B$11*(-1)</f>
        <v>-566426.91666666674</v>
      </c>
      <c r="F279" s="44">
        <f>'SECI-Credit Settlement'!$B$11*(-1)</f>
        <v>-566426.91666666674</v>
      </c>
      <c r="G279" s="44">
        <f>'SECI-Credit Settlement'!$B$11*(-1)</f>
        <v>-566426.91666666674</v>
      </c>
      <c r="H279" s="44">
        <f>'SECI-Credit Settlement'!$B$11*(-1)</f>
        <v>-566426.91666666674</v>
      </c>
      <c r="I279" s="44">
        <f>'SECI-Credit Settlement'!$B$11*(-1)</f>
        <v>-566426.91666666674</v>
      </c>
      <c r="J279" s="44">
        <f>'SECI-Credit Settlement'!$B$11*(-1)</f>
        <v>-566426.91666666674</v>
      </c>
      <c r="K279" s="44">
        <f>'SECI-Credit Settlement'!$B$11*(-1)</f>
        <v>-566426.91666666674</v>
      </c>
      <c r="L279" s="44">
        <f>'SECI-Credit Settlement'!$B$11*(-1)</f>
        <v>-566426.91666666674</v>
      </c>
      <c r="M279" s="44">
        <f>'SECI-Credit Settlement'!$B$11*(-1)</f>
        <v>-566426.91666666674</v>
      </c>
      <c r="N279" s="44">
        <f>'SECI-Credit Settlement'!$B$11*(-1)</f>
        <v>-566426.91666666674</v>
      </c>
      <c r="O279" s="41">
        <f>SUM(C279:N279)</f>
        <v>-6797123.0000000028</v>
      </c>
    </row>
    <row r="280" spans="1:15">
      <c r="A280" s="88"/>
      <c r="B280" s="88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</row>
    <row r="281" spans="1:15">
      <c r="A281" s="88" t="s">
        <v>246</v>
      </c>
      <c r="B281" s="88"/>
      <c r="C281" s="40">
        <f>C276+C279</f>
        <v>3694651.6435168711</v>
      </c>
      <c r="D281" s="40">
        <f t="shared" ref="D281:O281" si="29">D276+D279</f>
        <v>3573115.658755132</v>
      </c>
      <c r="E281" s="40">
        <f t="shared" si="29"/>
        <v>3222168.8337714346</v>
      </c>
      <c r="F281" s="40">
        <f t="shared" si="29"/>
        <v>3073702.3073051693</v>
      </c>
      <c r="G281" s="40">
        <f t="shared" si="29"/>
        <v>3428622.298525257</v>
      </c>
      <c r="H281" s="40">
        <f t="shared" si="29"/>
        <v>3891488.451778613</v>
      </c>
      <c r="I281" s="40">
        <f t="shared" si="29"/>
        <v>3929640.0287850313</v>
      </c>
      <c r="J281" s="40">
        <f t="shared" si="29"/>
        <v>4058755.9446623689</v>
      </c>
      <c r="K281" s="40">
        <f t="shared" si="29"/>
        <v>3995675.0986248925</v>
      </c>
      <c r="L281" s="40">
        <f t="shared" si="29"/>
        <v>3688901.7388504744</v>
      </c>
      <c r="M281" s="40">
        <f t="shared" si="29"/>
        <v>3414060.3941817665</v>
      </c>
      <c r="N281" s="40">
        <f t="shared" si="29"/>
        <v>3154280.5871165674</v>
      </c>
      <c r="O281" s="40">
        <f t="shared" si="29"/>
        <v>43125062.985873573</v>
      </c>
    </row>
    <row r="284" spans="1:15">
      <c r="A284" s="203" t="s">
        <v>327</v>
      </c>
      <c r="B284" s="209"/>
      <c r="C284" s="201" t="s">
        <v>0</v>
      </c>
      <c r="D284" s="201" t="s">
        <v>1</v>
      </c>
      <c r="E284" s="201" t="s">
        <v>2</v>
      </c>
      <c r="F284" s="201" t="s">
        <v>3</v>
      </c>
      <c r="G284" s="201" t="s">
        <v>4</v>
      </c>
      <c r="H284" s="201" t="s">
        <v>5</v>
      </c>
      <c r="I284" s="201" t="s">
        <v>6</v>
      </c>
      <c r="J284" s="201" t="s">
        <v>7</v>
      </c>
      <c r="K284" s="201" t="s">
        <v>8</v>
      </c>
      <c r="L284" s="201" t="s">
        <v>9</v>
      </c>
      <c r="M284" s="201" t="s">
        <v>10</v>
      </c>
      <c r="N284" s="201" t="s">
        <v>11</v>
      </c>
      <c r="O284" s="202" t="s">
        <v>12</v>
      </c>
    </row>
    <row r="285" spans="1:15">
      <c r="A285" s="90"/>
      <c r="B285" s="90"/>
    </row>
    <row r="286" spans="1:15">
      <c r="A286" s="89" t="s">
        <v>79</v>
      </c>
      <c r="B286" s="216">
        <v>456.21100000000001</v>
      </c>
      <c r="C286" s="40">
        <f>'FMPA Network'!B141</f>
        <v>697482.12</v>
      </c>
      <c r="D286" s="40">
        <f>'FMPA Network'!C141</f>
        <v>650195.52</v>
      </c>
      <c r="E286" s="40">
        <f>'FMPA Network'!D141</f>
        <v>568576.05000000005</v>
      </c>
      <c r="F286" s="40">
        <f>'FMPA Network'!E141</f>
        <v>611005.20000000007</v>
      </c>
      <c r="G286" s="40">
        <f>'FMPA Network'!F141</f>
        <v>689384.25</v>
      </c>
      <c r="H286" s="40">
        <f>'FMPA Network'!G141</f>
        <v>749789.94000000006</v>
      </c>
      <c r="I286" s="40">
        <f>'FMPA Network'!H141</f>
        <v>775700.58000000007</v>
      </c>
      <c r="J286" s="40">
        <f>'FMPA Network'!I141</f>
        <v>788978.67</v>
      </c>
      <c r="K286" s="40">
        <f>'FMPA Network'!J141</f>
        <v>719829.57000000007</v>
      </c>
      <c r="L286" s="40">
        <f>'FMPA Network'!K141</f>
        <v>665093.82000000007</v>
      </c>
      <c r="M286" s="40">
        <f>'FMPA Network'!L141</f>
        <v>595458.18000000005</v>
      </c>
      <c r="N286" s="40">
        <f>'FMPA Network'!M141</f>
        <v>571492.11</v>
      </c>
      <c r="O286" s="40">
        <f t="shared" ref="O286:O300" si="30">SUM(C286:N286)</f>
        <v>8082986.0100000007</v>
      </c>
    </row>
    <row r="287" spans="1:15">
      <c r="A287" s="89" t="s">
        <v>142</v>
      </c>
      <c r="B287" s="216">
        <v>456.221</v>
      </c>
      <c r="C287" s="40">
        <f>'FMPA Network'!B148</f>
        <v>5588.6303200000002</v>
      </c>
      <c r="D287" s="40">
        <f>'FMPA Network'!C148</f>
        <v>5209.7427200000002</v>
      </c>
      <c r="E287" s="40">
        <f>'FMPA Network'!D148</f>
        <v>4555.7602999999999</v>
      </c>
      <c r="F287" s="40">
        <f>'FMPA Network'!E148</f>
        <v>4895.7272000000003</v>
      </c>
      <c r="G287" s="40">
        <f>'FMPA Network'!F148</f>
        <v>5523.7455</v>
      </c>
      <c r="H287" s="40">
        <f>'FMPA Network'!G148</f>
        <v>6007.7508399999997</v>
      </c>
      <c r="I287" s="40">
        <f>'FMPA Network'!H148</f>
        <v>6215.3618799999995</v>
      </c>
      <c r="J287" s="40">
        <f>'FMPA Network'!I148</f>
        <v>6321.7536199999995</v>
      </c>
      <c r="K287" s="40">
        <f>'FMPA Network'!J148</f>
        <v>5767.6910200000002</v>
      </c>
      <c r="L287" s="40">
        <f>'FMPA Network'!K148</f>
        <v>5329.1165199999996</v>
      </c>
      <c r="M287" s="40">
        <f>'FMPA Network'!L148</f>
        <v>4771.1554799999994</v>
      </c>
      <c r="N287" s="40">
        <f>'FMPA Network'!M148</f>
        <v>4579.1254600000002</v>
      </c>
      <c r="O287" s="40">
        <f>SUM(C287:N287)</f>
        <v>64765.560860000005</v>
      </c>
    </row>
    <row r="288" spans="1:15">
      <c r="A288" s="89" t="s">
        <v>78</v>
      </c>
      <c r="B288" s="216">
        <v>456.22199999999998</v>
      </c>
      <c r="C288" s="40">
        <f>'FMPA Network'!B155</f>
        <v>30706.760000000002</v>
      </c>
      <c r="D288" s="40">
        <f>'FMPA Network'!C155</f>
        <v>28624.960000000003</v>
      </c>
      <c r="E288" s="40">
        <f>'FMPA Network'!D155</f>
        <v>25031.65</v>
      </c>
      <c r="F288" s="40">
        <f>'FMPA Network'!E155</f>
        <v>26899.600000000002</v>
      </c>
      <c r="G288" s="40">
        <f>'FMPA Network'!F155</f>
        <v>30350.250000000004</v>
      </c>
      <c r="H288" s="40">
        <f>'FMPA Network'!G155</f>
        <v>33009.620000000003</v>
      </c>
      <c r="I288" s="40">
        <f>'FMPA Network'!H155</f>
        <v>34150.340000000004</v>
      </c>
      <c r="J288" s="40">
        <f>'FMPA Network'!I155</f>
        <v>34734.910000000003</v>
      </c>
      <c r="K288" s="40">
        <f>'FMPA Network'!J155</f>
        <v>31690.610000000004</v>
      </c>
      <c r="L288" s="40">
        <f>'FMPA Network'!K155</f>
        <v>29280.860000000004</v>
      </c>
      <c r="M288" s="40">
        <f>'FMPA Network'!L155</f>
        <v>26215.140000000003</v>
      </c>
      <c r="N288" s="40">
        <f>'FMPA Network'!M155</f>
        <v>25160.030000000002</v>
      </c>
      <c r="O288" s="40">
        <f>SUM(C288:N288)</f>
        <v>355854.73000000004</v>
      </c>
    </row>
    <row r="289" spans="1:15">
      <c r="A289" s="89" t="s">
        <v>125</v>
      </c>
      <c r="B289" s="216">
        <v>456.21100000000001</v>
      </c>
      <c r="C289" s="40">
        <f>'Vero Beach Network'!B140</f>
        <v>294733.53000000003</v>
      </c>
      <c r="D289" s="40">
        <f>'Vero Beach Network'!C140</f>
        <v>255867.57</v>
      </c>
      <c r="E289" s="40">
        <f>'Vero Beach Network'!D140</f>
        <v>204046.29</v>
      </c>
      <c r="F289" s="40">
        <f>'Vero Beach Network'!E140</f>
        <v>212144.16</v>
      </c>
      <c r="G289" s="40">
        <f>'Vero Beach Network'!F140</f>
        <v>233195.76</v>
      </c>
      <c r="H289" s="40">
        <f>'Vero Beach Network'!G140</f>
        <v>255867.57</v>
      </c>
      <c r="I289" s="40">
        <f>'Vero Beach Network'!H140</f>
        <v>254248.95</v>
      </c>
      <c r="J289" s="40">
        <f>'Vero Beach Network'!I140</f>
        <v>272061.72000000003</v>
      </c>
      <c r="K289" s="40">
        <f>'Vero Beach Network'!J140</f>
        <v>257487.78</v>
      </c>
      <c r="L289" s="40">
        <f>'Vero Beach Network'!K140</f>
        <v>241293.63</v>
      </c>
      <c r="M289" s="40">
        <f>'Vero Beach Network'!L140</f>
        <v>207285.12000000002</v>
      </c>
      <c r="N289" s="40">
        <f>'Vero Beach Network'!M140</f>
        <v>231577.14</v>
      </c>
      <c r="O289" s="40">
        <f t="shared" si="30"/>
        <v>2919809.22</v>
      </c>
    </row>
    <row r="290" spans="1:15">
      <c r="A290" s="89" t="s">
        <v>143</v>
      </c>
      <c r="B290" s="216">
        <v>456.221</v>
      </c>
      <c r="C290" s="40">
        <f>'Vero Beach Network'!B147</f>
        <v>2361.5755799999997</v>
      </c>
      <c r="D290" s="40">
        <f>'Vero Beach Network'!C147</f>
        <v>2050.1590200000001</v>
      </c>
      <c r="E290" s="40">
        <f>'Vero Beach Network'!D147</f>
        <v>1634.93694</v>
      </c>
      <c r="F290" s="40">
        <f>'Vero Beach Network'!E147</f>
        <v>1699.82176</v>
      </c>
      <c r="G290" s="40">
        <f>'Vero Beach Network'!F147</f>
        <v>1868.49936</v>
      </c>
      <c r="H290" s="40">
        <f>'Vero Beach Network'!G147</f>
        <v>2050.1590200000001</v>
      </c>
      <c r="I290" s="40">
        <f>'Vero Beach Network'!H147</f>
        <v>2037.1896999999999</v>
      </c>
      <c r="J290" s="40">
        <f>'Vero Beach Network'!I147</f>
        <v>2179.9159199999999</v>
      </c>
      <c r="K290" s="40">
        <f>'Vero Beach Network'!J147</f>
        <v>2063.1410799999999</v>
      </c>
      <c r="L290" s="40">
        <f>'Vero Beach Network'!K147</f>
        <v>1933.38418</v>
      </c>
      <c r="M290" s="40">
        <f>'Vero Beach Network'!L147</f>
        <v>1660.88832</v>
      </c>
      <c r="N290" s="40">
        <f>'Vero Beach Network'!M147</f>
        <v>1855.5300399999999</v>
      </c>
      <c r="O290" s="40">
        <f t="shared" si="30"/>
        <v>23395.200919999999</v>
      </c>
    </row>
    <row r="291" spans="1:15">
      <c r="A291" s="89" t="s">
        <v>126</v>
      </c>
      <c r="B291" s="216">
        <v>456.22199999999998</v>
      </c>
      <c r="C291" s="40">
        <f>'Vero Beach Network'!B154</f>
        <v>18684.993600000002</v>
      </c>
      <c r="D291" s="40">
        <f>'Vero Beach Network'!C154</f>
        <v>16221.038399999999</v>
      </c>
      <c r="E291" s="40">
        <f>'Vero Beach Network'!D154</f>
        <v>12935.764800000001</v>
      </c>
      <c r="F291" s="40">
        <f>'Vero Beach Network'!E154</f>
        <v>13449.1392</v>
      </c>
      <c r="G291" s="40">
        <f>'Vero Beach Network'!F154</f>
        <v>14783.7312</v>
      </c>
      <c r="H291" s="40">
        <f>'Vero Beach Network'!G154</f>
        <v>16221.038399999999</v>
      </c>
      <c r="I291" s="40">
        <f>'Vero Beach Network'!H154</f>
        <v>16118.424000000001</v>
      </c>
      <c r="J291" s="40">
        <f>'Vero Beach Network'!I154</f>
        <v>17247.686399999999</v>
      </c>
      <c r="K291" s="40">
        <f>'Vero Beach Network'!J154</f>
        <v>16323.7536</v>
      </c>
      <c r="L291" s="40">
        <f>'Vero Beach Network'!K154</f>
        <v>15297.105600000001</v>
      </c>
      <c r="M291" s="40">
        <f>'Vero Beach Network'!L154</f>
        <v>13141.0944</v>
      </c>
      <c r="N291" s="40">
        <f>'Vero Beach Network'!M154</f>
        <v>14681.1168</v>
      </c>
      <c r="O291" s="40">
        <f t="shared" si="30"/>
        <v>185104.88639999999</v>
      </c>
    </row>
    <row r="292" spans="1:15">
      <c r="A292" s="89" t="s">
        <v>80</v>
      </c>
      <c r="B292" s="216">
        <v>456.21100000000001</v>
      </c>
      <c r="C292" s="40">
        <f>'SECI Network'!B140</f>
        <v>892026.44931227714</v>
      </c>
      <c r="D292" s="40">
        <f>'SECI Network'!C140</f>
        <v>711032.12429954158</v>
      </c>
      <c r="E292" s="40">
        <f>'SECI Network'!D140</f>
        <v>653071.23790117167</v>
      </c>
      <c r="F292" s="40">
        <f>'SECI Network'!E140</f>
        <v>618925.52215995931</v>
      </c>
      <c r="G292" s="40">
        <f>'SECI Network'!F140</f>
        <v>698482.22109016811</v>
      </c>
      <c r="H292" s="40">
        <f>'SECI Network'!G140</f>
        <v>754398.70606214984</v>
      </c>
      <c r="I292" s="40">
        <f>'SECI Network'!H140</f>
        <v>748557.09628120228</v>
      </c>
      <c r="J292" s="40">
        <f>'SECI Network'!I140</f>
        <v>746143.34182373923</v>
      </c>
      <c r="K292" s="40">
        <f>'SECI Network'!J140</f>
        <v>756527.34589913406</v>
      </c>
      <c r="L292" s="40">
        <f>'SECI Network'!K140</f>
        <v>657822.60825267446</v>
      </c>
      <c r="M292" s="40">
        <f>'SECI Network'!L140</f>
        <v>633986.37799286807</v>
      </c>
      <c r="N292" s="40">
        <f>'SECI Network'!M140</f>
        <v>685989.01681100356</v>
      </c>
      <c r="O292" s="40">
        <f t="shared" si="30"/>
        <v>8556962.0478858892</v>
      </c>
    </row>
    <row r="293" spans="1:15">
      <c r="A293" s="89" t="s">
        <v>144</v>
      </c>
      <c r="B293" s="216">
        <v>456.221</v>
      </c>
      <c r="C293" s="40">
        <f>'SECI Network'!B145</f>
        <v>7147.4320529801316</v>
      </c>
      <c r="D293" s="40">
        <f>'SECI Network'!C145</f>
        <v>5697.2007947019865</v>
      </c>
      <c r="E293" s="40">
        <f>'SECI Network'!D145</f>
        <v>5232.784635761589</v>
      </c>
      <c r="F293" s="40">
        <f>'SECI Network'!E145</f>
        <v>4959.1894039735098</v>
      </c>
      <c r="G293" s="40">
        <f>'SECI Network'!F145</f>
        <v>5596.643708609271</v>
      </c>
      <c r="H293" s="40">
        <f>'SECI Network'!G145</f>
        <v>6044.6789403973507</v>
      </c>
      <c r="I293" s="40">
        <f>'SECI Network'!H145</f>
        <v>5997.872582781456</v>
      </c>
      <c r="J293" s="40">
        <f>'SECI Network'!I145</f>
        <v>5978.532185430463</v>
      </c>
      <c r="K293" s="40">
        <f>'SECI Network'!J145</f>
        <v>6061.7348344370857</v>
      </c>
      <c r="L293" s="40">
        <f>'SECI Network'!K145</f>
        <v>5270.8553642384104</v>
      </c>
      <c r="M293" s="40">
        <f>'SECI Network'!L145</f>
        <v>5079.8656953642385</v>
      </c>
      <c r="N293" s="40">
        <f>'SECI Network'!M145</f>
        <v>5496.5409271523176</v>
      </c>
      <c r="O293" s="40">
        <f t="shared" si="30"/>
        <v>68563.331125827812</v>
      </c>
    </row>
    <row r="294" spans="1:15">
      <c r="A294" s="89" t="s">
        <v>76</v>
      </c>
      <c r="B294" s="216">
        <v>456.22199999999998</v>
      </c>
      <c r="C294" s="40">
        <f>'SECI Network'!B150</f>
        <v>11220.458481915435</v>
      </c>
      <c r="D294" s="40">
        <f>'SECI Network'!C150</f>
        <v>8943.8003056546113</v>
      </c>
      <c r="E294" s="40">
        <f>'SECI Network'!D150</f>
        <v>8214.7325522159954</v>
      </c>
      <c r="F294" s="40">
        <f>'SECI Network'!E150</f>
        <v>7785.2266938359653</v>
      </c>
      <c r="G294" s="40">
        <f>'SECI Network'!F150</f>
        <v>8785.9398879266428</v>
      </c>
      <c r="H294" s="40">
        <f>'SECI Network'!G150</f>
        <v>9489.291900152828</v>
      </c>
      <c r="I294" s="40">
        <f>'SECI Network'!H150</f>
        <v>9415.8125318390212</v>
      </c>
      <c r="J294" s="40">
        <f>'SECI Network'!I150</f>
        <v>9385.4508405501783</v>
      </c>
      <c r="K294" s="40">
        <f>'SECI Network'!J150</f>
        <v>9516.0672440142644</v>
      </c>
      <c r="L294" s="40">
        <f>'SECI Network'!K150</f>
        <v>8274.4982170147723</v>
      </c>
      <c r="M294" s="40">
        <f>'SECI Network'!L150</f>
        <v>7974.6714212939378</v>
      </c>
      <c r="N294" s="40">
        <f>'SECI Network'!M150</f>
        <v>8628.7926642893526</v>
      </c>
      <c r="O294" s="40">
        <f t="shared" si="30"/>
        <v>107634.74274070302</v>
      </c>
    </row>
    <row r="295" spans="1:15">
      <c r="A295" s="89" t="s">
        <v>57</v>
      </c>
      <c r="B295" s="216">
        <v>456.22399999999999</v>
      </c>
      <c r="C295" s="40">
        <f>SECI_Regulation_Imbalance!B93</f>
        <v>36490.614080806256</v>
      </c>
      <c r="D295" s="40">
        <f>SECI_Regulation_Imbalance!C93</f>
        <v>29086.580192879614</v>
      </c>
      <c r="E295" s="40">
        <f>SECI_Regulation_Imbalance!D93</f>
        <v>26715.542498534225</v>
      </c>
      <c r="F295" s="40">
        <f>SECI_Regulation_Imbalance!E93</f>
        <v>25318.725021203616</v>
      </c>
      <c r="G295" s="40">
        <f>SECI_Regulation_Imbalance!F93</f>
        <v>28573.194435365607</v>
      </c>
      <c r="H295" s="40">
        <f>SECI_Regulation_Imbalance!G93</f>
        <v>30860.60068192699</v>
      </c>
      <c r="I295" s="40">
        <f>SECI_Regulation_Imbalance!H93</f>
        <v>30621.634754265251</v>
      </c>
      <c r="J295" s="40">
        <f>SECI_Regulation_Imbalance!I93</f>
        <v>30522.89397994024</v>
      </c>
      <c r="K295" s="40">
        <f>SECI_Regulation_Imbalance!J93</f>
        <v>30947.678116465959</v>
      </c>
      <c r="L295" s="40">
        <f>SECI_Regulation_Imbalance!K93</f>
        <v>26909.909405309572</v>
      </c>
      <c r="M295" s="40">
        <f>SECI_Regulation_Imbalance!L93</f>
        <v>25934.827691606057</v>
      </c>
      <c r="N295" s="40">
        <f>SECI_Regulation_Imbalance!M93</f>
        <v>28062.128092013598</v>
      </c>
      <c r="O295" s="40">
        <f t="shared" si="30"/>
        <v>350044.32895031699</v>
      </c>
    </row>
    <row r="296" spans="1:15">
      <c r="A296" s="89" t="s">
        <v>275</v>
      </c>
      <c r="B296" s="216">
        <v>456.24900000000002</v>
      </c>
      <c r="C296" s="44">
        <f>'Radial Facilities'!B89</f>
        <v>20405.489999999998</v>
      </c>
      <c r="D296" s="44">
        <f>'Radial Facilities'!C89</f>
        <v>20188.830000000002</v>
      </c>
      <c r="E296" s="44">
        <f>'Radial Facilities'!D89</f>
        <v>20188.830000000002</v>
      </c>
      <c r="F296" s="44">
        <f>'Radial Facilities'!E89</f>
        <v>20188.830000000002</v>
      </c>
      <c r="G296" s="44">
        <f>'Radial Facilities'!F89</f>
        <v>20188.830000000002</v>
      </c>
      <c r="H296" s="44">
        <f>'Radial Facilities'!G89</f>
        <v>20188.830000000002</v>
      </c>
      <c r="I296" s="44">
        <f>'Radial Facilities'!H89</f>
        <v>20188.830000000002</v>
      </c>
      <c r="J296" s="44">
        <f>'Radial Facilities'!I89</f>
        <v>20188.830000000002</v>
      </c>
      <c r="K296" s="44">
        <f>'Radial Facilities'!J89</f>
        <v>20188.830000000002</v>
      </c>
      <c r="L296" s="44">
        <f>'Radial Facilities'!K89</f>
        <v>20188.830000000002</v>
      </c>
      <c r="M296" s="44">
        <f>'Radial Facilities'!L89</f>
        <v>20188.830000000002</v>
      </c>
      <c r="N296" s="44">
        <f>'Radial Facilities'!M89</f>
        <v>20188.830000000002</v>
      </c>
      <c r="O296" s="41">
        <f t="shared" si="30"/>
        <v>242482.62000000011</v>
      </c>
    </row>
    <row r="297" spans="1:15">
      <c r="A297" s="89" t="s">
        <v>129</v>
      </c>
      <c r="B297" s="216">
        <v>456.21100000000001</v>
      </c>
      <c r="C297" s="44">
        <f>'LCEC Network'!B103</f>
        <v>872429.04876349901</v>
      </c>
      <c r="D297" s="44">
        <f>'LCEC Network'!C103</f>
        <v>1187186.2251776557</v>
      </c>
      <c r="E297" s="44">
        <f>'LCEC Network'!D103</f>
        <v>1065753.6750583022</v>
      </c>
      <c r="F297" s="44">
        <f>'LCEC Network'!E103</f>
        <v>982317.01538648456</v>
      </c>
      <c r="G297" s="44">
        <f>'LCEC Network'!F103</f>
        <v>972347.38098185905</v>
      </c>
      <c r="H297" s="44">
        <f>'LCEC Network'!G103</f>
        <v>1124262.688234709</v>
      </c>
      <c r="I297" s="44">
        <f>'LCEC Network'!H103</f>
        <v>1230563.0696234002</v>
      </c>
      <c r="J297" s="44">
        <f>'LCEC Network'!I103</f>
        <v>1204658.8993947243</v>
      </c>
      <c r="K297" s="44">
        <f>'LCEC Network'!J103</f>
        <v>1259960.5761122229</v>
      </c>
      <c r="L297" s="44">
        <f>'LCEC Network'!K103</f>
        <v>1082032.6476545751</v>
      </c>
      <c r="M297" s="44">
        <f>'LCEC Network'!L103</f>
        <v>1134471.4608457366</v>
      </c>
      <c r="N297" s="44">
        <f>'LCEC Network'!M103</f>
        <v>929356.97649451927</v>
      </c>
      <c r="O297" s="41">
        <f t="shared" si="30"/>
        <v>13045339.663727686</v>
      </c>
    </row>
    <row r="298" spans="1:15">
      <c r="A298" s="89" t="s">
        <v>145</v>
      </c>
      <c r="B298" s="216">
        <v>456.221</v>
      </c>
      <c r="C298" s="44">
        <f>'LCEC Network'!B110</f>
        <v>6990.4063404069029</v>
      </c>
      <c r="D298" s="44">
        <f>'LCEC Network'!C110</f>
        <v>9512.4229614863725</v>
      </c>
      <c r="E298" s="44">
        <f>'LCEC Network'!D110</f>
        <v>8539.4351070709236</v>
      </c>
      <c r="F298" s="44">
        <f>'LCEC Network'!E110</f>
        <v>7870.8923119646615</v>
      </c>
      <c r="G298" s="44">
        <f>'LCEC Network'!F110</f>
        <v>7791.0098325213103</v>
      </c>
      <c r="H298" s="44">
        <f>'LCEC Network'!G110</f>
        <v>9008.2431749120697</v>
      </c>
      <c r="I298" s="44">
        <f>'LCEC Network'!H110</f>
        <v>9859.9833377371815</v>
      </c>
      <c r="J298" s="44">
        <f>'LCEC Network'!I110</f>
        <v>9652.4241372885444</v>
      </c>
      <c r="K298" s="44">
        <f>'LCEC Network'!J110</f>
        <v>10095.533169603596</v>
      </c>
      <c r="L298" s="44">
        <f>'LCEC Network'!K110</f>
        <v>8669.871654792003</v>
      </c>
      <c r="M298" s="44">
        <f>'LCEC Network'!L110</f>
        <v>9090.0417680343908</v>
      </c>
      <c r="N298" s="44">
        <f>'LCEC Network'!M110</f>
        <v>7446.5458368177206</v>
      </c>
      <c r="O298" s="41">
        <f t="shared" si="30"/>
        <v>104526.80963263569</v>
      </c>
    </row>
    <row r="299" spans="1:15">
      <c r="A299" s="89" t="s">
        <v>184</v>
      </c>
      <c r="B299" s="216">
        <v>456.21100000000001</v>
      </c>
      <c r="C299" s="44">
        <f>'FKEC Network'!B103</f>
        <v>186520.78464049424</v>
      </c>
      <c r="D299" s="44">
        <f>'FKEC Network'!C103</f>
        <v>182106.39503615955</v>
      </c>
      <c r="E299" s="44">
        <f>'FKEC Network'!D103</f>
        <v>193767.74081045928</v>
      </c>
      <c r="F299" s="44">
        <f>'FKEC Network'!E103</f>
        <v>183879.86770847015</v>
      </c>
      <c r="G299" s="44">
        <f>'FKEC Network'!F103</f>
        <v>218367.02832535346</v>
      </c>
      <c r="H299" s="44">
        <f>'FKEC Network'!G103</f>
        <v>232121.92124376248</v>
      </c>
      <c r="I299" s="44">
        <f>'FKEC Network'!H103</f>
        <v>238889.48304065876</v>
      </c>
      <c r="J299" s="44">
        <f>'FKEC Network'!I103</f>
        <v>258778.75169033767</v>
      </c>
      <c r="K299" s="44">
        <f>'FKEC Network'!J103</f>
        <v>252435.2668045724</v>
      </c>
      <c r="L299" s="44">
        <f>'FKEC Network'!K103</f>
        <v>232882.12602122198</v>
      </c>
      <c r="M299" s="44">
        <f>'FKEC Network'!L103</f>
        <v>222654.21880334357</v>
      </c>
      <c r="N299" s="44">
        <f>'FKEC Network'!M103</f>
        <v>197533.47287728687</v>
      </c>
      <c r="O299" s="41">
        <f t="shared" si="30"/>
        <v>2599937.0570021202</v>
      </c>
    </row>
    <row r="300" spans="1:15">
      <c r="A300" s="89" t="s">
        <v>185</v>
      </c>
      <c r="B300" s="216">
        <v>456.221</v>
      </c>
      <c r="C300" s="44">
        <f>'FKEC Network'!B110</f>
        <v>1494.5124505156582</v>
      </c>
      <c r="D300" s="44">
        <f>'FKEC Network'!C110</f>
        <v>1459.1418067677184</v>
      </c>
      <c r="E300" s="44">
        <f>'FKEC Network'!D110</f>
        <v>1552.5792565567615</v>
      </c>
      <c r="F300" s="44">
        <f>'FKEC Network'!E110</f>
        <v>1473.3518959785595</v>
      </c>
      <c r="G300" s="44">
        <f>'FKEC Network'!F110</f>
        <v>1749.6829816761024</v>
      </c>
      <c r="H300" s="44">
        <f>'FKEC Network'!G110</f>
        <v>1859.8951425443609</v>
      </c>
      <c r="I300" s="44">
        <f>'FKEC Network'!H110</f>
        <v>1914.1207634830139</v>
      </c>
      <c r="J300" s="44">
        <f>'FKEC Network'!I110</f>
        <v>2073.4850921603156</v>
      </c>
      <c r="K300" s="44">
        <f>'FKEC Network'!J110</f>
        <v>2022.6574208114794</v>
      </c>
      <c r="L300" s="44">
        <f>'FKEC Network'!K110</f>
        <v>1865.9863430882815</v>
      </c>
      <c r="M300" s="44">
        <f>'FKEC Network'!L110</f>
        <v>1784.0344324242747</v>
      </c>
      <c r="N300" s="44">
        <f>'FKEC Network'!M110</f>
        <v>1582.7524807903362</v>
      </c>
      <c r="O300" s="41">
        <f t="shared" si="30"/>
        <v>20832.200066796864</v>
      </c>
    </row>
    <row r="301" spans="1:15">
      <c r="A301" s="89" t="s">
        <v>202</v>
      </c>
      <c r="B301" s="216">
        <v>456.21100000000001</v>
      </c>
      <c r="C301" s="44">
        <f>'Wauchula Network'!B124</f>
        <v>0</v>
      </c>
      <c r="D301" s="44">
        <f>'Wauchula Network'!C124</f>
        <v>0</v>
      </c>
      <c r="E301" s="44">
        <f>'Wauchula Network'!D124</f>
        <v>0</v>
      </c>
      <c r="F301" s="44">
        <f>'Wauchula Network'!E124</f>
        <v>0</v>
      </c>
      <c r="G301" s="44">
        <f>'Wauchula Network'!F124</f>
        <v>0</v>
      </c>
      <c r="H301" s="44">
        <f>'Wauchula Network'!G124</f>
        <v>0</v>
      </c>
      <c r="I301" s="44">
        <f>'Wauchula Network'!H124</f>
        <v>0</v>
      </c>
      <c r="J301" s="44">
        <f>'Wauchula Network'!I124</f>
        <v>0</v>
      </c>
      <c r="K301" s="44">
        <f>'Wauchula Network'!J124</f>
        <v>0</v>
      </c>
      <c r="L301" s="44">
        <f>'Wauchula Network'!K124</f>
        <v>0</v>
      </c>
      <c r="M301" s="44">
        <f>'Wauchula Network'!L124</f>
        <v>0</v>
      </c>
      <c r="N301" s="44">
        <f>'Wauchula Network'!M124</f>
        <v>0</v>
      </c>
      <c r="O301" s="41">
        <f>SUM(C301:N301)</f>
        <v>0</v>
      </c>
    </row>
    <row r="302" spans="1:15">
      <c r="A302" s="89" t="s">
        <v>203</v>
      </c>
      <c r="B302" s="216">
        <v>456.221</v>
      </c>
      <c r="C302" s="44">
        <f>'Wauchula Network'!B131</f>
        <v>0</v>
      </c>
      <c r="D302" s="44">
        <f>'Wauchula Network'!C131</f>
        <v>0</v>
      </c>
      <c r="E302" s="44">
        <f>'Wauchula Network'!D131</f>
        <v>0</v>
      </c>
      <c r="F302" s="44">
        <f>'Wauchula Network'!E131</f>
        <v>0</v>
      </c>
      <c r="G302" s="44">
        <f>'Wauchula Network'!F131</f>
        <v>0</v>
      </c>
      <c r="H302" s="44">
        <f>'Wauchula Network'!G131</f>
        <v>0</v>
      </c>
      <c r="I302" s="44">
        <f>'Wauchula Network'!H131</f>
        <v>0</v>
      </c>
      <c r="J302" s="44">
        <f>'Wauchula Network'!I131</f>
        <v>0</v>
      </c>
      <c r="K302" s="44">
        <f>'Wauchula Network'!J131</f>
        <v>0</v>
      </c>
      <c r="L302" s="44">
        <f>'Wauchula Network'!K131</f>
        <v>0</v>
      </c>
      <c r="M302" s="44">
        <f>'Wauchula Network'!L131</f>
        <v>0</v>
      </c>
      <c r="N302" s="44">
        <f>'Wauchula Network'!M131</f>
        <v>0</v>
      </c>
      <c r="O302" s="41">
        <f>SUM(C302:N302)</f>
        <v>0</v>
      </c>
    </row>
    <row r="303" spans="1:15">
      <c r="A303" s="89" t="s">
        <v>300</v>
      </c>
      <c r="B303" s="216">
        <v>456.21100000000001</v>
      </c>
      <c r="C303" s="44">
        <f>'Winter Park Network'!B94</f>
        <v>100756.42697999999</v>
      </c>
      <c r="D303" s="44">
        <f>'Winter Park Network'!C94</f>
        <v>95400</v>
      </c>
      <c r="E303" s="44">
        <f>'Winter Park Network'!D94</f>
        <v>69905.737275000007</v>
      </c>
      <c r="F303" s="44">
        <f>'Winter Park Network'!E94</f>
        <v>75271.074615000005</v>
      </c>
      <c r="G303" s="44">
        <f>'Winter Park Network'!F94</f>
        <v>103439.09565</v>
      </c>
      <c r="H303" s="44">
        <f>'Winter Park Network'!G94</f>
        <v>106121.76431999999</v>
      </c>
      <c r="I303" s="44">
        <f>'Winter Park Network'!H94</f>
        <v>102097.76131499998</v>
      </c>
      <c r="J303" s="44">
        <f>'Winter Park Network'!I94</f>
        <v>114169.77032999998</v>
      </c>
      <c r="K303" s="44">
        <f>'Winter Park Network'!J94</f>
        <v>95400</v>
      </c>
      <c r="L303" s="44">
        <f>'Winter Park Network'!K94</f>
        <v>96732.423975000012</v>
      </c>
      <c r="M303" s="44">
        <f>'Winter Park Network'!L94</f>
        <v>68564.40294</v>
      </c>
      <c r="N303" s="44">
        <f>'Winter Park Network'!M94</f>
        <v>68564.40294</v>
      </c>
      <c r="O303" s="41">
        <f t="shared" ref="O303:O304" si="31">SUM(C303:N303)</f>
        <v>1096422.8603399999</v>
      </c>
    </row>
    <row r="304" spans="1:15">
      <c r="A304" s="89" t="s">
        <v>431</v>
      </c>
      <c r="B304" s="216">
        <v>456.221</v>
      </c>
      <c r="C304" s="44">
        <f>'Winter Park Network'!B101</f>
        <v>807.31879227999991</v>
      </c>
      <c r="D304" s="44">
        <f>'Winter Park Network'!C101</f>
        <v>764.4</v>
      </c>
      <c r="E304" s="44">
        <f>'Winter Park Network'!D101</f>
        <v>560.12521564999997</v>
      </c>
      <c r="F304" s="44">
        <f>'Winter Park Network'!E101</f>
        <v>603.11540288999993</v>
      </c>
      <c r="G304" s="44">
        <f>'Winter Park Network'!F101</f>
        <v>828.81388589999995</v>
      </c>
      <c r="H304" s="44">
        <f>'Winter Park Network'!G101</f>
        <v>850.30897951999987</v>
      </c>
      <c r="I304" s="44">
        <f>'Winter Park Network'!H101</f>
        <v>818.06633908999981</v>
      </c>
      <c r="J304" s="44">
        <f>'Winter Park Network'!I101</f>
        <v>914.79426037999986</v>
      </c>
      <c r="K304" s="44">
        <f>'Winter Park Network'!J101</f>
        <v>764.4</v>
      </c>
      <c r="L304" s="44">
        <f>'Winter Park Network'!K101</f>
        <v>775.07615184999997</v>
      </c>
      <c r="M304" s="44">
        <f>'Winter Park Network'!L101</f>
        <v>549.37766883999996</v>
      </c>
      <c r="N304" s="44">
        <f>'Winter Park Network'!M101</f>
        <v>549.37766883999996</v>
      </c>
      <c r="O304" s="41">
        <f t="shared" si="31"/>
        <v>8785.17436524</v>
      </c>
    </row>
    <row r="305" spans="1:17">
      <c r="A305" s="89" t="s">
        <v>321</v>
      </c>
      <c r="B305" s="216">
        <v>456.21100000000001</v>
      </c>
      <c r="C305" s="44">
        <f>'New Smyrna Network'!B129</f>
        <v>0</v>
      </c>
      <c r="D305" s="44">
        <f>'New Smyrna Network'!C129</f>
        <v>0</v>
      </c>
      <c r="E305" s="44">
        <f>'New Smyrna Network'!D129</f>
        <v>0</v>
      </c>
      <c r="F305" s="44">
        <f>'New Smyrna Network'!E129</f>
        <v>0</v>
      </c>
      <c r="G305" s="44">
        <f>'New Smyrna Network'!F129</f>
        <v>0</v>
      </c>
      <c r="H305" s="44">
        <f>'New Smyrna Network'!G129</f>
        <v>0</v>
      </c>
      <c r="I305" s="44">
        <f>'New Smyrna Network'!H129</f>
        <v>0</v>
      </c>
      <c r="J305" s="44">
        <f>'New Smyrna Network'!I129</f>
        <v>0</v>
      </c>
      <c r="K305" s="44">
        <f>'New Smyrna Network'!J129</f>
        <v>0</v>
      </c>
      <c r="L305" s="44">
        <f>'New Smyrna Network'!K129</f>
        <v>0</v>
      </c>
      <c r="M305" s="44">
        <f>'New Smyrna Network'!L129</f>
        <v>0</v>
      </c>
      <c r="N305" s="44">
        <f>'New Smyrna Network'!M129</f>
        <v>0</v>
      </c>
      <c r="O305" s="41">
        <f t="shared" ref="O305:O307" si="32">SUM(C305:N305)</f>
        <v>0</v>
      </c>
    </row>
    <row r="306" spans="1:17">
      <c r="A306" s="89" t="s">
        <v>322</v>
      </c>
      <c r="B306" s="216">
        <v>456.221</v>
      </c>
      <c r="C306" s="44">
        <f>'New Smyrna Network'!B136</f>
        <v>0</v>
      </c>
      <c r="D306" s="44">
        <f>'New Smyrna Network'!C136</f>
        <v>0</v>
      </c>
      <c r="E306" s="44">
        <f>'New Smyrna Network'!D136</f>
        <v>0</v>
      </c>
      <c r="F306" s="44">
        <f>'New Smyrna Network'!E136</f>
        <v>0</v>
      </c>
      <c r="G306" s="44">
        <f>'New Smyrna Network'!F136</f>
        <v>0</v>
      </c>
      <c r="H306" s="44">
        <f>'New Smyrna Network'!G136</f>
        <v>0</v>
      </c>
      <c r="I306" s="44">
        <f>'New Smyrna Network'!H136</f>
        <v>0</v>
      </c>
      <c r="J306" s="44">
        <f>'New Smyrna Network'!I136</f>
        <v>0</v>
      </c>
      <c r="K306" s="44">
        <f>'New Smyrna Network'!J136</f>
        <v>0</v>
      </c>
      <c r="L306" s="44">
        <f>'New Smyrna Network'!K136</f>
        <v>0</v>
      </c>
      <c r="M306" s="44">
        <f>'New Smyrna Network'!L136</f>
        <v>0</v>
      </c>
      <c r="N306" s="44">
        <f>'New Smyrna Network'!M136</f>
        <v>0</v>
      </c>
      <c r="O306" s="41">
        <f t="shared" si="32"/>
        <v>0</v>
      </c>
    </row>
    <row r="307" spans="1:17">
      <c r="A307" s="89" t="s">
        <v>423</v>
      </c>
      <c r="B307" s="216">
        <v>456.22199999999998</v>
      </c>
      <c r="C307" s="44">
        <f>'New Smyrna Network'!B143</f>
        <v>0</v>
      </c>
      <c r="D307" s="44">
        <f>'New Smyrna Network'!C143</f>
        <v>0</v>
      </c>
      <c r="E307" s="44">
        <f>'New Smyrna Network'!D143</f>
        <v>0</v>
      </c>
      <c r="F307" s="44">
        <f>'New Smyrna Network'!E143</f>
        <v>0</v>
      </c>
      <c r="G307" s="44">
        <f>'New Smyrna Network'!F143</f>
        <v>0</v>
      </c>
      <c r="H307" s="44">
        <f>'New Smyrna Network'!G143</f>
        <v>0</v>
      </c>
      <c r="I307" s="44">
        <f>'New Smyrna Network'!H143</f>
        <v>0</v>
      </c>
      <c r="J307" s="44">
        <f>'New Smyrna Network'!I143</f>
        <v>0</v>
      </c>
      <c r="K307" s="44">
        <f>'New Smyrna Network'!J143</f>
        <v>0</v>
      </c>
      <c r="L307" s="44">
        <f>'New Smyrna Network'!K143</f>
        <v>0</v>
      </c>
      <c r="M307" s="44">
        <f>'New Smyrna Network'!L143</f>
        <v>0</v>
      </c>
      <c r="N307" s="44">
        <f>'New Smyrna Network'!M143</f>
        <v>0</v>
      </c>
      <c r="O307" s="41">
        <f t="shared" si="32"/>
        <v>0</v>
      </c>
    </row>
    <row r="308" spans="1:17">
      <c r="A308" s="89" t="s">
        <v>13</v>
      </c>
      <c r="B308" s="216">
        <v>456.21300000000002</v>
      </c>
      <c r="C308" s="43">
        <v>0</v>
      </c>
      <c r="D308" s="43">
        <v>0</v>
      </c>
      <c r="E308" s="43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f t="shared" ref="O308:O325" si="33">SUM(C308:N308)</f>
        <v>0</v>
      </c>
    </row>
    <row r="309" spans="1:17">
      <c r="A309" s="454" t="s">
        <v>375</v>
      </c>
      <c r="B309" s="216">
        <v>456.21100000000001</v>
      </c>
      <c r="C309" s="44">
        <f>'Georgia Trans Network'!B127</f>
        <v>41917.170000000006</v>
      </c>
      <c r="D309" s="44">
        <f>'Georgia Trans Network'!C127</f>
        <v>41917.170000000006</v>
      </c>
      <c r="E309" s="44">
        <f>'Georgia Trans Network'!D127</f>
        <v>41917.170000000006</v>
      </c>
      <c r="F309" s="44">
        <f>'Georgia Trans Network'!E127</f>
        <v>41917.170000000006</v>
      </c>
      <c r="G309" s="44">
        <f>'Georgia Trans Network'!F127</f>
        <v>41917.170000000006</v>
      </c>
      <c r="H309" s="44">
        <f>'Georgia Trans Network'!G127</f>
        <v>41915.58</v>
      </c>
      <c r="I309" s="44">
        <f>'Georgia Trans Network'!H127</f>
        <v>41915.58</v>
      </c>
      <c r="J309" s="44">
        <f>'Georgia Trans Network'!I127</f>
        <v>41915.58</v>
      </c>
      <c r="K309" s="44">
        <f>'Georgia Trans Network'!J127</f>
        <v>41915.58</v>
      </c>
      <c r="L309" s="44">
        <f>'Georgia Trans Network'!K127</f>
        <v>46750.770000000004</v>
      </c>
      <c r="M309" s="44">
        <f>'Georgia Trans Network'!L127</f>
        <v>46750.770000000004</v>
      </c>
      <c r="N309" s="44">
        <f>'Georgia Trans Network'!M127</f>
        <v>46750.770000000004</v>
      </c>
      <c r="O309" s="41">
        <f t="shared" si="33"/>
        <v>517500.48000000016</v>
      </c>
    </row>
    <row r="310" spans="1:17">
      <c r="A310" s="454" t="s">
        <v>376</v>
      </c>
      <c r="B310" s="216">
        <v>456.221</v>
      </c>
      <c r="C310" s="44">
        <f>'Georgia Trans Network'!B134</f>
        <v>335.86462</v>
      </c>
      <c r="D310" s="44">
        <f>'Georgia Trans Network'!C134</f>
        <v>335.86462</v>
      </c>
      <c r="E310" s="44">
        <f>'Georgia Trans Network'!D134</f>
        <v>335.86462</v>
      </c>
      <c r="F310" s="44">
        <f>'Georgia Trans Network'!E134</f>
        <v>335.86462</v>
      </c>
      <c r="G310" s="44">
        <f>'Georgia Trans Network'!F134</f>
        <v>335.86462</v>
      </c>
      <c r="H310" s="44">
        <f>'Georgia Trans Network'!G134</f>
        <v>335.85187999999999</v>
      </c>
      <c r="I310" s="44">
        <f>'Georgia Trans Network'!H134</f>
        <v>335.85187999999999</v>
      </c>
      <c r="J310" s="44">
        <f>'Georgia Trans Network'!I134</f>
        <v>335.85187999999999</v>
      </c>
      <c r="K310" s="44">
        <f>'Georgia Trans Network'!J134</f>
        <v>335.85187999999999</v>
      </c>
      <c r="L310" s="44">
        <f>'Georgia Trans Network'!K134</f>
        <v>374.59422000000001</v>
      </c>
      <c r="M310" s="44">
        <f>'Georgia Trans Network'!L134</f>
        <v>374.59422000000001</v>
      </c>
      <c r="N310" s="44">
        <f>'Georgia Trans Network'!M134</f>
        <v>374.59422000000001</v>
      </c>
      <c r="O310" s="41">
        <f t="shared" si="33"/>
        <v>4146.5132800000001</v>
      </c>
    </row>
    <row r="311" spans="1:17">
      <c r="A311" s="454" t="s">
        <v>420</v>
      </c>
      <c r="B311" s="216">
        <v>456.22199999999998</v>
      </c>
      <c r="C311" s="44">
        <f>'Georgia Trans Network'!B141</f>
        <v>2657.3904000000002</v>
      </c>
      <c r="D311" s="44">
        <f>'Georgia Trans Network'!C141</f>
        <v>2657.3904000000002</v>
      </c>
      <c r="E311" s="44">
        <f>'Georgia Trans Network'!D141</f>
        <v>2657.3904000000002</v>
      </c>
      <c r="F311" s="44">
        <f>'Georgia Trans Network'!E141</f>
        <v>2657.3904000000002</v>
      </c>
      <c r="G311" s="44">
        <f>'Georgia Trans Network'!F141</f>
        <v>2657.3904000000002</v>
      </c>
      <c r="H311" s="44">
        <f>'Georgia Trans Network'!G141</f>
        <v>2657.2896000000001</v>
      </c>
      <c r="I311" s="44">
        <f>'Georgia Trans Network'!H141</f>
        <v>2657.2896000000001</v>
      </c>
      <c r="J311" s="44">
        <f>'Georgia Trans Network'!I141</f>
        <v>2657.2896000000001</v>
      </c>
      <c r="K311" s="44">
        <f>'Georgia Trans Network'!J141</f>
        <v>2657.2896000000001</v>
      </c>
      <c r="L311" s="44">
        <f>'Georgia Trans Network'!K141</f>
        <v>2963.8224</v>
      </c>
      <c r="M311" s="44">
        <f>'Georgia Trans Network'!L141</f>
        <v>2963.8224</v>
      </c>
      <c r="N311" s="44">
        <f>'Georgia Trans Network'!M141</f>
        <v>2963.8224</v>
      </c>
      <c r="O311" s="41">
        <f t="shared" si="33"/>
        <v>32807.577600000004</v>
      </c>
    </row>
    <row r="312" spans="1:17">
      <c r="A312" s="89" t="s">
        <v>325</v>
      </c>
      <c r="B312" s="216">
        <v>456.21100000000001</v>
      </c>
      <c r="C312" s="43">
        <f>'Lake Worth Network Transmission'!B126</f>
        <v>113471.04866457131</v>
      </c>
      <c r="D312" s="43">
        <f>'Lake Worth Network Transmission'!C126</f>
        <v>0</v>
      </c>
      <c r="E312" s="43">
        <f>'Lake Worth Network Transmission'!D126</f>
        <v>0</v>
      </c>
      <c r="F312" s="43">
        <f>'Lake Worth Network Transmission'!E126</f>
        <v>0</v>
      </c>
      <c r="G312" s="43">
        <f>'Lake Worth Network Transmission'!F126</f>
        <v>0</v>
      </c>
      <c r="H312" s="43">
        <f>'Lake Worth Network Transmission'!G126</f>
        <v>0</v>
      </c>
      <c r="I312" s="43">
        <f>'Lake Worth Network Transmission'!H126</f>
        <v>0</v>
      </c>
      <c r="J312" s="43">
        <f>'Lake Worth Network Transmission'!I126</f>
        <v>0</v>
      </c>
      <c r="K312" s="43">
        <f>'Lake Worth Network Transmission'!J126</f>
        <v>0</v>
      </c>
      <c r="L312" s="43">
        <f>'Lake Worth Network Transmission'!K126</f>
        <v>0</v>
      </c>
      <c r="M312" s="43">
        <f>'Lake Worth Network Transmission'!L126</f>
        <v>0</v>
      </c>
      <c r="N312" s="43">
        <f>'Lake Worth Network Transmission'!M126</f>
        <v>0</v>
      </c>
      <c r="O312" s="43">
        <f t="shared" si="33"/>
        <v>113471.04866457131</v>
      </c>
      <c r="Q312" s="11"/>
    </row>
    <row r="313" spans="1:17">
      <c r="A313" s="89" t="s">
        <v>326</v>
      </c>
      <c r="B313" s="216">
        <v>456.221</v>
      </c>
      <c r="C313" s="43">
        <f>'Lake Worth Network Transmission'!B133</f>
        <v>909.19569810480402</v>
      </c>
      <c r="D313" s="43">
        <f>'Lake Worth Network Transmission'!C133</f>
        <v>0</v>
      </c>
      <c r="E313" s="43">
        <f>'Lake Worth Network Transmission'!D133</f>
        <v>0</v>
      </c>
      <c r="F313" s="43">
        <f>'Lake Worth Network Transmission'!E133</f>
        <v>0</v>
      </c>
      <c r="G313" s="43">
        <f>'Lake Worth Network Transmission'!F133</f>
        <v>0</v>
      </c>
      <c r="H313" s="43">
        <f>'Lake Worth Network Transmission'!G133</f>
        <v>0</v>
      </c>
      <c r="I313" s="43">
        <f>'Lake Worth Network Transmission'!H133</f>
        <v>0</v>
      </c>
      <c r="J313" s="43">
        <f>'Lake Worth Network Transmission'!I133</f>
        <v>0</v>
      </c>
      <c r="K313" s="43">
        <f>'Lake Worth Network Transmission'!J133</f>
        <v>0</v>
      </c>
      <c r="L313" s="43">
        <f>'Lake Worth Network Transmission'!K133</f>
        <v>0</v>
      </c>
      <c r="M313" s="43">
        <f>'Lake Worth Network Transmission'!L133</f>
        <v>0</v>
      </c>
      <c r="N313" s="43">
        <f>'Lake Worth Network Transmission'!M133</f>
        <v>0</v>
      </c>
      <c r="O313" s="43">
        <f t="shared" si="33"/>
        <v>909.19569810480402</v>
      </c>
      <c r="Q313" s="11"/>
    </row>
    <row r="314" spans="1:17">
      <c r="A314" s="89" t="s">
        <v>422</v>
      </c>
      <c r="B314" s="216">
        <v>456.22199999999998</v>
      </c>
      <c r="C314" s="43">
        <f>'Lake Worth Network Transmission'!B140</f>
        <v>7193.6362926973507</v>
      </c>
      <c r="D314" s="43">
        <f>'Lake Worth Network Transmission'!C140</f>
        <v>0</v>
      </c>
      <c r="E314" s="43">
        <f>'Lake Worth Network Transmission'!D140</f>
        <v>0</v>
      </c>
      <c r="F314" s="43">
        <f>'Lake Worth Network Transmission'!E140</f>
        <v>0</v>
      </c>
      <c r="G314" s="43">
        <f>'Lake Worth Network Transmission'!F140</f>
        <v>0</v>
      </c>
      <c r="H314" s="43">
        <f>'Lake Worth Network Transmission'!G140</f>
        <v>0</v>
      </c>
      <c r="I314" s="43">
        <f>'Lake Worth Network Transmission'!H140</f>
        <v>0</v>
      </c>
      <c r="J314" s="43">
        <f>'Lake Worth Network Transmission'!I140</f>
        <v>0</v>
      </c>
      <c r="K314" s="43">
        <f>'Lake Worth Network Transmission'!J140</f>
        <v>0</v>
      </c>
      <c r="L314" s="43">
        <f>'Lake Worth Network Transmission'!K140</f>
        <v>0</v>
      </c>
      <c r="M314" s="43">
        <f>'Lake Worth Network Transmission'!L140</f>
        <v>0</v>
      </c>
      <c r="N314" s="43">
        <f>'Lake Worth Network Transmission'!M140</f>
        <v>0</v>
      </c>
      <c r="O314" s="43">
        <f t="shared" si="33"/>
        <v>7193.6362926973507</v>
      </c>
      <c r="Q314" s="11"/>
    </row>
    <row r="315" spans="1:17">
      <c r="A315" s="454" t="s">
        <v>436</v>
      </c>
      <c r="B315" s="216">
        <v>456.21100000000001</v>
      </c>
      <c r="C315" s="43">
        <f>'Homestead Network Transmission'!B127</f>
        <v>42930</v>
      </c>
      <c r="D315" s="43">
        <f>'Homestead Network Transmission'!C127</f>
        <v>9540</v>
      </c>
      <c r="E315" s="43">
        <f>'Homestead Network Transmission'!D127</f>
        <v>0</v>
      </c>
      <c r="F315" s="43">
        <f>'Homestead Network Transmission'!E127</f>
        <v>4770</v>
      </c>
      <c r="G315" s="43">
        <f>'Homestead Network Transmission'!F127</f>
        <v>19080</v>
      </c>
      <c r="H315" s="43">
        <f>'Homestead Network Transmission'!G127</f>
        <v>31800</v>
      </c>
      <c r="I315" s="43">
        <f>'Homestead Network Transmission'!H127</f>
        <v>39750</v>
      </c>
      <c r="J315" s="43">
        <f>'Homestead Network Transmission'!I127</f>
        <v>42930</v>
      </c>
      <c r="K315" s="43">
        <f>'Homestead Network Transmission'!J127</f>
        <v>33390</v>
      </c>
      <c r="L315" s="43">
        <f>'Homestead Network Transmission'!K127</f>
        <v>12720</v>
      </c>
      <c r="M315" s="43">
        <f>'Homestead Network Transmission'!L127</f>
        <v>0</v>
      </c>
      <c r="N315" s="43">
        <f>'Homestead Network Transmission'!M127</f>
        <v>0</v>
      </c>
      <c r="O315" s="43">
        <f t="shared" si="33"/>
        <v>236910</v>
      </c>
      <c r="Q315" s="11"/>
    </row>
    <row r="316" spans="1:17">
      <c r="A316" s="454" t="s">
        <v>437</v>
      </c>
      <c r="B316" s="216">
        <v>456.221</v>
      </c>
      <c r="C316" s="43">
        <f>'Homestead Network Transmission'!B134</f>
        <v>343.97999999999996</v>
      </c>
      <c r="D316" s="43">
        <f>'Homestead Network Transmission'!C134</f>
        <v>76.44</v>
      </c>
      <c r="E316" s="43">
        <f>'Homestead Network Transmission'!D134</f>
        <v>0</v>
      </c>
      <c r="F316" s="43">
        <f>'Homestead Network Transmission'!E134</f>
        <v>38.22</v>
      </c>
      <c r="G316" s="43">
        <f>'Homestead Network Transmission'!F134</f>
        <v>152.88</v>
      </c>
      <c r="H316" s="43">
        <f>'Homestead Network Transmission'!G134</f>
        <v>254.79999999999998</v>
      </c>
      <c r="I316" s="43">
        <f>'Homestead Network Transmission'!H134</f>
        <v>318.5</v>
      </c>
      <c r="J316" s="43">
        <f>'Homestead Network Transmission'!I134</f>
        <v>343.97999999999996</v>
      </c>
      <c r="K316" s="43">
        <f>'Homestead Network Transmission'!J134</f>
        <v>267.53999999999996</v>
      </c>
      <c r="L316" s="43">
        <f>'Homestead Network Transmission'!K134</f>
        <v>101.92</v>
      </c>
      <c r="M316" s="43">
        <f>'Homestead Network Transmission'!L134</f>
        <v>0</v>
      </c>
      <c r="N316" s="43">
        <f>'Homestead Network Transmission'!M134</f>
        <v>0</v>
      </c>
      <c r="O316" s="43">
        <f t="shared" si="33"/>
        <v>1898.26</v>
      </c>
      <c r="Q316" s="11"/>
    </row>
    <row r="317" spans="1:17">
      <c r="A317" s="454" t="s">
        <v>438</v>
      </c>
      <c r="B317" s="216">
        <v>456.22199999999998</v>
      </c>
      <c r="C317" s="43">
        <f>'Homestead Network Transmission'!B141</f>
        <v>2721.6</v>
      </c>
      <c r="D317" s="43">
        <f>'Homestead Network Transmission'!C141</f>
        <v>604.79999999999995</v>
      </c>
      <c r="E317" s="43">
        <f>'Homestead Network Transmission'!D141</f>
        <v>0</v>
      </c>
      <c r="F317" s="43">
        <f>'Homestead Network Transmission'!E141</f>
        <v>302.39999999999998</v>
      </c>
      <c r="G317" s="43">
        <f>'Homestead Network Transmission'!F141</f>
        <v>1209.5999999999999</v>
      </c>
      <c r="H317" s="43">
        <f>'Homestead Network Transmission'!G141</f>
        <v>2016</v>
      </c>
      <c r="I317" s="43">
        <f>'Homestead Network Transmission'!H141</f>
        <v>2520</v>
      </c>
      <c r="J317" s="43">
        <f>'Homestead Network Transmission'!I141</f>
        <v>2721.6</v>
      </c>
      <c r="K317" s="43">
        <f>'Homestead Network Transmission'!J141</f>
        <v>2116.8000000000002</v>
      </c>
      <c r="L317" s="43">
        <f>'Homestead Network Transmission'!K141</f>
        <v>806.4</v>
      </c>
      <c r="M317" s="43">
        <f>'Homestead Network Transmission'!L141</f>
        <v>0</v>
      </c>
      <c r="N317" s="43">
        <f>'Homestead Network Transmission'!M141</f>
        <v>0</v>
      </c>
      <c r="O317" s="43">
        <f t="shared" si="33"/>
        <v>15019.199999999999</v>
      </c>
      <c r="Q317" s="11"/>
    </row>
    <row r="318" spans="1:17">
      <c r="A318" s="454" t="s">
        <v>448</v>
      </c>
      <c r="B318" s="216">
        <v>456.21100000000001</v>
      </c>
      <c r="C318" s="43">
        <f>'Quincy Transmission'!B94</f>
        <v>30210</v>
      </c>
      <c r="D318" s="43">
        <f>'Quincy Transmission'!C94</f>
        <v>37801.152900000001</v>
      </c>
      <c r="E318" s="43">
        <f>'Quincy Transmission'!D94</f>
        <v>34605.873</v>
      </c>
      <c r="F318" s="43">
        <f>'Quincy Transmission'!E94</f>
        <v>31031.950500000003</v>
      </c>
      <c r="G318" s="43">
        <f>'Quincy Transmission'!F94</f>
        <v>36658.785600000003</v>
      </c>
      <c r="H318" s="43">
        <f>'Quincy Transmission'!G94</f>
        <v>44015.270400000001</v>
      </c>
      <c r="I318" s="43">
        <f>'Quincy Transmission'!H94</f>
        <v>43510.413600000007</v>
      </c>
      <c r="J318" s="43">
        <f>'Quincy Transmission'!I94</f>
        <v>30210</v>
      </c>
      <c r="K318" s="43">
        <f>'Quincy Transmission'!J94</f>
        <v>40197.934800000003</v>
      </c>
      <c r="L318" s="43">
        <f>'Quincy Transmission'!K94</f>
        <v>35417.25</v>
      </c>
      <c r="M318" s="43">
        <f>'Quincy Transmission'!L94</f>
        <v>40755.595500000003</v>
      </c>
      <c r="N318" s="43">
        <f>'Quincy Transmission'!M94</f>
        <v>36624.012300000002</v>
      </c>
      <c r="O318" s="43">
        <f t="shared" si="33"/>
        <v>441038.23859999998</v>
      </c>
      <c r="Q318" s="11"/>
    </row>
    <row r="319" spans="1:17">
      <c r="A319" s="454" t="s">
        <v>449</v>
      </c>
      <c r="B319" s="216">
        <v>456.221</v>
      </c>
      <c r="C319" s="43">
        <f>'Quincy Transmission'!B101</f>
        <v>242.06</v>
      </c>
      <c r="D319" s="43">
        <f>'Quincy Transmission'!C101</f>
        <v>302.88470940000002</v>
      </c>
      <c r="E319" s="43">
        <f>'Quincy Transmission'!D101</f>
        <v>277.28227800000002</v>
      </c>
      <c r="F319" s="43">
        <f>'Quincy Transmission'!E101</f>
        <v>248.64594299999999</v>
      </c>
      <c r="G319" s="43">
        <f>'Quincy Transmission'!F101</f>
        <v>293.73140159999997</v>
      </c>
      <c r="H319" s="43">
        <f>'Quincy Transmission'!G101</f>
        <v>352.67581439999998</v>
      </c>
      <c r="I319" s="43">
        <f>'Quincy Transmission'!H101</f>
        <v>348.63060960000001</v>
      </c>
      <c r="J319" s="43">
        <f>'Quincy Transmission'!I101</f>
        <v>242.06</v>
      </c>
      <c r="K319" s="43">
        <f>'Quincy Transmission'!J101</f>
        <v>322.08911280000001</v>
      </c>
      <c r="L319" s="43">
        <f>'Quincy Transmission'!K101</f>
        <v>283.7835</v>
      </c>
      <c r="M319" s="43">
        <f>'Quincy Transmission'!L101</f>
        <v>326.557413</v>
      </c>
      <c r="N319" s="43">
        <f>'Quincy Transmission'!M101</f>
        <v>293.45277779999998</v>
      </c>
      <c r="O319" s="43">
        <f t="shared" si="33"/>
        <v>3533.8535595999997</v>
      </c>
      <c r="Q319" s="11"/>
    </row>
    <row r="320" spans="1:17">
      <c r="A320" s="89" t="s">
        <v>14</v>
      </c>
      <c r="B320" s="216">
        <v>456.21100000000001</v>
      </c>
      <c r="C320" s="40">
        <f>'TSAS Demand Revenues (7)'!B376</f>
        <v>392819.04000000004</v>
      </c>
      <c r="D320" s="40">
        <f>'TSAS Demand Revenues (7)'!C376</f>
        <v>392819.04000000004</v>
      </c>
      <c r="E320" s="40">
        <f>'TSAS Demand Revenues (7)'!D376</f>
        <v>392819.04000000004</v>
      </c>
      <c r="F320" s="40">
        <f>'TSAS Demand Revenues (7)'!E376</f>
        <v>392819.04000000004</v>
      </c>
      <c r="G320" s="40">
        <f>'TSAS Demand Revenues (7)'!F376</f>
        <v>392819.04000000004</v>
      </c>
      <c r="H320" s="40">
        <f>'TSAS Demand Revenues (7)'!G376</f>
        <v>392819.04000000004</v>
      </c>
      <c r="I320" s="40">
        <f>'TSAS Demand Revenues (7)'!H376</f>
        <v>392819.04000000004</v>
      </c>
      <c r="J320" s="40">
        <f>'TSAS Demand Revenues (7)'!I376</f>
        <v>392819.04000000004</v>
      </c>
      <c r="K320" s="40">
        <f>'TSAS Demand Revenues (7)'!J376</f>
        <v>392819.04000000004</v>
      </c>
      <c r="L320" s="40">
        <f>'TSAS Demand Revenues (7)'!K376</f>
        <v>392819.04000000004</v>
      </c>
      <c r="M320" s="40">
        <f>'TSAS Demand Revenues (7)'!L376</f>
        <v>392819.04000000004</v>
      </c>
      <c r="N320" s="40">
        <f>'TSAS Demand Revenues (7)'!M376</f>
        <v>392819.04000000004</v>
      </c>
      <c r="O320" s="43">
        <f t="shared" si="33"/>
        <v>4713828.4800000004</v>
      </c>
    </row>
    <row r="321" spans="1:15">
      <c r="A321" s="89" t="s">
        <v>146</v>
      </c>
      <c r="B321" s="216">
        <v>456.221</v>
      </c>
      <c r="C321" s="40">
        <f>'TSAS Scheduling Revenue (1)'!B388</f>
        <v>3147.4934400000002</v>
      </c>
      <c r="D321" s="40">
        <f>'TSAS Scheduling Revenue (1)'!C388</f>
        <v>3147.4934400000002</v>
      </c>
      <c r="E321" s="40">
        <f>'TSAS Scheduling Revenue (1)'!D388</f>
        <v>3147.4934400000002</v>
      </c>
      <c r="F321" s="40">
        <f>'TSAS Scheduling Revenue (1)'!E388</f>
        <v>3147.4934400000002</v>
      </c>
      <c r="G321" s="40">
        <f>'TSAS Scheduling Revenue (1)'!F388</f>
        <v>3147.4934400000002</v>
      </c>
      <c r="H321" s="40">
        <f>'TSAS Scheduling Revenue (1)'!G388</f>
        <v>3147.4934400000002</v>
      </c>
      <c r="I321" s="40">
        <f>'TSAS Scheduling Revenue (1)'!H388</f>
        <v>3147.4934400000002</v>
      </c>
      <c r="J321" s="40">
        <f>'TSAS Scheduling Revenue (1)'!I388</f>
        <v>3147.4934400000002</v>
      </c>
      <c r="K321" s="40">
        <f>'TSAS Scheduling Revenue (1)'!J388</f>
        <v>3147.4934400000002</v>
      </c>
      <c r="L321" s="40">
        <f>'TSAS Scheduling Revenue (1)'!K388</f>
        <v>3147.4934400000002</v>
      </c>
      <c r="M321" s="40">
        <f>'TSAS Scheduling Revenue (1)'!L388</f>
        <v>3147.4934400000002</v>
      </c>
      <c r="N321" s="40">
        <f>'TSAS Scheduling Revenue (1)'!M388</f>
        <v>3147.4934400000002</v>
      </c>
      <c r="O321" s="43">
        <f t="shared" si="33"/>
        <v>37769.921279999995</v>
      </c>
    </row>
    <row r="322" spans="1:15">
      <c r="A322" s="89" t="s">
        <v>77</v>
      </c>
      <c r="B322" s="216">
        <v>456.22199999999998</v>
      </c>
      <c r="C322" s="40">
        <f>'TSAS Reactive Revenues (2)'!B378</f>
        <v>23761.919999999998</v>
      </c>
      <c r="D322" s="40">
        <f>'TSAS Reactive Revenues (2)'!C378</f>
        <v>23761.919999999998</v>
      </c>
      <c r="E322" s="40">
        <f>'TSAS Reactive Revenues (2)'!D378</f>
        <v>23761.919999999998</v>
      </c>
      <c r="F322" s="40">
        <f>'TSAS Reactive Revenues (2)'!E378</f>
        <v>23761.919999999998</v>
      </c>
      <c r="G322" s="40">
        <f>'TSAS Reactive Revenues (2)'!F378</f>
        <v>23761.919999999998</v>
      </c>
      <c r="H322" s="40">
        <f>'TSAS Reactive Revenues (2)'!G378</f>
        <v>23761.919999999998</v>
      </c>
      <c r="I322" s="40">
        <f>'TSAS Reactive Revenues (2)'!H378</f>
        <v>23761.919999999998</v>
      </c>
      <c r="J322" s="40">
        <f>'TSAS Reactive Revenues (2)'!I378</f>
        <v>23761.919999999998</v>
      </c>
      <c r="K322" s="40">
        <f>'TSAS Reactive Revenues (2)'!J378</f>
        <v>23761.919999999998</v>
      </c>
      <c r="L322" s="40">
        <f>'TSAS Reactive Revenues (2)'!K378</f>
        <v>23761.919999999998</v>
      </c>
      <c r="M322" s="40">
        <f>'TSAS Reactive Revenues (2)'!L378</f>
        <v>23761.919999999998</v>
      </c>
      <c r="N322" s="40">
        <f>'TSAS Reactive Revenues (2)'!M378</f>
        <v>23761.919999999998</v>
      </c>
      <c r="O322" s="43">
        <f t="shared" si="33"/>
        <v>285143.03999999992</v>
      </c>
    </row>
    <row r="323" spans="1:15">
      <c r="A323" s="89" t="s">
        <v>124</v>
      </c>
      <c r="B323" s="216">
        <v>456.14499999999998</v>
      </c>
      <c r="C323" s="40">
        <f>Dynamic_Scheduling!B16</f>
        <v>7200</v>
      </c>
      <c r="D323" s="40">
        <f>Dynamic_Scheduling!C16</f>
        <v>7200</v>
      </c>
      <c r="E323" s="40">
        <f>Dynamic_Scheduling!D16</f>
        <v>7200</v>
      </c>
      <c r="F323" s="40">
        <f>Dynamic_Scheduling!E16</f>
        <v>7200</v>
      </c>
      <c r="G323" s="40">
        <f>Dynamic_Scheduling!F16</f>
        <v>7200</v>
      </c>
      <c r="H323" s="40">
        <f>Dynamic_Scheduling!G16</f>
        <v>7200</v>
      </c>
      <c r="I323" s="40">
        <f>Dynamic_Scheduling!H16</f>
        <v>7200</v>
      </c>
      <c r="J323" s="40">
        <f>Dynamic_Scheduling!I16</f>
        <v>7200</v>
      </c>
      <c r="K323" s="40">
        <f>Dynamic_Scheduling!J16</f>
        <v>7200</v>
      </c>
      <c r="L323" s="40">
        <f>Dynamic_Scheduling!K16</f>
        <v>7200</v>
      </c>
      <c r="M323" s="40">
        <f>Dynamic_Scheduling!L16</f>
        <v>7200</v>
      </c>
      <c r="N323" s="40">
        <f>Dynamic_Scheduling!M16</f>
        <v>7200</v>
      </c>
      <c r="O323" s="43">
        <f t="shared" si="33"/>
        <v>86400</v>
      </c>
    </row>
    <row r="324" spans="1:15">
      <c r="A324" s="89" t="s">
        <v>153</v>
      </c>
      <c r="B324" s="216">
        <v>456.21300000000002</v>
      </c>
      <c r="C324" s="40">
        <f>st_nf!D9</f>
        <v>252959.05</v>
      </c>
      <c r="D324" s="40">
        <f>st_nf!E9</f>
        <v>211139.89</v>
      </c>
      <c r="E324" s="40">
        <f>st_nf!F9</f>
        <v>230869.65</v>
      </c>
      <c r="F324" s="40">
        <f>st_nf!G9</f>
        <v>165524.70000000001</v>
      </c>
      <c r="G324" s="40">
        <f>st_nf!H9</f>
        <v>230869.65</v>
      </c>
      <c r="H324" s="40">
        <f>st_nf!I9</f>
        <v>338831.64</v>
      </c>
      <c r="I324" s="40">
        <f>st_nf!J9</f>
        <v>225520.52</v>
      </c>
      <c r="J324" s="40">
        <f>st_nf!K9</f>
        <v>328491.74</v>
      </c>
      <c r="K324" s="40">
        <f>st_nf!L9</f>
        <v>320710.51</v>
      </c>
      <c r="L324" s="40">
        <f>st_nf!M9</f>
        <v>438157.95</v>
      </c>
      <c r="M324" s="40">
        <f>st_nf!N9</f>
        <v>323720.68</v>
      </c>
      <c r="N324" s="40">
        <f>st_nf!O9</f>
        <v>226700.14</v>
      </c>
      <c r="O324" s="43">
        <f t="shared" si="33"/>
        <v>3293496.1200000006</v>
      </c>
    </row>
    <row r="325" spans="1:15">
      <c r="A325" s="89" t="s">
        <v>154</v>
      </c>
      <c r="B325" s="216">
        <v>456.22300000000001</v>
      </c>
      <c r="C325" s="44">
        <f>st_nf!D10</f>
        <v>31266.38</v>
      </c>
      <c r="D325" s="44">
        <f>st_nf!E10</f>
        <v>33737.19</v>
      </c>
      <c r="E325" s="44">
        <f>st_nf!F10</f>
        <v>33995.410000000003</v>
      </c>
      <c r="F325" s="44">
        <f>st_nf!G10</f>
        <v>34925.39</v>
      </c>
      <c r="G325" s="44">
        <f>st_nf!H10</f>
        <v>33923.370000000003</v>
      </c>
      <c r="H325" s="44">
        <f>st_nf!I10</f>
        <v>16500.57</v>
      </c>
      <c r="I325" s="44">
        <f>st_nf!J10</f>
        <v>25237.65</v>
      </c>
      <c r="J325" s="44">
        <f>st_nf!K10</f>
        <v>31769.99</v>
      </c>
      <c r="K325" s="44">
        <f>st_nf!L10</f>
        <v>41391.03</v>
      </c>
      <c r="L325" s="44">
        <f>st_nf!M10</f>
        <v>29168.31</v>
      </c>
      <c r="M325" s="44">
        <f>st_nf!N10</f>
        <v>28251.96</v>
      </c>
      <c r="N325" s="44">
        <f>st_nf!O10</f>
        <v>31973.599999999999</v>
      </c>
      <c r="O325" s="44">
        <f t="shared" si="33"/>
        <v>372140.85</v>
      </c>
    </row>
    <row r="326" spans="1:15" ht="10.8" thickBot="1">
      <c r="A326" s="89" t="s">
        <v>155</v>
      </c>
      <c r="B326" s="89"/>
      <c r="C326" s="385">
        <f t="shared" ref="C326:O326" si="34">SUM(C286:C325)</f>
        <v>4139932.3805105477</v>
      </c>
      <c r="D326" s="385">
        <f t="shared" si="34"/>
        <v>3974587.3467842466</v>
      </c>
      <c r="E326" s="385">
        <f t="shared" si="34"/>
        <v>3641869.9660887234</v>
      </c>
      <c r="F326" s="385">
        <f t="shared" si="34"/>
        <v>3507366.64366276</v>
      </c>
      <c r="G326" s="385">
        <f t="shared" si="34"/>
        <v>3835282.9723009798</v>
      </c>
      <c r="H326" s="385">
        <f t="shared" si="34"/>
        <v>4263761.1380744753</v>
      </c>
      <c r="I326" s="385">
        <f t="shared" si="34"/>
        <v>4296437.4652790567</v>
      </c>
      <c r="J326" s="385">
        <f t="shared" si="34"/>
        <v>4432538.3745945515</v>
      </c>
      <c r="K326" s="385">
        <f t="shared" si="34"/>
        <v>4387315.7141340617</v>
      </c>
      <c r="L326" s="385">
        <f t="shared" si="34"/>
        <v>4093326.0028997646</v>
      </c>
      <c r="M326" s="385">
        <f t="shared" si="34"/>
        <v>3848882.1204325105</v>
      </c>
      <c r="N326" s="385">
        <f t="shared" si="34"/>
        <v>3575352.7342305132</v>
      </c>
      <c r="O326" s="385">
        <f t="shared" si="34"/>
        <v>47996652.858992167</v>
      </c>
    </row>
    <row r="327" spans="1:15" ht="10.8" thickTop="1">
      <c r="A327" s="89"/>
      <c r="B327" s="89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</row>
    <row r="328" spans="1:15">
      <c r="A328" s="89"/>
      <c r="B328" s="89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0"/>
    </row>
    <row r="329" spans="1:15">
      <c r="A329" s="89" t="s">
        <v>131</v>
      </c>
      <c r="B329" s="216">
        <v>456.25200000000001</v>
      </c>
      <c r="C329" s="44">
        <f>'SECI-Credit Settlement'!$B$11*(-1)</f>
        <v>-566426.91666666674</v>
      </c>
      <c r="D329" s="44">
        <f>'SECI-Credit Settlement'!$B$11*(-1)</f>
        <v>-566426.91666666674</v>
      </c>
      <c r="E329" s="44">
        <f>'SECI-Credit Settlement'!$B$11*(-1)</f>
        <v>-566426.91666666674</v>
      </c>
      <c r="F329" s="44">
        <f>'SECI-Credit Settlement'!$B$11*(-1)</f>
        <v>-566426.91666666674</v>
      </c>
      <c r="G329" s="44">
        <f>'SECI-Credit Settlement'!$B$11*(-1)</f>
        <v>-566426.91666666674</v>
      </c>
      <c r="H329" s="44">
        <f>'SECI-Credit Settlement'!$B$11*(-1)</f>
        <v>-566426.91666666674</v>
      </c>
      <c r="I329" s="44">
        <f>'SECI-Credit Settlement'!$B$11*(-1)</f>
        <v>-566426.91666666674</v>
      </c>
      <c r="J329" s="44">
        <f>'SECI-Credit Settlement'!$B$11*(-1)</f>
        <v>-566426.91666666674</v>
      </c>
      <c r="K329" s="44">
        <f>'SECI-Credit Settlement'!$B$11*(-1)</f>
        <v>-566426.91666666674</v>
      </c>
      <c r="L329" s="44">
        <f>'SECI-Credit Settlement'!$B$11*(-1)</f>
        <v>-566426.91666666674</v>
      </c>
      <c r="M329" s="44">
        <f>'SECI-Credit Settlement'!$B$11*(-1)</f>
        <v>-566426.91666666674</v>
      </c>
      <c r="N329" s="44">
        <f>'SECI-Credit Settlement'!$B$11*(-1)</f>
        <v>-566426.91666666674</v>
      </c>
      <c r="O329" s="41">
        <f>SUM(C329:N329)</f>
        <v>-6797123.0000000028</v>
      </c>
    </row>
    <row r="330" spans="1:15">
      <c r="A330" s="88"/>
      <c r="B330" s="88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</row>
    <row r="331" spans="1:15">
      <c r="A331" s="88" t="s">
        <v>328</v>
      </c>
      <c r="B331" s="88"/>
      <c r="C331" s="40">
        <f>C326+C329</f>
        <v>3573505.4638438812</v>
      </c>
      <c r="D331" s="40">
        <f t="shared" ref="D331:O331" si="35">D326+D329</f>
        <v>3408160.4301175801</v>
      </c>
      <c r="E331" s="40">
        <f t="shared" si="35"/>
        <v>3075443.0494220564</v>
      </c>
      <c r="F331" s="40">
        <f t="shared" si="35"/>
        <v>2940939.7269960931</v>
      </c>
      <c r="G331" s="40">
        <f t="shared" si="35"/>
        <v>3268856.0556343133</v>
      </c>
      <c r="H331" s="40">
        <f t="shared" si="35"/>
        <v>3697334.2214078084</v>
      </c>
      <c r="I331" s="40">
        <f t="shared" si="35"/>
        <v>3730010.5486123897</v>
      </c>
      <c r="J331" s="40">
        <f t="shared" si="35"/>
        <v>3866111.4579278845</v>
      </c>
      <c r="K331" s="40">
        <f t="shared" si="35"/>
        <v>3820888.7974673947</v>
      </c>
      <c r="L331" s="40">
        <f t="shared" si="35"/>
        <v>3526899.0862330981</v>
      </c>
      <c r="M331" s="40">
        <f t="shared" si="35"/>
        <v>3282455.203765844</v>
      </c>
      <c r="N331" s="40">
        <f t="shared" si="35"/>
        <v>3008925.8175638467</v>
      </c>
      <c r="O331" s="40">
        <f t="shared" si="35"/>
        <v>41199529.858992167</v>
      </c>
    </row>
    <row r="334" spans="1:15">
      <c r="A334" s="203" t="s">
        <v>366</v>
      </c>
      <c r="B334" s="209"/>
      <c r="C334" s="201" t="s">
        <v>0</v>
      </c>
      <c r="D334" s="201" t="s">
        <v>1</v>
      </c>
      <c r="E334" s="201" t="s">
        <v>2</v>
      </c>
      <c r="F334" s="201" t="s">
        <v>3</v>
      </c>
      <c r="G334" s="201" t="s">
        <v>4</v>
      </c>
      <c r="H334" s="201" t="s">
        <v>5</v>
      </c>
      <c r="I334" s="201" t="s">
        <v>6</v>
      </c>
      <c r="J334" s="201" t="s">
        <v>7</v>
      </c>
      <c r="K334" s="201" t="s">
        <v>8</v>
      </c>
      <c r="L334" s="201" t="s">
        <v>9</v>
      </c>
      <c r="M334" s="201" t="s">
        <v>10</v>
      </c>
      <c r="N334" s="201" t="s">
        <v>11</v>
      </c>
      <c r="O334" s="202" t="s">
        <v>12</v>
      </c>
    </row>
    <row r="335" spans="1:15">
      <c r="A335" s="90"/>
      <c r="B335" s="90"/>
    </row>
    <row r="336" spans="1:15">
      <c r="A336" s="89" t="s">
        <v>79</v>
      </c>
      <c r="B336" s="216">
        <v>456.21100000000001</v>
      </c>
      <c r="C336" s="40">
        <f>'FMPA Network'!B166</f>
        <v>700720.95000000007</v>
      </c>
      <c r="D336" s="40">
        <f>'FMPA Network'!C166</f>
        <v>652138.5</v>
      </c>
      <c r="E336" s="40">
        <f>'FMPA Network'!D166</f>
        <v>570358.44000000006</v>
      </c>
      <c r="F336" s="40">
        <f>'FMPA Network'!E166</f>
        <v>612948.18000000005</v>
      </c>
      <c r="G336" s="40">
        <f>'FMPA Network'!F166</f>
        <v>691491</v>
      </c>
      <c r="H336" s="40">
        <f>'FMPA Network'!G166</f>
        <v>752055.69000000006</v>
      </c>
      <c r="I336" s="40">
        <f>'FMPA Network'!H166</f>
        <v>778128.51</v>
      </c>
      <c r="J336" s="40">
        <f>'FMPA Network'!I166</f>
        <v>791408.19000000006</v>
      </c>
      <c r="K336" s="40">
        <f>'FMPA Network'!J166</f>
        <v>722096.91</v>
      </c>
      <c r="L336" s="40">
        <f>'FMPA Network'!K166</f>
        <v>667198.98</v>
      </c>
      <c r="M336" s="40">
        <f>'FMPA Network'!L166</f>
        <v>597240.57000000007</v>
      </c>
      <c r="N336" s="40">
        <f>'FMPA Network'!M166</f>
        <v>573272.91</v>
      </c>
      <c r="O336" s="40">
        <f t="shared" ref="O336" si="36">SUM(C336:N336)</f>
        <v>8109058.8300000019</v>
      </c>
    </row>
    <row r="337" spans="1:15">
      <c r="A337" s="89" t="s">
        <v>142</v>
      </c>
      <c r="B337" s="216">
        <v>456.221</v>
      </c>
      <c r="C337" s="40">
        <f>'FMPA Network'!B173</f>
        <v>5614.5816999999997</v>
      </c>
      <c r="D337" s="40">
        <f>'FMPA Network'!C173</f>
        <v>5225.3109999999997</v>
      </c>
      <c r="E337" s="40">
        <f>'FMPA Network'!D173</f>
        <v>4570.0418399999999</v>
      </c>
      <c r="F337" s="40">
        <f>'FMPA Network'!E173</f>
        <v>4911.2954799999998</v>
      </c>
      <c r="G337" s="40">
        <f>'FMPA Network'!F173</f>
        <v>5540.6260000000002</v>
      </c>
      <c r="H337" s="40">
        <f>'FMPA Network'!G173</f>
        <v>6025.9053400000003</v>
      </c>
      <c r="I337" s="40">
        <f>'FMPA Network'!H173</f>
        <v>6234.8158599999997</v>
      </c>
      <c r="J337" s="40">
        <f>'FMPA Network'!I173</f>
        <v>6341.2203399999999</v>
      </c>
      <c r="K337" s="40">
        <f>'FMPA Network'!J173</f>
        <v>5785.85826</v>
      </c>
      <c r="L337" s="40">
        <f>'FMPA Network'!K173</f>
        <v>5345.9842799999997</v>
      </c>
      <c r="M337" s="40">
        <f>'FMPA Network'!L173</f>
        <v>4785.4370199999994</v>
      </c>
      <c r="N337" s="40">
        <f>'FMPA Network'!M173</f>
        <v>4593.39426</v>
      </c>
      <c r="O337" s="40">
        <f t="shared" ref="O337:O346" si="37">SUM(C337:N337)</f>
        <v>64974.471379999995</v>
      </c>
    </row>
    <row r="338" spans="1:15">
      <c r="A338" s="89" t="s">
        <v>78</v>
      </c>
      <c r="B338" s="216">
        <v>456.22199999999998</v>
      </c>
      <c r="C338" s="40">
        <f>'FMPA Network'!B180</f>
        <v>30849.350000000002</v>
      </c>
      <c r="D338" s="40">
        <f>'FMPA Network'!C180</f>
        <v>28710.500000000004</v>
      </c>
      <c r="E338" s="40">
        <f>'FMPA Network'!D180</f>
        <v>25110.120000000003</v>
      </c>
      <c r="F338" s="40">
        <f>'FMPA Network'!E180</f>
        <v>26985.140000000003</v>
      </c>
      <c r="G338" s="40">
        <f>'FMPA Network'!F180</f>
        <v>30443.000000000004</v>
      </c>
      <c r="H338" s="40">
        <f>'FMPA Network'!G180</f>
        <v>33109.370000000003</v>
      </c>
      <c r="I338" s="40">
        <f>'FMPA Network'!H180</f>
        <v>34257.230000000003</v>
      </c>
      <c r="J338" s="40">
        <f>'FMPA Network'!I180</f>
        <v>34841.870000000003</v>
      </c>
      <c r="K338" s="40">
        <f>'FMPA Network'!J180</f>
        <v>31790.430000000004</v>
      </c>
      <c r="L338" s="40">
        <f>'FMPA Network'!K180</f>
        <v>29373.540000000005</v>
      </c>
      <c r="M338" s="40">
        <f>'FMPA Network'!L180</f>
        <v>26293.610000000004</v>
      </c>
      <c r="N338" s="40">
        <f>'FMPA Network'!M180</f>
        <v>25238.430000000004</v>
      </c>
      <c r="O338" s="40">
        <f t="shared" si="37"/>
        <v>357002.58999999997</v>
      </c>
    </row>
    <row r="339" spans="1:15">
      <c r="A339" s="89" t="s">
        <v>125</v>
      </c>
      <c r="B339" s="216">
        <v>456.21100000000001</v>
      </c>
      <c r="C339" s="40">
        <f>'Vero Beach Network'!B165</f>
        <v>296353.74</v>
      </c>
      <c r="D339" s="40">
        <f>'Vero Beach Network'!C165</f>
        <v>259106.40000000002</v>
      </c>
      <c r="E339" s="40">
        <f>'Vero Beach Network'!D165</f>
        <v>207285.12000000002</v>
      </c>
      <c r="F339" s="40">
        <f>'Vero Beach Network'!E165</f>
        <v>212144.16</v>
      </c>
      <c r="G339" s="40">
        <f>'Vero Beach Network'!F165</f>
        <v>234815.97</v>
      </c>
      <c r="H339" s="40">
        <f>'Vero Beach Network'!G165</f>
        <v>259106.40000000002</v>
      </c>
      <c r="I339" s="40">
        <f>'Vero Beach Network'!H165</f>
        <v>255867.57</v>
      </c>
      <c r="J339" s="40">
        <f>'Vero Beach Network'!I165</f>
        <v>273681.93</v>
      </c>
      <c r="K339" s="40">
        <f>'Vero Beach Network'!J165</f>
        <v>259106.40000000002</v>
      </c>
      <c r="L339" s="40">
        <f>'Vero Beach Network'!K165</f>
        <v>244532.46000000002</v>
      </c>
      <c r="M339" s="40">
        <f>'Vero Beach Network'!L165</f>
        <v>208905.33000000002</v>
      </c>
      <c r="N339" s="40">
        <f>'Vero Beach Network'!M165</f>
        <v>234815.97</v>
      </c>
      <c r="O339" s="40">
        <f t="shared" si="37"/>
        <v>2945721.45</v>
      </c>
    </row>
    <row r="340" spans="1:15">
      <c r="A340" s="89" t="s">
        <v>143</v>
      </c>
      <c r="B340" s="216">
        <v>456.221</v>
      </c>
      <c r="C340" s="40">
        <f>'Vero Beach Network'!B172</f>
        <v>2374.55764</v>
      </c>
      <c r="D340" s="40">
        <f>'Vero Beach Network'!C172</f>
        <v>2076.1104</v>
      </c>
      <c r="E340" s="40">
        <f>'Vero Beach Network'!D172</f>
        <v>1660.88832</v>
      </c>
      <c r="F340" s="40">
        <f>'Vero Beach Network'!E172</f>
        <v>1699.82176</v>
      </c>
      <c r="G340" s="40">
        <f>'Vero Beach Network'!F172</f>
        <v>1881.4814199999998</v>
      </c>
      <c r="H340" s="40">
        <f>'Vero Beach Network'!G172</f>
        <v>2076.1104</v>
      </c>
      <c r="I340" s="40">
        <f>'Vero Beach Network'!H172</f>
        <v>2050.1590200000001</v>
      </c>
      <c r="J340" s="40">
        <f>'Vero Beach Network'!I172</f>
        <v>2192.8979799999997</v>
      </c>
      <c r="K340" s="40">
        <f>'Vero Beach Network'!J172</f>
        <v>2076.1104</v>
      </c>
      <c r="L340" s="40">
        <f>'Vero Beach Network'!K172</f>
        <v>1959.33556</v>
      </c>
      <c r="M340" s="40">
        <f>'Vero Beach Network'!L172</f>
        <v>1673.8703799999998</v>
      </c>
      <c r="N340" s="40">
        <f>'Vero Beach Network'!M172</f>
        <v>1881.4814199999998</v>
      </c>
      <c r="O340" s="40">
        <f t="shared" si="37"/>
        <v>23602.824699999997</v>
      </c>
    </row>
    <row r="341" spans="1:15">
      <c r="A341" s="89" t="s">
        <v>126</v>
      </c>
      <c r="B341" s="216">
        <v>456.22199999999998</v>
      </c>
      <c r="C341" s="40">
        <f>'Vero Beach Network'!B179</f>
        <v>18787.7088</v>
      </c>
      <c r="D341" s="40">
        <f>'Vero Beach Network'!C179</f>
        <v>16426.367999999999</v>
      </c>
      <c r="E341" s="40">
        <f>'Vero Beach Network'!D179</f>
        <v>13141.0944</v>
      </c>
      <c r="F341" s="40">
        <f>'Vero Beach Network'!E179</f>
        <v>13449.1392</v>
      </c>
      <c r="G341" s="40">
        <f>'Vero Beach Network'!F179</f>
        <v>14886.446400000001</v>
      </c>
      <c r="H341" s="40">
        <f>'Vero Beach Network'!G179</f>
        <v>16426.367999999999</v>
      </c>
      <c r="I341" s="40">
        <f>'Vero Beach Network'!H179</f>
        <v>16221.038399999999</v>
      </c>
      <c r="J341" s="40">
        <f>'Vero Beach Network'!I179</f>
        <v>17350.401600000001</v>
      </c>
      <c r="K341" s="40">
        <f>'Vero Beach Network'!J179</f>
        <v>16426.367999999999</v>
      </c>
      <c r="L341" s="40">
        <f>'Vero Beach Network'!K179</f>
        <v>15502.4352</v>
      </c>
      <c r="M341" s="40">
        <f>'Vero Beach Network'!L179</f>
        <v>13243.809600000001</v>
      </c>
      <c r="N341" s="40">
        <f>'Vero Beach Network'!M179</f>
        <v>14886.446400000001</v>
      </c>
      <c r="O341" s="40">
        <f t="shared" si="37"/>
        <v>186747.62400000001</v>
      </c>
    </row>
    <row r="342" spans="1:15">
      <c r="A342" s="89" t="s">
        <v>80</v>
      </c>
      <c r="B342" s="216">
        <v>456.21100000000001</v>
      </c>
      <c r="C342" s="40">
        <f>'SECI Network'!B165</f>
        <v>906113.703515028</v>
      </c>
      <c r="D342" s="40">
        <f>'SECI Network'!C165</f>
        <v>746245.3998981152</v>
      </c>
      <c r="E342" s="40">
        <f>'SECI Network'!D165</f>
        <v>663367.76362710143</v>
      </c>
      <c r="F342" s="40">
        <f>'SECI Network'!E165</f>
        <v>629035.75140091695</v>
      </c>
      <c r="G342" s="40">
        <f>'SECI Network'!F165</f>
        <v>709540.13245033112</v>
      </c>
      <c r="H342" s="40">
        <f>'SECI Network'!G165</f>
        <v>765697.99286805908</v>
      </c>
      <c r="I342" s="40">
        <f>'SECI Network'!H165</f>
        <v>759670.08660213964</v>
      </c>
      <c r="J342" s="40">
        <f>'SECI Network'!I165</f>
        <v>757165.61385634239</v>
      </c>
      <c r="K342" s="40">
        <f>'SECI Network'!J165</f>
        <v>768218.66530820169</v>
      </c>
      <c r="L342" s="40">
        <f>'SECI Network'!K165</f>
        <v>668281.13092205813</v>
      </c>
      <c r="M342" s="40">
        <f>'SECI Network'!L165</f>
        <v>643920.03056546103</v>
      </c>
      <c r="N342" s="40">
        <f>'SECI Network'!M165</f>
        <v>696745.61385634239</v>
      </c>
      <c r="O342" s="40">
        <f t="shared" si="37"/>
        <v>8714001.884870097</v>
      </c>
    </row>
    <row r="343" spans="1:15">
      <c r="A343" s="89" t="s">
        <v>144</v>
      </c>
      <c r="B343" s="216">
        <v>456.221</v>
      </c>
      <c r="C343" s="40">
        <f>'SECI Network'!B170</f>
        <v>7260.3072847682115</v>
      </c>
      <c r="D343" s="40">
        <f>'SECI Network'!C170</f>
        <v>5979.3499337748344</v>
      </c>
      <c r="E343" s="40">
        <f>'SECI Network'!D170</f>
        <v>5315.2863576158934</v>
      </c>
      <c r="F343" s="40">
        <f>'SECI Network'!E170</f>
        <v>5040.1984105960264</v>
      </c>
      <c r="G343" s="40">
        <f>'SECI Network'!F170</f>
        <v>5685.2460927152315</v>
      </c>
      <c r="H343" s="40">
        <f>'SECI Network'!G170</f>
        <v>6135.2153642384101</v>
      </c>
      <c r="I343" s="40">
        <f>'SECI Network'!H170</f>
        <v>6086.9162913907285</v>
      </c>
      <c r="J343" s="40">
        <f>'SECI Network'!I170</f>
        <v>6066.8490066225158</v>
      </c>
      <c r="K343" s="40">
        <f>'SECI Network'!J170</f>
        <v>6155.412450331125</v>
      </c>
      <c r="L343" s="40">
        <f>'SECI Network'!K170</f>
        <v>5354.6550993377477</v>
      </c>
      <c r="M343" s="40">
        <f>'SECI Network'!L170</f>
        <v>5159.4598675496691</v>
      </c>
      <c r="N343" s="40">
        <f>'SECI Network'!M170</f>
        <v>5582.729006622516</v>
      </c>
      <c r="O343" s="40">
        <f t="shared" si="37"/>
        <v>69821.625165562902</v>
      </c>
    </row>
    <row r="344" spans="1:15">
      <c r="A344" s="89" t="s">
        <v>76</v>
      </c>
      <c r="B344" s="216">
        <v>456.22199999999998</v>
      </c>
      <c r="C344" s="40">
        <f>'SECI Network'!B175</f>
        <v>11397.656647987773</v>
      </c>
      <c r="D344" s="40">
        <f>'SECI Network'!C175</f>
        <v>9386.7345899133979</v>
      </c>
      <c r="E344" s="40">
        <f>'SECI Network'!D175</f>
        <v>8344.2485990830355</v>
      </c>
      <c r="F344" s="40">
        <f>'SECI Network'!E175</f>
        <v>7912.3993886907792</v>
      </c>
      <c r="G344" s="40">
        <f>'SECI Network'!F175</f>
        <v>8925.0331125827815</v>
      </c>
      <c r="H344" s="40">
        <f>'SECI Network'!G175</f>
        <v>9631.4212939378504</v>
      </c>
      <c r="I344" s="40">
        <f>'SECI Network'!H175</f>
        <v>9555.5985736118182</v>
      </c>
      <c r="J344" s="40">
        <f>'SECI Network'!I175</f>
        <v>9524.0957717778911</v>
      </c>
      <c r="K344" s="40">
        <f>'SECI Network'!J175</f>
        <v>9663.1278655119713</v>
      </c>
      <c r="L344" s="40">
        <f>'SECI Network'!K175</f>
        <v>8406.0519612837488</v>
      </c>
      <c r="M344" s="40">
        <f>'SECI Network'!L175</f>
        <v>8099.6230259806416</v>
      </c>
      <c r="N344" s="40">
        <f>'SECI Network'!M175</f>
        <v>8764.0957717778911</v>
      </c>
      <c r="O344" s="40">
        <f t="shared" si="37"/>
        <v>109610.08660213958</v>
      </c>
    </row>
    <row r="345" spans="1:15">
      <c r="A345" s="89" t="s">
        <v>57</v>
      </c>
      <c r="B345" s="216">
        <v>456.22399999999999</v>
      </c>
      <c r="C345" s="40">
        <f>SECI_Regulation_Imbalance!B108</f>
        <v>37066.889067753429</v>
      </c>
      <c r="D345" s="40">
        <f>SECI_Regulation_Imbalance!C108</f>
        <v>30527.068896586858</v>
      </c>
      <c r="E345" s="40">
        <f>SECI_Regulation_Imbalance!D108</f>
        <v>27136.748081507896</v>
      </c>
      <c r="F345" s="40">
        <f>SECI_Regulation_Imbalance!E108</f>
        <v>25732.309671930718</v>
      </c>
      <c r="G345" s="40">
        <f>SECI_Regulation_Imbalance!F108</f>
        <v>29025.546437086086</v>
      </c>
      <c r="H345" s="40">
        <f>SECI_Regulation_Imbalance!G108</f>
        <v>31322.826761079978</v>
      </c>
      <c r="I345" s="40">
        <f>SECI_Regulation_Imbalance!H108</f>
        <v>31076.239901171673</v>
      </c>
      <c r="J345" s="40">
        <f>SECI_Regulation_Imbalance!I108</f>
        <v>30973.788064187462</v>
      </c>
      <c r="K345" s="40">
        <f>SECI_Regulation_Imbalance!J108</f>
        <v>31425.941287824749</v>
      </c>
      <c r="L345" s="40">
        <f>SECI_Regulation_Imbalance!K108</f>
        <v>27337.74188588894</v>
      </c>
      <c r="M345" s="40">
        <f>SECI_Regulation_Imbalance!L108</f>
        <v>26341.189023942945</v>
      </c>
      <c r="N345" s="40">
        <f>SECI_Regulation_Imbalance!M108</f>
        <v>28502.154064187467</v>
      </c>
      <c r="O345" s="40">
        <f t="shared" si="37"/>
        <v>356468.44314314815</v>
      </c>
    </row>
    <row r="346" spans="1:15">
      <c r="A346" s="89" t="s">
        <v>275</v>
      </c>
      <c r="B346" s="216">
        <v>456.24900000000002</v>
      </c>
      <c r="C346" s="44">
        <f>'Radial Facilities'!B101</f>
        <v>20405.489999999998</v>
      </c>
      <c r="D346" s="44">
        <f>'Radial Facilities'!C101</f>
        <v>19972.16</v>
      </c>
      <c r="E346" s="44">
        <f>'Radial Facilities'!D101</f>
        <v>19972.16</v>
      </c>
      <c r="F346" s="44">
        <f>'Radial Facilities'!E101</f>
        <v>19972.16</v>
      </c>
      <c r="G346" s="44">
        <f>'Radial Facilities'!F101</f>
        <v>19972.16</v>
      </c>
      <c r="H346" s="44">
        <f>'Radial Facilities'!G101</f>
        <v>19972.16</v>
      </c>
      <c r="I346" s="44">
        <f>'Radial Facilities'!H101</f>
        <v>19972.16</v>
      </c>
      <c r="J346" s="44">
        <f>'Radial Facilities'!I101</f>
        <v>19972.16</v>
      </c>
      <c r="K346" s="44">
        <f>'Radial Facilities'!J101</f>
        <v>19972.16</v>
      </c>
      <c r="L346" s="44">
        <f>'Radial Facilities'!K101</f>
        <v>19972.16</v>
      </c>
      <c r="M346" s="44">
        <f>'Radial Facilities'!L101</f>
        <v>19972.16</v>
      </c>
      <c r="N346" s="44">
        <f>'Radial Facilities'!M101</f>
        <v>19972.16</v>
      </c>
      <c r="O346" s="41">
        <f t="shared" si="37"/>
        <v>240099.25000000003</v>
      </c>
    </row>
    <row r="347" spans="1:15">
      <c r="A347" s="89" t="s">
        <v>129</v>
      </c>
      <c r="B347" s="216">
        <v>456.21100000000001</v>
      </c>
      <c r="C347" s="44">
        <f>'LCEC Network'!B120</f>
        <v>874852.62411536078</v>
      </c>
      <c r="D347" s="44">
        <f>'LCEC Network'!C120</f>
        <v>1188375.6074278094</v>
      </c>
      <c r="E347" s="44">
        <f>'LCEC Network'!D120</f>
        <v>1066817.8096044224</v>
      </c>
      <c r="F347" s="44">
        <f>'LCEC Network'!E120</f>
        <v>983399.2491603822</v>
      </c>
      <c r="G347" s="44">
        <f>'LCEC Network'!F120</f>
        <v>978480.50280021294</v>
      </c>
      <c r="H347" s="44">
        <f>'LCEC Network'!G120</f>
        <v>1130101.5950820886</v>
      </c>
      <c r="I347" s="44">
        <f>'LCEC Network'!H120</f>
        <v>1234892.0266219655</v>
      </c>
      <c r="J347" s="44">
        <f>'LCEC Network'!I120</f>
        <v>1211502.4975728283</v>
      </c>
      <c r="K347" s="44">
        <f>'LCEC Network'!J120</f>
        <v>1267153.6733185337</v>
      </c>
      <c r="L347" s="44">
        <f>'LCEC Network'!K120</f>
        <v>1088222.9219883773</v>
      </c>
      <c r="M347" s="44">
        <f>'LCEC Network'!L120</f>
        <v>1138338.9879613845</v>
      </c>
      <c r="N347" s="44">
        <f>'LCEC Network'!M120</f>
        <v>931264.2038648437</v>
      </c>
      <c r="O347" s="41">
        <f t="shared" ref="O347:O350" si="38">SUM(C347:N347)</f>
        <v>13093401.699518209</v>
      </c>
    </row>
    <row r="348" spans="1:15">
      <c r="A348" s="89" t="s">
        <v>145</v>
      </c>
      <c r="B348" s="216">
        <v>456.221</v>
      </c>
      <c r="C348" s="44">
        <f>'LCEC Network'!B127</f>
        <v>7009.8254284463501</v>
      </c>
      <c r="D348" s="44">
        <f>'LCEC Network'!C127</f>
        <v>9521.952980270622</v>
      </c>
      <c r="E348" s="44">
        <f>'LCEC Network'!D127</f>
        <v>8547.9615687800888</v>
      </c>
      <c r="F348" s="44">
        <f>'LCEC Network'!E127</f>
        <v>7879.563795159288</v>
      </c>
      <c r="G348" s="44">
        <f>'LCEC Network'!F127</f>
        <v>7840.1519532545353</v>
      </c>
      <c r="H348" s="44">
        <f>'LCEC Network'!G127</f>
        <v>9055.0278750602574</v>
      </c>
      <c r="I348" s="44">
        <f>'LCEC Network'!H127</f>
        <v>9894.6694460149938</v>
      </c>
      <c r="J348" s="44">
        <f>'LCEC Network'!I127</f>
        <v>9707.2590057093294</v>
      </c>
      <c r="K348" s="44">
        <f>'LCEC Network'!J127</f>
        <v>10153.168426464226</v>
      </c>
      <c r="L348" s="44">
        <f>'LCEC Network'!K127</f>
        <v>8719.471714548381</v>
      </c>
      <c r="M348" s="44">
        <f>'LCEC Network'!L127</f>
        <v>9121.0306330993953</v>
      </c>
      <c r="N348" s="44">
        <f>'LCEC Network'!M127</f>
        <v>7461.8276460617026</v>
      </c>
      <c r="O348" s="41">
        <f t="shared" si="38"/>
        <v>104911.91047286917</v>
      </c>
    </row>
    <row r="349" spans="1:15">
      <c r="A349" s="89" t="s">
        <v>184</v>
      </c>
      <c r="B349" s="216">
        <v>456.21100000000001</v>
      </c>
      <c r="C349" s="44">
        <f>'FKEC Network'!B120</f>
        <v>188278.86000983341</v>
      </c>
      <c r="D349" s="44">
        <f>'FKEC Network'!C120</f>
        <v>183822.8620150504</v>
      </c>
      <c r="E349" s="44">
        <f>'FKEC Network'!D120</f>
        <v>195594.12328653538</v>
      </c>
      <c r="F349" s="44">
        <f>'FKEC Network'!E120</f>
        <v>185613.05077950799</v>
      </c>
      <c r="G349" s="44">
        <f>'FKEC Network'!F120</f>
        <v>220425.27451338313</v>
      </c>
      <c r="H349" s="44">
        <f>'FKEC Network'!G120</f>
        <v>234309.81592375162</v>
      </c>
      <c r="I349" s="44">
        <f>'FKEC Network'!H120</f>
        <v>241141.16623477268</v>
      </c>
      <c r="J349" s="44">
        <f>'FKEC Network'!I120</f>
        <v>261217.55634132432</v>
      </c>
      <c r="K349" s="44">
        <f>'FKEC Network'!J120</f>
        <v>254814.62750572467</v>
      </c>
      <c r="L349" s="44">
        <f>'FKEC Network'!K120</f>
        <v>235077.18610799126</v>
      </c>
      <c r="M349" s="44">
        <f>'FKEC Network'!L120</f>
        <v>224752.87445028446</v>
      </c>
      <c r="N349" s="44">
        <f>'FKEC Network'!M120</f>
        <v>199395.34973972308</v>
      </c>
      <c r="O349" s="41">
        <f t="shared" si="38"/>
        <v>2624442.7469078824</v>
      </c>
    </row>
    <row r="350" spans="1:15">
      <c r="A350" s="89" t="s">
        <v>185</v>
      </c>
      <c r="B350" s="216">
        <v>456.221</v>
      </c>
      <c r="C350" s="44">
        <f>'FKEC Network'!B127</f>
        <v>1508.5991676259607</v>
      </c>
      <c r="D350" s="44">
        <f>'FKEC Network'!C127</f>
        <v>1472.8951333784541</v>
      </c>
      <c r="E350" s="44">
        <f>'FKEC Network'!D127</f>
        <v>1567.2132897298495</v>
      </c>
      <c r="F350" s="44">
        <f>'FKEC Network'!E127</f>
        <v>1487.2391615917809</v>
      </c>
      <c r="G350" s="44">
        <f>'FKEC Network'!F127</f>
        <v>1766.1748410694975</v>
      </c>
      <c r="H350" s="44">
        <f>'FKEC Network'!G127</f>
        <v>1877.4258206720726</v>
      </c>
      <c r="I350" s="44">
        <f>'FKEC Network'!H127</f>
        <v>1932.1625520949708</v>
      </c>
      <c r="J350" s="44">
        <f>'FKEC Network'!I127</f>
        <v>2093.0262061562712</v>
      </c>
      <c r="K350" s="44">
        <f>'FKEC Network'!J127</f>
        <v>2041.7222354861206</v>
      </c>
      <c r="L350" s="44">
        <f>'FKEC Network'!K127</f>
        <v>1883.5744346011372</v>
      </c>
      <c r="M350" s="44">
        <f>'FKEC Network'!L127</f>
        <v>1800.8500757840402</v>
      </c>
      <c r="N350" s="44">
        <f>'FKEC Network'!M127</f>
        <v>1597.6709155245735</v>
      </c>
      <c r="O350" s="41">
        <f t="shared" si="38"/>
        <v>21028.55383371473</v>
      </c>
    </row>
    <row r="351" spans="1:15">
      <c r="A351" s="89" t="s">
        <v>202</v>
      </c>
      <c r="B351" s="216">
        <v>456.21100000000001</v>
      </c>
      <c r="C351" s="44">
        <f>'Wauchula Network'!B162</f>
        <v>0</v>
      </c>
      <c r="D351" s="44">
        <f>'Wauchula Network'!C162</f>
        <v>0</v>
      </c>
      <c r="E351" s="44">
        <f>'Wauchula Network'!D162</f>
        <v>0</v>
      </c>
      <c r="F351" s="44">
        <f>'Wauchula Network'!E162</f>
        <v>0</v>
      </c>
      <c r="G351" s="44">
        <f>'Wauchula Network'!F162</f>
        <v>0</v>
      </c>
      <c r="H351" s="44">
        <f>'Wauchula Network'!G162</f>
        <v>0</v>
      </c>
      <c r="I351" s="44">
        <f>'Wauchula Network'!H162</f>
        <v>0</v>
      </c>
      <c r="J351" s="44">
        <f>'Wauchula Network'!I162</f>
        <v>0</v>
      </c>
      <c r="K351" s="44">
        <f>'Wauchula Network'!J162</f>
        <v>0</v>
      </c>
      <c r="L351" s="44">
        <f>'Wauchula Network'!K162</f>
        <v>0</v>
      </c>
      <c r="M351" s="44">
        <f>'Wauchula Network'!L162</f>
        <v>0</v>
      </c>
      <c r="N351" s="44">
        <f>'Wauchula Network'!M162</f>
        <v>0</v>
      </c>
      <c r="O351" s="41">
        <f>SUM(C351:N351)</f>
        <v>0</v>
      </c>
    </row>
    <row r="352" spans="1:15">
      <c r="A352" s="89" t="s">
        <v>203</v>
      </c>
      <c r="B352" s="216">
        <v>456.221</v>
      </c>
      <c r="C352" s="44">
        <f>'Wauchula Network'!B169</f>
        <v>0</v>
      </c>
      <c r="D352" s="44">
        <f>'Wauchula Network'!C169</f>
        <v>0</v>
      </c>
      <c r="E352" s="44">
        <f>'Wauchula Network'!D169</f>
        <v>0</v>
      </c>
      <c r="F352" s="44">
        <f>'Wauchula Network'!E169</f>
        <v>0</v>
      </c>
      <c r="G352" s="44">
        <f>'Wauchula Network'!F169</f>
        <v>0</v>
      </c>
      <c r="H352" s="44">
        <f>'Wauchula Network'!G169</f>
        <v>0</v>
      </c>
      <c r="I352" s="44">
        <f>'Wauchula Network'!H169</f>
        <v>0</v>
      </c>
      <c r="J352" s="44">
        <f>'Wauchula Network'!I169</f>
        <v>0</v>
      </c>
      <c r="K352" s="44">
        <f>'Wauchula Network'!J169</f>
        <v>0</v>
      </c>
      <c r="L352" s="44">
        <f>'Wauchula Network'!K169</f>
        <v>0</v>
      </c>
      <c r="M352" s="44">
        <f>'Wauchula Network'!L169</f>
        <v>0</v>
      </c>
      <c r="N352" s="44">
        <f>'Wauchula Network'!M169</f>
        <v>0</v>
      </c>
      <c r="O352" s="41">
        <f>SUM(C352:N352)</f>
        <v>0</v>
      </c>
    </row>
    <row r="353" spans="1:17">
      <c r="A353" s="89" t="s">
        <v>321</v>
      </c>
      <c r="B353" s="216">
        <v>456.21100000000001</v>
      </c>
      <c r="C353" s="44">
        <f>'New Smyrna Network'!B153</f>
        <v>0</v>
      </c>
      <c r="D353" s="44">
        <f>'New Smyrna Network'!C153</f>
        <v>0</v>
      </c>
      <c r="E353" s="44">
        <f>'New Smyrna Network'!D153</f>
        <v>0</v>
      </c>
      <c r="F353" s="44">
        <f>'New Smyrna Network'!E153</f>
        <v>0</v>
      </c>
      <c r="G353" s="44">
        <f>'New Smyrna Network'!F153</f>
        <v>0</v>
      </c>
      <c r="H353" s="44">
        <f>'New Smyrna Network'!G153</f>
        <v>0</v>
      </c>
      <c r="I353" s="44">
        <f>'New Smyrna Network'!H153</f>
        <v>0</v>
      </c>
      <c r="J353" s="44">
        <f>'New Smyrna Network'!I153</f>
        <v>0</v>
      </c>
      <c r="K353" s="44">
        <f>'New Smyrna Network'!J153</f>
        <v>0</v>
      </c>
      <c r="L353" s="44">
        <f>'New Smyrna Network'!K153</f>
        <v>0</v>
      </c>
      <c r="M353" s="44">
        <f>'New Smyrna Network'!L153</f>
        <v>0</v>
      </c>
      <c r="N353" s="44">
        <f>'New Smyrna Network'!M153</f>
        <v>0</v>
      </c>
      <c r="O353" s="41">
        <f t="shared" ref="O353:O366" si="39">SUM(C353:N353)</f>
        <v>0</v>
      </c>
    </row>
    <row r="354" spans="1:17">
      <c r="A354" s="89" t="s">
        <v>322</v>
      </c>
      <c r="B354" s="216">
        <v>456.221</v>
      </c>
      <c r="C354" s="44">
        <f>'New Smyrna Network'!B160</f>
        <v>0</v>
      </c>
      <c r="D354" s="44">
        <f>'New Smyrna Network'!C160</f>
        <v>0</v>
      </c>
      <c r="E354" s="44">
        <f>'New Smyrna Network'!D160</f>
        <v>0</v>
      </c>
      <c r="F354" s="44">
        <f>'New Smyrna Network'!E160</f>
        <v>0</v>
      </c>
      <c r="G354" s="44">
        <f>'New Smyrna Network'!F160</f>
        <v>0</v>
      </c>
      <c r="H354" s="44">
        <f>'New Smyrna Network'!G160</f>
        <v>0</v>
      </c>
      <c r="I354" s="44">
        <f>'New Smyrna Network'!H160</f>
        <v>0</v>
      </c>
      <c r="J354" s="44">
        <f>'New Smyrna Network'!I160</f>
        <v>0</v>
      </c>
      <c r="K354" s="44">
        <f>'New Smyrna Network'!J160</f>
        <v>0</v>
      </c>
      <c r="L354" s="44">
        <f>'New Smyrna Network'!K160</f>
        <v>0</v>
      </c>
      <c r="M354" s="44">
        <f>'New Smyrna Network'!L160</f>
        <v>0</v>
      </c>
      <c r="N354" s="44">
        <f>'New Smyrna Network'!M160</f>
        <v>0</v>
      </c>
      <c r="O354" s="41">
        <f t="shared" si="39"/>
        <v>0</v>
      </c>
    </row>
    <row r="355" spans="1:17">
      <c r="A355" s="89" t="s">
        <v>13</v>
      </c>
      <c r="B355" s="216">
        <v>456.21300000000002</v>
      </c>
      <c r="C355" s="43">
        <v>0</v>
      </c>
      <c r="D355" s="43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3">
        <v>0</v>
      </c>
      <c r="L355" s="43">
        <v>0</v>
      </c>
      <c r="M355" s="43">
        <v>0</v>
      </c>
      <c r="N355" s="43">
        <v>0</v>
      </c>
      <c r="O355" s="43">
        <f t="shared" si="39"/>
        <v>0</v>
      </c>
    </row>
    <row r="356" spans="1:17">
      <c r="A356" s="454" t="s">
        <v>375</v>
      </c>
      <c r="B356" s="216">
        <v>456.21100000000001</v>
      </c>
      <c r="C356" s="44">
        <f>'Georgia Trans Network'!B150</f>
        <v>46750.770000000004</v>
      </c>
      <c r="D356" s="44">
        <f>'Georgia Trans Network'!C150</f>
        <v>0</v>
      </c>
      <c r="E356" s="44">
        <f>'Georgia Trans Network'!D150</f>
        <v>0</v>
      </c>
      <c r="F356" s="44">
        <f>'Georgia Trans Network'!E150</f>
        <v>0</v>
      </c>
      <c r="G356" s="44">
        <f>'Georgia Trans Network'!F150</f>
        <v>0</v>
      </c>
      <c r="H356" s="44">
        <f>'Georgia Trans Network'!G150</f>
        <v>0</v>
      </c>
      <c r="I356" s="44">
        <f>'Georgia Trans Network'!H150</f>
        <v>0</v>
      </c>
      <c r="J356" s="44">
        <f>'Georgia Trans Network'!I150</f>
        <v>0</v>
      </c>
      <c r="K356" s="44">
        <f>'Georgia Trans Network'!J150</f>
        <v>0</v>
      </c>
      <c r="L356" s="44">
        <f>'Georgia Trans Network'!K150</f>
        <v>0</v>
      </c>
      <c r="M356" s="44">
        <f>'Georgia Trans Network'!L150</f>
        <v>0</v>
      </c>
      <c r="N356" s="44">
        <f>'Georgia Trans Network'!M150</f>
        <v>0</v>
      </c>
      <c r="O356" s="41">
        <f t="shared" si="39"/>
        <v>46750.770000000004</v>
      </c>
    </row>
    <row r="357" spans="1:17">
      <c r="A357" s="454" t="s">
        <v>376</v>
      </c>
      <c r="B357" s="216">
        <v>456.221</v>
      </c>
      <c r="C357" s="44">
        <f>'Georgia Trans Network'!B157</f>
        <v>374.59422000000001</v>
      </c>
      <c r="D357" s="44">
        <f>'Georgia Trans Network'!C157</f>
        <v>0</v>
      </c>
      <c r="E357" s="44">
        <f>'Georgia Trans Network'!D157</f>
        <v>0</v>
      </c>
      <c r="F357" s="44">
        <f>'Georgia Trans Network'!E157</f>
        <v>0</v>
      </c>
      <c r="G357" s="44">
        <f>'Georgia Trans Network'!F157</f>
        <v>0</v>
      </c>
      <c r="H357" s="44">
        <f>'Georgia Trans Network'!G157</f>
        <v>0</v>
      </c>
      <c r="I357" s="44">
        <f>'Georgia Trans Network'!H157</f>
        <v>0</v>
      </c>
      <c r="J357" s="44">
        <f>'Georgia Trans Network'!I157</f>
        <v>0</v>
      </c>
      <c r="K357" s="44">
        <f>'Georgia Trans Network'!J157</f>
        <v>0</v>
      </c>
      <c r="L357" s="44">
        <f>'Georgia Trans Network'!K157</f>
        <v>0</v>
      </c>
      <c r="M357" s="44">
        <f>'Georgia Trans Network'!L157</f>
        <v>0</v>
      </c>
      <c r="N357" s="44">
        <f>'Georgia Trans Network'!M157</f>
        <v>0</v>
      </c>
      <c r="O357" s="41">
        <f t="shared" si="39"/>
        <v>374.59422000000001</v>
      </c>
    </row>
    <row r="358" spans="1:17">
      <c r="A358" s="454" t="s">
        <v>420</v>
      </c>
      <c r="B358" s="216">
        <v>456.22199999999998</v>
      </c>
      <c r="C358" s="44">
        <f>'Georgia Trans Network'!B164</f>
        <v>2963.8224</v>
      </c>
      <c r="D358" s="44">
        <f>'Georgia Trans Network'!C164</f>
        <v>0</v>
      </c>
      <c r="E358" s="44">
        <f>'Georgia Trans Network'!D164</f>
        <v>0</v>
      </c>
      <c r="F358" s="44">
        <f>'Georgia Trans Network'!E164</f>
        <v>0</v>
      </c>
      <c r="G358" s="44">
        <f>'Georgia Trans Network'!F164</f>
        <v>0</v>
      </c>
      <c r="H358" s="44">
        <f>'Georgia Trans Network'!G164</f>
        <v>0</v>
      </c>
      <c r="I358" s="44">
        <f>'Georgia Trans Network'!H164</f>
        <v>0</v>
      </c>
      <c r="J358" s="44">
        <f>'Georgia Trans Network'!I164</f>
        <v>0</v>
      </c>
      <c r="K358" s="44">
        <f>'Georgia Trans Network'!J164</f>
        <v>0</v>
      </c>
      <c r="L358" s="44">
        <f>'Georgia Trans Network'!K164</f>
        <v>0</v>
      </c>
      <c r="M358" s="44">
        <f>'Georgia Trans Network'!L164</f>
        <v>0</v>
      </c>
      <c r="N358" s="44">
        <f>'Georgia Trans Network'!M164</f>
        <v>0</v>
      </c>
      <c r="O358" s="41">
        <f t="shared" si="39"/>
        <v>2963.8224</v>
      </c>
    </row>
    <row r="359" spans="1:17">
      <c r="A359" s="89" t="s">
        <v>325</v>
      </c>
      <c r="B359" s="216">
        <v>456.21100000000001</v>
      </c>
      <c r="C359" s="43">
        <f>'Lake Worth Network Transmission'!B149</f>
        <v>0</v>
      </c>
      <c r="D359" s="43">
        <f>'Lake Worth Network Transmission'!C149</f>
        <v>0</v>
      </c>
      <c r="E359" s="43">
        <f>'Lake Worth Network Transmission'!D149</f>
        <v>0</v>
      </c>
      <c r="F359" s="43">
        <f>'Lake Worth Network Transmission'!E149</f>
        <v>0</v>
      </c>
      <c r="G359" s="43">
        <f>'Lake Worth Network Transmission'!F149</f>
        <v>0</v>
      </c>
      <c r="H359" s="43">
        <f>'Lake Worth Network Transmission'!G149</f>
        <v>0</v>
      </c>
      <c r="I359" s="43">
        <f>'Lake Worth Network Transmission'!H149</f>
        <v>0</v>
      </c>
      <c r="J359" s="43">
        <f>'Lake Worth Network Transmission'!I149</f>
        <v>0</v>
      </c>
      <c r="K359" s="43">
        <f>'Lake Worth Network Transmission'!J149</f>
        <v>0</v>
      </c>
      <c r="L359" s="43">
        <f>'Lake Worth Network Transmission'!K149</f>
        <v>0</v>
      </c>
      <c r="M359" s="43">
        <f>'Lake Worth Network Transmission'!L149</f>
        <v>0</v>
      </c>
      <c r="N359" s="43">
        <f>'Lake Worth Network Transmission'!M149</f>
        <v>0</v>
      </c>
      <c r="O359" s="43">
        <f t="shared" si="39"/>
        <v>0</v>
      </c>
      <c r="Q359" s="11"/>
    </row>
    <row r="360" spans="1:17">
      <c r="A360" s="89" t="s">
        <v>326</v>
      </c>
      <c r="B360" s="216">
        <v>456.221</v>
      </c>
      <c r="C360" s="43">
        <f>'Lake Worth Network Transmission'!B156</f>
        <v>0</v>
      </c>
      <c r="D360" s="43">
        <f>'Lake Worth Network Transmission'!C156</f>
        <v>0</v>
      </c>
      <c r="E360" s="43">
        <f>'Lake Worth Network Transmission'!D156</f>
        <v>0</v>
      </c>
      <c r="F360" s="43">
        <f>'Lake Worth Network Transmission'!E156</f>
        <v>0</v>
      </c>
      <c r="G360" s="43">
        <f>'Lake Worth Network Transmission'!F156</f>
        <v>0</v>
      </c>
      <c r="H360" s="43">
        <f>'Lake Worth Network Transmission'!G156</f>
        <v>0</v>
      </c>
      <c r="I360" s="43">
        <f>'Lake Worth Network Transmission'!H156</f>
        <v>0</v>
      </c>
      <c r="J360" s="43">
        <f>'Lake Worth Network Transmission'!I156</f>
        <v>0</v>
      </c>
      <c r="K360" s="43">
        <f>'Lake Worth Network Transmission'!J156</f>
        <v>0</v>
      </c>
      <c r="L360" s="43">
        <f>'Lake Worth Network Transmission'!K156</f>
        <v>0</v>
      </c>
      <c r="M360" s="43">
        <f>'Lake Worth Network Transmission'!L156</f>
        <v>0</v>
      </c>
      <c r="N360" s="43">
        <f>'Lake Worth Network Transmission'!M156</f>
        <v>0</v>
      </c>
      <c r="O360" s="43">
        <f t="shared" si="39"/>
        <v>0</v>
      </c>
      <c r="Q360" s="11"/>
    </row>
    <row r="361" spans="1:17">
      <c r="A361" s="89" t="s">
        <v>422</v>
      </c>
      <c r="B361" s="216">
        <v>456.22199999999998</v>
      </c>
      <c r="C361" s="43">
        <f>'Lake Worth Network Transmission'!B163</f>
        <v>0</v>
      </c>
      <c r="D361" s="43">
        <f>'Lake Worth Network Transmission'!C163</f>
        <v>0</v>
      </c>
      <c r="E361" s="43">
        <f>'Lake Worth Network Transmission'!D163</f>
        <v>0</v>
      </c>
      <c r="F361" s="43">
        <f>'Lake Worth Network Transmission'!E163</f>
        <v>0</v>
      </c>
      <c r="G361" s="43">
        <f>'Lake Worth Network Transmission'!F163</f>
        <v>0</v>
      </c>
      <c r="H361" s="43">
        <f>'Lake Worth Network Transmission'!G163</f>
        <v>0</v>
      </c>
      <c r="I361" s="43">
        <f>'Lake Worth Network Transmission'!H163</f>
        <v>0</v>
      </c>
      <c r="J361" s="43">
        <f>'Lake Worth Network Transmission'!I163</f>
        <v>0</v>
      </c>
      <c r="K361" s="43">
        <f>'Lake Worth Network Transmission'!J163</f>
        <v>0</v>
      </c>
      <c r="L361" s="43">
        <f>'Lake Worth Network Transmission'!K163</f>
        <v>0</v>
      </c>
      <c r="M361" s="43">
        <f>'Lake Worth Network Transmission'!L163</f>
        <v>0</v>
      </c>
      <c r="N361" s="43">
        <f>'Lake Worth Network Transmission'!M163</f>
        <v>0</v>
      </c>
      <c r="O361" s="43">
        <f t="shared" si="39"/>
        <v>0</v>
      </c>
      <c r="Q361" s="11"/>
    </row>
    <row r="362" spans="1:17">
      <c r="A362" s="454" t="s">
        <v>436</v>
      </c>
      <c r="B362" s="216">
        <v>456.21100000000001</v>
      </c>
      <c r="C362" s="43">
        <f>'Homestead Network Transmission'!B150</f>
        <v>42930</v>
      </c>
      <c r="D362" s="43">
        <f>'Homestead Network Transmission'!C150</f>
        <v>75684.000000000015</v>
      </c>
      <c r="E362" s="43">
        <f>'Homestead Network Transmission'!D150</f>
        <v>47302.5</v>
      </c>
      <c r="F362" s="43">
        <f>'Homestead Network Transmission'!E150</f>
        <v>70675.5</v>
      </c>
      <c r="G362" s="43">
        <f>'Homestead Network Transmission'!F150</f>
        <v>85701.000000000015</v>
      </c>
      <c r="H362" s="43">
        <f>'Homestead Network Transmission'!G150</f>
        <v>99057</v>
      </c>
      <c r="I362" s="43">
        <f>'Homestead Network Transmission'!H150</f>
        <v>107404.5</v>
      </c>
      <c r="J362" s="43">
        <f>'Homestead Network Transmission'!I150</f>
        <v>42930</v>
      </c>
      <c r="K362" s="43">
        <f>'Homestead Network Transmission'!J150</f>
        <v>100726.50000000001</v>
      </c>
      <c r="L362" s="43">
        <f>'Homestead Network Transmission'!K150</f>
        <v>79023</v>
      </c>
      <c r="M362" s="43">
        <f>'Homestead Network Transmission'!L150</f>
        <v>63997.5</v>
      </c>
      <c r="N362" s="43">
        <f>'Homestead Network Transmission'!M150</f>
        <v>62328</v>
      </c>
      <c r="O362" s="43">
        <f t="shared" si="39"/>
        <v>877759.5</v>
      </c>
      <c r="Q362" s="11"/>
    </row>
    <row r="363" spans="1:17">
      <c r="A363" s="454" t="s">
        <v>437</v>
      </c>
      <c r="B363" s="216">
        <v>456.221</v>
      </c>
      <c r="C363" s="43">
        <f>'Homestead Network Transmission'!B157</f>
        <v>343.97999999999996</v>
      </c>
      <c r="D363" s="43">
        <f>'Homestead Network Transmission'!C157</f>
        <v>606.42400000000009</v>
      </c>
      <c r="E363" s="43">
        <f>'Homestead Network Transmission'!D157</f>
        <v>379.01499999999999</v>
      </c>
      <c r="F363" s="43">
        <f>'Homestead Network Transmission'!E157</f>
        <v>566.29300000000001</v>
      </c>
      <c r="G363" s="43">
        <f>'Homestead Network Transmission'!F157</f>
        <v>686.68600000000004</v>
      </c>
      <c r="H363" s="43">
        <f>'Homestead Network Transmission'!G157</f>
        <v>793.702</v>
      </c>
      <c r="I363" s="43">
        <f>'Homestead Network Transmission'!H157</f>
        <v>860.58699999999999</v>
      </c>
      <c r="J363" s="43">
        <f>'Homestead Network Transmission'!I157</f>
        <v>343.97999999999996</v>
      </c>
      <c r="K363" s="43">
        <f>'Homestead Network Transmission'!J157</f>
        <v>807.07900000000006</v>
      </c>
      <c r="L363" s="43">
        <f>'Homestead Network Transmission'!K157</f>
        <v>633.178</v>
      </c>
      <c r="M363" s="43">
        <f>'Homestead Network Transmission'!L157</f>
        <v>512.78499999999997</v>
      </c>
      <c r="N363" s="43">
        <f>'Homestead Network Transmission'!M157</f>
        <v>499.40799999999996</v>
      </c>
      <c r="O363" s="43">
        <f t="shared" si="39"/>
        <v>7033.1169999999993</v>
      </c>
      <c r="Q363" s="11"/>
    </row>
    <row r="364" spans="1:17">
      <c r="A364" s="454" t="s">
        <v>438</v>
      </c>
      <c r="B364" s="216">
        <v>456.22199999999998</v>
      </c>
      <c r="C364" s="43">
        <f>'Homestead Network Transmission'!B164</f>
        <v>2721.6</v>
      </c>
      <c r="D364" s="43">
        <f>'Homestead Network Transmission'!C164</f>
        <v>4798.0800000000008</v>
      </c>
      <c r="E364" s="43">
        <f>'Homestead Network Transmission'!D164</f>
        <v>2998.8</v>
      </c>
      <c r="F364" s="43">
        <f>'Homestead Network Transmission'!E164</f>
        <v>4480.5600000000004</v>
      </c>
      <c r="G364" s="43">
        <f>'Homestead Network Transmission'!F164</f>
        <v>5433.1200000000008</v>
      </c>
      <c r="H364" s="43">
        <f>'Homestead Network Transmission'!G164</f>
        <v>6279.84</v>
      </c>
      <c r="I364" s="43">
        <f>'Homestead Network Transmission'!H164</f>
        <v>6809.04</v>
      </c>
      <c r="J364" s="43">
        <f>'Homestead Network Transmission'!I164</f>
        <v>2721.6</v>
      </c>
      <c r="K364" s="43">
        <f>'Homestead Network Transmission'!J164</f>
        <v>6385.6800000000012</v>
      </c>
      <c r="L364" s="43">
        <f>'Homestead Network Transmission'!K164</f>
        <v>5009.76</v>
      </c>
      <c r="M364" s="43">
        <f>'Homestead Network Transmission'!L164</f>
        <v>4057.2</v>
      </c>
      <c r="N364" s="43">
        <f>'Homestead Network Transmission'!M164</f>
        <v>3951.36</v>
      </c>
      <c r="O364" s="43">
        <f t="shared" si="39"/>
        <v>55646.64</v>
      </c>
      <c r="Q364" s="11"/>
    </row>
    <row r="365" spans="1:17">
      <c r="A365" s="454" t="s">
        <v>448</v>
      </c>
      <c r="B365" s="216">
        <v>456.21100000000001</v>
      </c>
      <c r="C365" s="43">
        <f>'Quincy Transmission'!B109</f>
        <v>30210</v>
      </c>
      <c r="D365" s="43">
        <f>'Quincy Transmission'!C109</f>
        <v>37801.152900000001</v>
      </c>
      <c r="E365" s="43">
        <f>'Quincy Transmission'!D109</f>
        <v>34605.873</v>
      </c>
      <c r="F365" s="43">
        <f>'Quincy Transmission'!E109</f>
        <v>31031.950500000003</v>
      </c>
      <c r="G365" s="43">
        <f>'Quincy Transmission'!F109</f>
        <v>36658.785600000003</v>
      </c>
      <c r="H365" s="43">
        <f>'Quincy Transmission'!G109</f>
        <v>44015.270400000001</v>
      </c>
      <c r="I365" s="43">
        <f>'Quincy Transmission'!H109</f>
        <v>43510.413600000007</v>
      </c>
      <c r="J365" s="43">
        <f>'Quincy Transmission'!I109</f>
        <v>30210</v>
      </c>
      <c r="K365" s="43">
        <f>'Quincy Transmission'!J109</f>
        <v>40197.934800000003</v>
      </c>
      <c r="L365" s="43">
        <f>'Quincy Transmission'!K109</f>
        <v>35417.25</v>
      </c>
      <c r="M365" s="43">
        <f>'Quincy Transmission'!L109</f>
        <v>40755.595500000003</v>
      </c>
      <c r="N365" s="43">
        <f>'Quincy Transmission'!M109</f>
        <v>36624.012300000002</v>
      </c>
      <c r="O365" s="43">
        <f t="shared" si="39"/>
        <v>441038.23859999998</v>
      </c>
      <c r="Q365" s="11"/>
    </row>
    <row r="366" spans="1:17">
      <c r="A366" s="454" t="s">
        <v>449</v>
      </c>
      <c r="B366" s="216">
        <v>456.221</v>
      </c>
      <c r="C366" s="43">
        <f>'Quincy Transmission'!B116</f>
        <v>242.06</v>
      </c>
      <c r="D366" s="43">
        <f>'Quincy Transmission'!C116</f>
        <v>302.88470940000002</v>
      </c>
      <c r="E366" s="43">
        <f>'Quincy Transmission'!D116</f>
        <v>277.28227800000002</v>
      </c>
      <c r="F366" s="43">
        <f>'Quincy Transmission'!E116</f>
        <v>248.64594299999999</v>
      </c>
      <c r="G366" s="43">
        <f>'Quincy Transmission'!F116</f>
        <v>293.73140159999997</v>
      </c>
      <c r="H366" s="43">
        <f>'Quincy Transmission'!G116</f>
        <v>352.67581439999998</v>
      </c>
      <c r="I366" s="43">
        <f>'Quincy Transmission'!H116</f>
        <v>348.63060960000001</v>
      </c>
      <c r="J366" s="43">
        <f>'Quincy Transmission'!I116</f>
        <v>242.06</v>
      </c>
      <c r="K366" s="43">
        <f>'Quincy Transmission'!J116</f>
        <v>322.08911280000001</v>
      </c>
      <c r="L366" s="43">
        <f>'Quincy Transmission'!K116</f>
        <v>283.7835</v>
      </c>
      <c r="M366" s="43">
        <f>'Quincy Transmission'!L116</f>
        <v>326.557413</v>
      </c>
      <c r="N366" s="43">
        <f>'Quincy Transmission'!M116</f>
        <v>293.45277779999998</v>
      </c>
      <c r="O366" s="43">
        <f t="shared" si="39"/>
        <v>3533.8535595999997</v>
      </c>
      <c r="Q366" s="11"/>
    </row>
    <row r="367" spans="1:17">
      <c r="A367" s="89" t="s">
        <v>14</v>
      </c>
      <c r="B367" s="216">
        <v>456.21100000000001</v>
      </c>
      <c r="C367" s="40">
        <f>'TSAS Demand Revenues (7)'!B431</f>
        <v>392819.04000000004</v>
      </c>
      <c r="D367" s="40">
        <f>'TSAS Demand Revenues (7)'!C431</f>
        <v>329219.04000000004</v>
      </c>
      <c r="E367" s="40">
        <f>'TSAS Demand Revenues (7)'!D431</f>
        <v>329219.04000000004</v>
      </c>
      <c r="F367" s="40">
        <f>'TSAS Demand Revenues (7)'!E431</f>
        <v>329219.04000000004</v>
      </c>
      <c r="G367" s="40">
        <f>'TSAS Demand Revenues (7)'!F431</f>
        <v>329219.04000000004</v>
      </c>
      <c r="H367" s="40">
        <f>'TSAS Demand Revenues (7)'!G431</f>
        <v>329219.04000000004</v>
      </c>
      <c r="I367" s="40">
        <f>'TSAS Demand Revenues (7)'!H431</f>
        <v>329219.04000000004</v>
      </c>
      <c r="J367" s="40">
        <f>'TSAS Demand Revenues (7)'!I431</f>
        <v>329219.04000000004</v>
      </c>
      <c r="K367" s="40">
        <f>'TSAS Demand Revenues (7)'!J431</f>
        <v>329219.04000000004</v>
      </c>
      <c r="L367" s="40">
        <f>'TSAS Demand Revenues (7)'!K431</f>
        <v>329219.04000000004</v>
      </c>
      <c r="M367" s="40">
        <f>'TSAS Demand Revenues (7)'!L431</f>
        <v>329219.04000000004</v>
      </c>
      <c r="N367" s="40">
        <f>'TSAS Demand Revenues (7)'!M431</f>
        <v>329219.04000000004</v>
      </c>
      <c r="O367" s="43">
        <f t="shared" ref="O367:O372" si="40">SUM(C367:N367)</f>
        <v>4014228.4800000004</v>
      </c>
    </row>
    <row r="368" spans="1:17">
      <c r="A368" s="89" t="s">
        <v>146</v>
      </c>
      <c r="B368" s="216">
        <v>456.221</v>
      </c>
      <c r="C368" s="40">
        <f>'TSAS Scheduling Revenue (1)'!B448</f>
        <v>3147.4934400000002</v>
      </c>
      <c r="D368" s="40">
        <f>'TSAS Scheduling Revenue (1)'!C448</f>
        <v>2637.8934399999998</v>
      </c>
      <c r="E368" s="40">
        <f>'TSAS Scheduling Revenue (1)'!D448</f>
        <v>2637.8934399999998</v>
      </c>
      <c r="F368" s="40">
        <f>'TSAS Scheduling Revenue (1)'!E448</f>
        <v>2637.8934399999998</v>
      </c>
      <c r="G368" s="40">
        <f>'TSAS Scheduling Revenue (1)'!F448</f>
        <v>2637.8934399999998</v>
      </c>
      <c r="H368" s="40">
        <f>'TSAS Scheduling Revenue (1)'!G448</f>
        <v>2637.8934399999998</v>
      </c>
      <c r="I368" s="40">
        <f>'TSAS Scheduling Revenue (1)'!H448</f>
        <v>2637.8934399999998</v>
      </c>
      <c r="J368" s="40">
        <f>'TSAS Scheduling Revenue (1)'!I448</f>
        <v>2637.8934399999998</v>
      </c>
      <c r="K368" s="40">
        <f>'TSAS Scheduling Revenue (1)'!J448</f>
        <v>2637.8934399999998</v>
      </c>
      <c r="L368" s="40">
        <f>'TSAS Scheduling Revenue (1)'!K448</f>
        <v>2637.8934399999998</v>
      </c>
      <c r="M368" s="40">
        <f>'TSAS Scheduling Revenue (1)'!L448</f>
        <v>2637.8934399999998</v>
      </c>
      <c r="N368" s="40">
        <f>'TSAS Scheduling Revenue (1)'!M448</f>
        <v>2637.8934399999998</v>
      </c>
      <c r="O368" s="43">
        <f t="shared" si="40"/>
        <v>32164.321279999996</v>
      </c>
    </row>
    <row r="369" spans="1:15">
      <c r="A369" s="89" t="s">
        <v>77</v>
      </c>
      <c r="B369" s="216">
        <v>456.22199999999998</v>
      </c>
      <c r="C369" s="40">
        <f>'TSAS Reactive Revenues (2)'!B433</f>
        <v>23761.919999999998</v>
      </c>
      <c r="D369" s="40">
        <f>'TSAS Reactive Revenues (2)'!C433</f>
        <v>19729.919999999998</v>
      </c>
      <c r="E369" s="40">
        <f>'TSAS Reactive Revenues (2)'!D433</f>
        <v>19729.919999999998</v>
      </c>
      <c r="F369" s="40">
        <f>'TSAS Reactive Revenues (2)'!E433</f>
        <v>19729.919999999998</v>
      </c>
      <c r="G369" s="40">
        <f>'TSAS Reactive Revenues (2)'!F433</f>
        <v>19729.919999999998</v>
      </c>
      <c r="H369" s="40">
        <f>'TSAS Reactive Revenues (2)'!G433</f>
        <v>19729.919999999998</v>
      </c>
      <c r="I369" s="40">
        <f>'TSAS Reactive Revenues (2)'!H433</f>
        <v>19729.919999999998</v>
      </c>
      <c r="J369" s="40">
        <f>'TSAS Reactive Revenues (2)'!I433</f>
        <v>19729.919999999998</v>
      </c>
      <c r="K369" s="40">
        <f>'TSAS Reactive Revenues (2)'!J433</f>
        <v>19729.919999999998</v>
      </c>
      <c r="L369" s="40">
        <f>'TSAS Reactive Revenues (2)'!K433</f>
        <v>19729.919999999998</v>
      </c>
      <c r="M369" s="40">
        <f>'TSAS Reactive Revenues (2)'!L433</f>
        <v>19729.919999999998</v>
      </c>
      <c r="N369" s="40">
        <f>'TSAS Reactive Revenues (2)'!M433</f>
        <v>19729.919999999998</v>
      </c>
      <c r="O369" s="43">
        <f t="shared" si="40"/>
        <v>240791.03999999992</v>
      </c>
    </row>
    <row r="370" spans="1:15">
      <c r="A370" s="89" t="s">
        <v>124</v>
      </c>
      <c r="B370" s="216">
        <v>456.14499999999998</v>
      </c>
      <c r="C370" s="40">
        <f>Dynamic_Scheduling!B16</f>
        <v>7200</v>
      </c>
      <c r="D370" s="40">
        <f>Dynamic_Scheduling!C16</f>
        <v>7200</v>
      </c>
      <c r="E370" s="40">
        <f>Dynamic_Scheduling!D16</f>
        <v>7200</v>
      </c>
      <c r="F370" s="40">
        <f>Dynamic_Scheduling!E16</f>
        <v>7200</v>
      </c>
      <c r="G370" s="40">
        <f>Dynamic_Scheduling!F16</f>
        <v>7200</v>
      </c>
      <c r="H370" s="40">
        <f>Dynamic_Scheduling!G16</f>
        <v>7200</v>
      </c>
      <c r="I370" s="40">
        <f>Dynamic_Scheduling!H16</f>
        <v>7200</v>
      </c>
      <c r="J370" s="40">
        <f>Dynamic_Scheduling!I16</f>
        <v>7200</v>
      </c>
      <c r="K370" s="40">
        <f>Dynamic_Scheduling!J16</f>
        <v>7200</v>
      </c>
      <c r="L370" s="40">
        <f>Dynamic_Scheduling!K16</f>
        <v>7200</v>
      </c>
      <c r="M370" s="40">
        <f>Dynamic_Scheduling!L16</f>
        <v>7200</v>
      </c>
      <c r="N370" s="40">
        <f>Dynamic_Scheduling!M16</f>
        <v>7200</v>
      </c>
      <c r="O370" s="43">
        <f t="shared" si="40"/>
        <v>86400</v>
      </c>
    </row>
    <row r="371" spans="1:15">
      <c r="A371" s="89" t="s">
        <v>153</v>
      </c>
      <c r="B371" s="216">
        <v>456.21300000000002</v>
      </c>
      <c r="C371" s="40">
        <f>st_nf!D9</f>
        <v>252959.05</v>
      </c>
      <c r="D371" s="40">
        <f>st_nf!E9</f>
        <v>211139.89</v>
      </c>
      <c r="E371" s="40">
        <f>st_nf!F9</f>
        <v>230869.65</v>
      </c>
      <c r="F371" s="40">
        <f>st_nf!G9</f>
        <v>165524.70000000001</v>
      </c>
      <c r="G371" s="40">
        <f>st_nf!H9</f>
        <v>230869.65</v>
      </c>
      <c r="H371" s="40">
        <f>st_nf!I9</f>
        <v>338831.64</v>
      </c>
      <c r="I371" s="40">
        <f>st_nf!J9</f>
        <v>225520.52</v>
      </c>
      <c r="J371" s="40">
        <f>st_nf!K9</f>
        <v>328491.74</v>
      </c>
      <c r="K371" s="40">
        <f>st_nf!L9</f>
        <v>320710.51</v>
      </c>
      <c r="L371" s="40">
        <f>st_nf!M9</f>
        <v>438157.95</v>
      </c>
      <c r="M371" s="40">
        <f>st_nf!N9</f>
        <v>323720.68</v>
      </c>
      <c r="N371" s="40">
        <f>st_nf!O9</f>
        <v>226700.14</v>
      </c>
      <c r="O371" s="43">
        <f t="shared" si="40"/>
        <v>3293496.1200000006</v>
      </c>
    </row>
    <row r="372" spans="1:15">
      <c r="A372" s="89" t="s">
        <v>154</v>
      </c>
      <c r="B372" s="216">
        <v>456.22300000000001</v>
      </c>
      <c r="C372" s="44">
        <f>st_nf!D10</f>
        <v>31266.38</v>
      </c>
      <c r="D372" s="44">
        <f>st_nf!E10</f>
        <v>33737.19</v>
      </c>
      <c r="E372" s="44">
        <f>st_nf!F10</f>
        <v>33995.410000000003</v>
      </c>
      <c r="F372" s="44">
        <f>st_nf!G10</f>
        <v>34925.39</v>
      </c>
      <c r="G372" s="44">
        <f>st_nf!H10</f>
        <v>33923.370000000003</v>
      </c>
      <c r="H372" s="44">
        <f>st_nf!I10</f>
        <v>16500.57</v>
      </c>
      <c r="I372" s="44">
        <f>st_nf!J10</f>
        <v>25237.65</v>
      </c>
      <c r="J372" s="44">
        <f>st_nf!K10</f>
        <v>31769.99</v>
      </c>
      <c r="K372" s="44">
        <f>st_nf!L10</f>
        <v>41391.03</v>
      </c>
      <c r="L372" s="44">
        <f>st_nf!M10</f>
        <v>29168.31</v>
      </c>
      <c r="M372" s="44">
        <f>st_nf!N10</f>
        <v>28251.96</v>
      </c>
      <c r="N372" s="44">
        <f>st_nf!O10</f>
        <v>31973.599999999999</v>
      </c>
      <c r="O372" s="44">
        <f t="shared" si="40"/>
        <v>372140.85</v>
      </c>
    </row>
    <row r="373" spans="1:15" ht="10.8" thickBot="1">
      <c r="A373" s="89" t="s">
        <v>155</v>
      </c>
      <c r="B373" s="89"/>
      <c r="C373" s="385">
        <f>SUM(C336:C372)</f>
        <v>3946285.5534368032</v>
      </c>
      <c r="D373" s="385">
        <f t="shared" ref="D373:O373" si="41">SUM(D336:D372)</f>
        <v>3881843.6953242994</v>
      </c>
      <c r="E373" s="385">
        <f t="shared" si="41"/>
        <v>3528004.4026927757</v>
      </c>
      <c r="F373" s="385">
        <f t="shared" si="41"/>
        <v>3404449.5510917753</v>
      </c>
      <c r="G373" s="385">
        <f t="shared" si="41"/>
        <v>3713071.9424622352</v>
      </c>
      <c r="H373" s="385">
        <f t="shared" si="41"/>
        <v>4141520.8763832874</v>
      </c>
      <c r="I373" s="385">
        <f t="shared" si="41"/>
        <v>4175458.5441527609</v>
      </c>
      <c r="J373" s="385">
        <f t="shared" si="41"/>
        <v>4229535.5791849485</v>
      </c>
      <c r="K373" s="385">
        <f t="shared" si="41"/>
        <v>4276208.2514108783</v>
      </c>
      <c r="L373" s="385">
        <f t="shared" si="41"/>
        <v>3973647.7140940856</v>
      </c>
      <c r="M373" s="385">
        <f t="shared" si="41"/>
        <v>3750057.9639564869</v>
      </c>
      <c r="N373" s="385">
        <f t="shared" si="41"/>
        <v>3475131.263462883</v>
      </c>
      <c r="O373" s="385">
        <f t="shared" si="41"/>
        <v>46495215.337653227</v>
      </c>
    </row>
    <row r="374" spans="1:15" ht="10.8" thickTop="1">
      <c r="A374" s="89"/>
      <c r="B374" s="89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</row>
    <row r="375" spans="1:15">
      <c r="A375" s="89"/>
      <c r="B375" s="89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0"/>
    </row>
    <row r="376" spans="1:15">
      <c r="A376" s="89" t="s">
        <v>131</v>
      </c>
      <c r="B376" s="216">
        <v>456.25200000000001</v>
      </c>
      <c r="C376" s="44">
        <f>'SECI-Credit Settlement'!$B$11*(-1)</f>
        <v>-566426.91666666674</v>
      </c>
      <c r="D376" s="44">
        <f>'SECI-Credit Settlement'!$B$11*(-1)</f>
        <v>-566426.91666666674</v>
      </c>
      <c r="E376" s="44">
        <f>'SECI-Credit Settlement'!$B$11*(-1)</f>
        <v>-566426.91666666674</v>
      </c>
      <c r="F376" s="44">
        <f>'SECI-Credit Settlement'!$B$11*(-1)</f>
        <v>-566426.91666666674</v>
      </c>
      <c r="G376" s="44">
        <f>'SECI-Credit Settlement'!$B$11*(-1)</f>
        <v>-566426.91666666674</v>
      </c>
      <c r="H376" s="44">
        <f>'SECI-Credit Settlement'!$B$11*(-1)</f>
        <v>-566426.91666666674</v>
      </c>
      <c r="I376" s="44">
        <f>'SECI-Credit Settlement'!$B$11*(-1)</f>
        <v>-566426.91666666674</v>
      </c>
      <c r="J376" s="44">
        <f>'SECI-Credit Settlement'!$B$11*(-1)</f>
        <v>-566426.91666666674</v>
      </c>
      <c r="K376" s="44">
        <f>'SECI-Credit Settlement'!$B$11*(-1)</f>
        <v>-566426.91666666674</v>
      </c>
      <c r="L376" s="44">
        <f>'SECI-Credit Settlement'!$B$11*(-1)</f>
        <v>-566426.91666666674</v>
      </c>
      <c r="M376" s="44">
        <f>'SECI-Credit Settlement'!$B$11*(-1)</f>
        <v>-566426.91666666674</v>
      </c>
      <c r="N376" s="44">
        <f>'SECI-Credit Settlement'!$B$11*(-1)</f>
        <v>-566426.91666666674</v>
      </c>
      <c r="O376" s="41">
        <f>SUM(C376:N376)</f>
        <v>-6797123.0000000028</v>
      </c>
    </row>
    <row r="377" spans="1:15">
      <c r="A377" s="88"/>
      <c r="B377" s="88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</row>
    <row r="378" spans="1:15">
      <c r="A378" s="88" t="s">
        <v>367</v>
      </c>
      <c r="B378" s="88"/>
      <c r="C378" s="40">
        <f>C373+C376</f>
        <v>3379858.6367701367</v>
      </c>
      <c r="D378" s="40">
        <f t="shared" ref="D378:O378" si="42">D373+D376</f>
        <v>3315416.7786576329</v>
      </c>
      <c r="E378" s="40">
        <f t="shared" si="42"/>
        <v>2961577.4860261092</v>
      </c>
      <c r="F378" s="40">
        <f t="shared" si="42"/>
        <v>2838022.6344251083</v>
      </c>
      <c r="G378" s="40">
        <f t="shared" si="42"/>
        <v>3146645.0257955687</v>
      </c>
      <c r="H378" s="40">
        <f t="shared" si="42"/>
        <v>3575093.9597166209</v>
      </c>
      <c r="I378" s="40">
        <f t="shared" si="42"/>
        <v>3609031.6274860939</v>
      </c>
      <c r="J378" s="40">
        <f t="shared" si="42"/>
        <v>3663108.6625182815</v>
      </c>
      <c r="K378" s="40">
        <f t="shared" si="42"/>
        <v>3709781.3347442113</v>
      </c>
      <c r="L378" s="40">
        <f t="shared" si="42"/>
        <v>3407220.7974274186</v>
      </c>
      <c r="M378" s="40">
        <f t="shared" si="42"/>
        <v>3183631.0472898204</v>
      </c>
      <c r="N378" s="40">
        <f t="shared" si="42"/>
        <v>2908704.3467962164</v>
      </c>
      <c r="O378" s="40">
        <f t="shared" si="42"/>
        <v>39698092.337653227</v>
      </c>
    </row>
  </sheetData>
  <phoneticPr fontId="23" type="noConversion"/>
  <pageMargins left="0.18" right="0" top="0.24" bottom="0" header="0.48" footer="0.21"/>
  <pageSetup scale="80" fitToHeight="3" pageOrder="overThenDown" orientation="landscape" r:id="rId1"/>
  <headerFooter alignWithMargins="0">
    <oddHeader>&amp;R&amp;"Arial,Regular"&amp;8Page No. &amp;P of  &amp;N</oddHeader>
    <oddFooter>&amp;L&amp;"Times New Roman,Bold"&amp;8Note: FPL NED transmission revenues &amp;Unot&amp;U included in this transmission revenue forecast.&amp;R&amp;"Times New Roman,Bold"&amp;8&amp;D &amp;T</oddFooter>
  </headerFooter>
  <rowBreaks count="6" manualBreakCount="6">
    <brk id="41" max="16383" man="1"/>
    <brk id="81" max="16383" man="1"/>
    <brk id="127" max="16383" man="1"/>
    <brk id="178" max="16383" man="1"/>
    <brk id="229" max="16383" man="1"/>
    <brk id="28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27742C2-580A-4440-BA20-83171DC7BC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2890FD-AAB7-46BD-93CA-E1515AB56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9C5761-28C9-4F37-B1D0-1D9981B34D5D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85253b9-0a55-49a1-98ad-b5b6252d7079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36</vt:i4>
      </vt:variant>
    </vt:vector>
  </HeadingPairs>
  <TitlesOfParts>
    <vt:vector size="80" baseType="lpstr">
      <vt:lpstr>2015 Transmission Load Forecast</vt:lpstr>
      <vt:lpstr>2016 Transmission Load Forecast</vt:lpstr>
      <vt:lpstr>2017 Transmission Load Forecast</vt:lpstr>
      <vt:lpstr>2018 Transmission Load Forecast</vt:lpstr>
      <vt:lpstr>2019 Transmission Load Forecast</vt:lpstr>
      <vt:lpstr>2020 Transmission Load Forecast</vt:lpstr>
      <vt:lpstr>Revenue_Variance.</vt:lpstr>
      <vt:lpstr>Revenue_Variance</vt:lpstr>
      <vt:lpstr>Transmission_Revenues</vt:lpstr>
      <vt:lpstr>st_nf</vt:lpstr>
      <vt:lpstr>Radial Facilities</vt:lpstr>
      <vt:lpstr>Dynamic_Scheduling</vt:lpstr>
      <vt:lpstr>Lake Worth Network</vt:lpstr>
      <vt:lpstr>Georgia Trans Network</vt:lpstr>
      <vt:lpstr>Lake Worth Network Transmission</vt:lpstr>
      <vt:lpstr>Lake Worth Forecast</vt:lpstr>
      <vt:lpstr>Homestead Network Transmission</vt:lpstr>
      <vt:lpstr>Homestead Forecast</vt:lpstr>
      <vt:lpstr>New Smyrna Network</vt:lpstr>
      <vt:lpstr>Blountstown Network</vt:lpstr>
      <vt:lpstr>Blountstown Forecast</vt:lpstr>
      <vt:lpstr>Winter Park Network</vt:lpstr>
      <vt:lpstr>Winter Park Forecast</vt:lpstr>
      <vt:lpstr>Quincy Transmission</vt:lpstr>
      <vt:lpstr>Quincy Forecast</vt:lpstr>
      <vt:lpstr>LCEC Network</vt:lpstr>
      <vt:lpstr>LCEC Forecast</vt:lpstr>
      <vt:lpstr>FKEC Network</vt:lpstr>
      <vt:lpstr>FKEC Forecast</vt:lpstr>
      <vt:lpstr>Wauchula Network</vt:lpstr>
      <vt:lpstr>Wauchula Forecast</vt:lpstr>
      <vt:lpstr>New Smyrna Beach</vt:lpstr>
      <vt:lpstr>Vero Beach Network</vt:lpstr>
      <vt:lpstr>FMPA Network</vt:lpstr>
      <vt:lpstr>FMPA Network Forecast</vt:lpstr>
      <vt:lpstr>SECI_Network_Forecast</vt:lpstr>
      <vt:lpstr>SECI_Regulation_Imbalance</vt:lpstr>
      <vt:lpstr>SECI Network</vt:lpstr>
      <vt:lpstr>SECI-Credit Settlement</vt:lpstr>
      <vt:lpstr>charges (1 &amp; 2)</vt:lpstr>
      <vt:lpstr>Transmission Formula Rate (7)</vt:lpstr>
      <vt:lpstr>TSAS Demand Revenues (7)</vt:lpstr>
      <vt:lpstr>TSAS Scheduling Revenue (1)</vt:lpstr>
      <vt:lpstr>TSAS Reactive Revenues (2)</vt:lpstr>
      <vt:lpstr>'Blountstown Network'!Print_Area</vt:lpstr>
      <vt:lpstr>'charges (1 &amp; 2)'!Print_Area</vt:lpstr>
      <vt:lpstr>Dynamic_Scheduling!Print_Area</vt:lpstr>
      <vt:lpstr>'FMPA Network'!Print_Area</vt:lpstr>
      <vt:lpstr>'FMPA Network Forecast'!Print_Area</vt:lpstr>
      <vt:lpstr>'Georgia Trans Network'!Print_Area</vt:lpstr>
      <vt:lpstr>'Homestead Network Transmission'!Print_Area</vt:lpstr>
      <vt:lpstr>'Lake Worth Network'!Print_Area</vt:lpstr>
      <vt:lpstr>'Lake Worth Network Transmission'!Print_Area</vt:lpstr>
      <vt:lpstr>'LCEC Network'!Print_Area</vt:lpstr>
      <vt:lpstr>'New Smyrna Network'!Print_Area</vt:lpstr>
      <vt:lpstr>'Quincy Transmission'!Print_Area</vt:lpstr>
      <vt:lpstr>'Radial Facilities'!Print_Area</vt:lpstr>
      <vt:lpstr>Revenue_Variance.!Print_Area</vt:lpstr>
      <vt:lpstr>'SECI Network'!Print_Area</vt:lpstr>
      <vt:lpstr>SECI_Network_Forecast!Print_Area</vt:lpstr>
      <vt:lpstr>SECI_Regulation_Imbalance!Print_Area</vt:lpstr>
      <vt:lpstr>st_nf!Print_Area</vt:lpstr>
      <vt:lpstr>Transmission_Revenues!Print_Area</vt:lpstr>
      <vt:lpstr>'TSAS Demand Revenues (7)'!Print_Area</vt:lpstr>
      <vt:lpstr>'TSAS Reactive Revenues (2)'!Print_Area</vt:lpstr>
      <vt:lpstr>'TSAS Scheduling Revenue (1)'!Print_Area</vt:lpstr>
      <vt:lpstr>'Vero Beach Network'!Print_Area</vt:lpstr>
      <vt:lpstr>'Wauchula Network'!Print_Area</vt:lpstr>
      <vt:lpstr>'Winter Park Network'!Print_Area</vt:lpstr>
      <vt:lpstr>'charges (1 &amp; 2)'!Print_Titles</vt:lpstr>
      <vt:lpstr>'FMPA Network'!Print_Titles</vt:lpstr>
      <vt:lpstr>'LCEC Network'!Print_Titles</vt:lpstr>
      <vt:lpstr>'SECI Network'!Print_Titles</vt:lpstr>
      <vt:lpstr>SECI_Regulation_Imbalance!Print_Titles</vt:lpstr>
      <vt:lpstr>Transmission_Revenues!Print_Titles</vt:lpstr>
      <vt:lpstr>'TSAS Demand Revenues (7)'!Print_Titles</vt:lpstr>
      <vt:lpstr>'TSAS Reactive Revenues (2)'!Print_Titles</vt:lpstr>
      <vt:lpstr>'TSAS Scheduling Revenue (1)'!Print_Titles</vt:lpstr>
      <vt:lpstr>'Vero Beach Network'!Print_Titles</vt:lpstr>
      <vt:lpstr>Transmission_Revenues!SUMREV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Fernandez</dc:creator>
  <cp:lastModifiedBy>FPL_User</cp:lastModifiedBy>
  <cp:lastPrinted>2015-11-04T18:38:12Z</cp:lastPrinted>
  <dcterms:created xsi:type="dcterms:W3CDTF">1997-09-30T13:05:51Z</dcterms:created>
  <dcterms:modified xsi:type="dcterms:W3CDTF">2016-04-15T23:25:33Z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