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20" windowWidth="14928" windowHeight="5148" tabRatio="876"/>
  </bookViews>
  <sheets>
    <sheet name="SL-1 CoS" sheetId="93" r:id="rId1"/>
    <sheet name="OL-1 CoS" sheetId="94" r:id="rId2"/>
    <sheet name="Assumptions and definitions" sheetId="99" r:id="rId3"/>
    <sheet name="Data Entry" sheetId="1" r:id="rId4"/>
    <sheet name="Rates" sheetId="110" r:id="rId5"/>
    <sheet name="CARRYING_CHARGE" sheetId="111" r:id="rId6"/>
    <sheet name="Maint Factor Summary " sheetId="112" r:id="rId7"/>
    <sheet name="From EDM" sheetId="113" r:id="rId8"/>
    <sheet name="TITLE" sheetId="100" r:id="rId9"/>
    <sheet name="binder" sheetId="101" r:id="rId10"/>
    <sheet name="MatCost" sheetId="105" r:id="rId11"/>
    <sheet name="70wOH5" sheetId="2" r:id="rId12"/>
    <sheet name="70wUG6" sheetId="3" r:id="rId13"/>
    <sheet name="70wDS7" sheetId="4" r:id="rId14"/>
    <sheet name="100wOH8" sheetId="5" r:id="rId15"/>
    <sheet name="100wUG9" sheetId="6" r:id="rId16"/>
    <sheet name="150wOH10" sheetId="9" r:id="rId17"/>
    <sheet name="150wUG11" sheetId="10" r:id="rId18"/>
    <sheet name="xxx150wUG_old12" sheetId="8" r:id="rId19"/>
    <sheet name="200wOH13" sheetId="11" r:id="rId20"/>
    <sheet name="250wOH14" sheetId="13" r:id="rId21"/>
    <sheet name="400wOH15" sheetId="14" r:id="rId22"/>
    <sheet name="1000wOH16" sheetId="15" r:id="rId23"/>
    <sheet name="17" sheetId="16" r:id="rId24"/>
    <sheet name="18" sheetId="17" r:id="rId25"/>
    <sheet name="19" sheetId="95" r:id="rId26"/>
    <sheet name="202wIncd20" sheetId="22" r:id="rId27"/>
    <sheet name="WoodPoles 23" sheetId="24" r:id="rId28"/>
    <sheet name="ConcPoles UG 24" sheetId="27" r:id="rId29"/>
    <sheet name="ConcPoles OH 24" sheetId="25" r:id="rId30"/>
    <sheet name="ConcPoles UG 225" sheetId="28" r:id="rId31"/>
    <sheet name="FGpoles" sheetId="26" r:id="rId32"/>
    <sheet name="UG_Guy26" sheetId="29" r:id="rId33"/>
    <sheet name="27" sheetId="30" r:id="rId34"/>
    <sheet name="28" sheetId="31" r:id="rId35"/>
    <sheet name="29" sheetId="32" r:id="rId36"/>
    <sheet name="30" sheetId="33" r:id="rId37"/>
    <sheet name="31" sheetId="34" r:id="rId38"/>
    <sheet name="32" sheetId="36" r:id="rId39"/>
    <sheet name="33" sheetId="37" r:id="rId40"/>
    <sheet name="34" sheetId="38" r:id="rId41"/>
    <sheet name="35" sheetId="39" r:id="rId42"/>
    <sheet name="36" sheetId="40" r:id="rId43"/>
    <sheet name="37" sheetId="44" r:id="rId44"/>
    <sheet name="38" sheetId="45" r:id="rId45"/>
    <sheet name="39" sheetId="46" r:id="rId46"/>
    <sheet name="40" sheetId="47" r:id="rId47"/>
    <sheet name="41" sheetId="49" r:id="rId48"/>
    <sheet name="42" sheetId="50" r:id="rId49"/>
    <sheet name="43" sheetId="51" r:id="rId50"/>
    <sheet name="44" sheetId="53" r:id="rId51"/>
    <sheet name="45" sheetId="54" r:id="rId52"/>
    <sheet name="46" sheetId="55" r:id="rId53"/>
    <sheet name="47" sheetId="56" r:id="rId54"/>
    <sheet name="400DS" sheetId="57" r:id="rId55"/>
    <sheet name="49" sheetId="58" r:id="rId56"/>
    <sheet name="30_6" sheetId="69" r:id="rId57"/>
    <sheet name="35_5" sheetId="70" r:id="rId58"/>
    <sheet name="40_5" sheetId="71" r:id="rId59"/>
    <sheet name="45_4" sheetId="72" r:id="rId60"/>
    <sheet name="50_2" sheetId="97" r:id="rId61"/>
    <sheet name="30SU" sheetId="73" r:id="rId62"/>
    <sheet name="4-IIIA" sheetId="74" r:id="rId63"/>
    <sheet name="45IIIA" sheetId="98" r:id="rId64"/>
    <sheet name="20'O" sheetId="75" r:id="rId65"/>
    <sheet name="59" sheetId="76" r:id="rId66"/>
    <sheet name="60" sheetId="78" r:id="rId67"/>
    <sheet name="M35SU" sheetId="79" r:id="rId68"/>
    <sheet name="M40IIIA" sheetId="80" r:id="rId69"/>
    <sheet name="M45IIIA" sheetId="81" r:id="rId70"/>
    <sheet name="M50IIIA" sheetId="82" r:id="rId71"/>
    <sheet name="MatlSum65" sheetId="83" r:id="rId72"/>
    <sheet name="66" sheetId="84" r:id="rId73"/>
    <sheet name="67" sheetId="85" r:id="rId74"/>
    <sheet name="30_40L 68" sheetId="86" r:id="rId75"/>
    <sheet name="69" sheetId="87" r:id="rId76"/>
    <sheet name="70" sheetId="88" r:id="rId77"/>
    <sheet name="71" sheetId="89" r:id="rId78"/>
    <sheet name="OH_UG Labor 72" sheetId="90" r:id="rId79"/>
    <sheet name="UG Labor 73" sheetId="91" r:id="rId80"/>
    <sheet name="74" sheetId="92" r:id="rId81"/>
  </sheets>
  <definedNames>
    <definedName name="_xlnm.Database">#REF!</definedName>
    <definedName name="_xlnm.Print_Area" localSheetId="11">'70wOH5'!$A$4:$I$61</definedName>
    <definedName name="_xlnm.Print_Area" localSheetId="2">'Assumptions and definitions'!$B$4:$D$31</definedName>
    <definedName name="_xlnm.Print_Area" localSheetId="5">CARRYING_CHARGE!$A$4:$C$26</definedName>
    <definedName name="_xlnm.Print_Area" localSheetId="3">'Data Entry'!$A$4:$E$128</definedName>
    <definedName name="_xlnm.Print_Area" localSheetId="6">'Maint Factor Summary '!$A$3:$E$18</definedName>
    <definedName name="_xlnm.Print_Titles" localSheetId="3">'Data Entry'!$24:$25</definedName>
    <definedName name="Tax_Rate">#REF!</definedName>
  </definedNames>
  <calcPr calcId="145621"/>
</workbook>
</file>

<file path=xl/calcChain.xml><?xml version="1.0" encoding="utf-8"?>
<calcChain xmlns="http://schemas.openxmlformats.org/spreadsheetml/2006/main">
  <c r="H21" i="113" l="1"/>
  <c r="E10" i="113" l="1"/>
  <c r="F19" i="113" s="1"/>
  <c r="E19" i="113"/>
  <c r="H19" i="113" s="1"/>
  <c r="E20" i="113"/>
  <c r="G20" i="113" s="1"/>
  <c r="F20" i="113"/>
  <c r="E21" i="113"/>
  <c r="F21" i="113"/>
  <c r="C22" i="113"/>
  <c r="C33" i="113"/>
  <c r="D33" i="113" s="1"/>
  <c r="E33" i="113" s="1"/>
  <c r="F33" i="113" s="1"/>
  <c r="G33" i="113" s="1"/>
  <c r="C36" i="113"/>
  <c r="D36" i="113"/>
  <c r="E36" i="113"/>
  <c r="F36" i="113"/>
  <c r="G36" i="113"/>
  <c r="C12" i="112"/>
  <c r="C13" i="112"/>
  <c r="D13" i="112" s="1"/>
  <c r="D14" i="112" s="1"/>
  <c r="C40" i="112"/>
  <c r="D40" i="112"/>
  <c r="D45" i="112" s="1"/>
  <c r="D46" i="112" s="1"/>
  <c r="E40" i="112"/>
  <c r="E45" i="112" s="1"/>
  <c r="E46" i="112" s="1"/>
  <c r="E41" i="112"/>
  <c r="E42" i="112"/>
  <c r="E43" i="112"/>
  <c r="C45" i="112"/>
  <c r="C46" i="112" s="1"/>
  <c r="E48" i="112"/>
  <c r="E49" i="112"/>
  <c r="E50" i="112" s="1"/>
  <c r="E51" i="112" s="1"/>
  <c r="C50" i="112"/>
  <c r="C51" i="112" s="1"/>
  <c r="D50" i="112"/>
  <c r="D51" i="112"/>
  <c r="E53" i="112"/>
  <c r="E54" i="112"/>
  <c r="E55" i="112" s="1"/>
  <c r="E56" i="112" s="1"/>
  <c r="C55" i="112"/>
  <c r="C56" i="112" s="1"/>
  <c r="D55" i="112"/>
  <c r="D56" i="112"/>
  <c r="B15" i="111"/>
  <c r="B22" i="111"/>
  <c r="B26" i="111" s="1"/>
  <c r="D14" i="110" s="1"/>
  <c r="B23" i="111"/>
  <c r="D10" i="110"/>
  <c r="E10" i="110"/>
  <c r="E11" i="110"/>
  <c r="E14" i="110"/>
  <c r="E15" i="110"/>
  <c r="E16" i="110"/>
  <c r="E17" i="110"/>
  <c r="D18" i="110"/>
  <c r="D32" i="110"/>
  <c r="C14" i="112" l="1"/>
  <c r="D17" i="112"/>
  <c r="D20" i="110"/>
  <c r="D19" i="110"/>
  <c r="C17" i="112"/>
  <c r="H20" i="113"/>
  <c r="H22" i="113" s="1"/>
  <c r="G21" i="113"/>
  <c r="G19" i="113"/>
  <c r="G22" i="113" s="1"/>
  <c r="E24" i="113" s="1"/>
  <c r="C65" i="93"/>
  <c r="C66" i="93"/>
  <c r="C67" i="93"/>
  <c r="C68" i="93"/>
  <c r="C69" i="93"/>
  <c r="C70" i="93"/>
  <c r="C64" i="93"/>
  <c r="C21" i="1" l="1"/>
  <c r="E20" i="1"/>
  <c r="C20" i="1"/>
  <c r="C19" i="1"/>
  <c r="E17" i="1"/>
  <c r="C17" i="1"/>
  <c r="C16" i="1"/>
  <c r="C15" i="1"/>
  <c r="D14" i="1"/>
  <c r="C14" i="1"/>
  <c r="F22" i="31" l="1"/>
  <c r="P45" i="2" l="1"/>
  <c r="R16" i="2" l="1"/>
  <c r="Q43" i="2"/>
  <c r="P39" i="2"/>
  <c r="P38" i="2"/>
  <c r="P35" i="2"/>
  <c r="P36" i="2"/>
  <c r="P37" i="2"/>
  <c r="P34" i="2"/>
  <c r="S14" i="2"/>
  <c r="T14" i="2" s="1"/>
  <c r="P15" i="2"/>
  <c r="M16" i="2"/>
  <c r="N16" i="2"/>
  <c r="N18" i="2" s="1"/>
  <c r="N15" i="2"/>
  <c r="A4" i="1"/>
  <c r="A4" i="93" s="1"/>
  <c r="F47" i="105"/>
  <c r="B25" i="93" l="1"/>
  <c r="B26" i="94"/>
  <c r="H60" i="3" l="1"/>
  <c r="H60" i="4"/>
  <c r="H60" i="5"/>
  <c r="H60" i="6"/>
  <c r="H60" i="9"/>
  <c r="H60" i="10"/>
  <c r="H60" i="8"/>
  <c r="H60" i="11"/>
  <c r="H60" i="13"/>
  <c r="H60" i="14"/>
  <c r="H60" i="15"/>
  <c r="H61" i="16"/>
  <c r="H61" i="17"/>
  <c r="H61" i="22"/>
  <c r="H60" i="2"/>
  <c r="H47" i="16"/>
  <c r="H47" i="17"/>
  <c r="H47" i="95"/>
  <c r="H47" i="22"/>
  <c r="K22" i="2" l="1"/>
  <c r="K32" i="2" l="1"/>
  <c r="L32" i="2"/>
  <c r="H56" i="6"/>
  <c r="H52" i="10"/>
  <c r="G92" i="94"/>
  <c r="G93" i="94"/>
  <c r="G91" i="94"/>
  <c r="F91" i="94" s="1"/>
  <c r="G97" i="93"/>
  <c r="G93" i="93"/>
  <c r="G91" i="93"/>
  <c r="G87" i="93"/>
  <c r="H87" i="93" s="1"/>
  <c r="G85" i="93"/>
  <c r="H85" i="93" s="1"/>
  <c r="G83" i="93"/>
  <c r="H83" i="93" s="1"/>
  <c r="H61" i="6"/>
  <c r="H53" i="6"/>
  <c r="H59" i="6"/>
  <c r="H57" i="6"/>
  <c r="H51" i="6"/>
  <c r="H61" i="10"/>
  <c r="H53" i="10"/>
  <c r="H59" i="10"/>
  <c r="H56" i="10"/>
  <c r="H57" i="10"/>
  <c r="H61" i="13"/>
  <c r="H53" i="13"/>
  <c r="H59" i="13"/>
  <c r="H57" i="13"/>
  <c r="H51" i="13"/>
  <c r="G36" i="13" s="1"/>
  <c r="G60" i="93" s="1"/>
  <c r="H61" i="5"/>
  <c r="H53" i="5"/>
  <c r="H59" i="5"/>
  <c r="H56" i="5"/>
  <c r="H57" i="5"/>
  <c r="H61" i="9"/>
  <c r="H53" i="9"/>
  <c r="H59" i="9"/>
  <c r="H57" i="9"/>
  <c r="H51" i="9"/>
  <c r="H61" i="11"/>
  <c r="H53" i="11"/>
  <c r="H59" i="11"/>
  <c r="H56" i="11"/>
  <c r="H57" i="11"/>
  <c r="H61" i="14"/>
  <c r="H53" i="14"/>
  <c r="H59" i="14"/>
  <c r="H57" i="14"/>
  <c r="H51" i="14"/>
  <c r="H36" i="14" s="1"/>
  <c r="I59" i="93" s="1"/>
  <c r="H61" i="15"/>
  <c r="H53" i="15"/>
  <c r="H59" i="15"/>
  <c r="H56" i="15"/>
  <c r="H57" i="15"/>
  <c r="H61" i="2"/>
  <c r="H53" i="2"/>
  <c r="H59" i="2"/>
  <c r="H57" i="2"/>
  <c r="H51" i="2"/>
  <c r="H61" i="3"/>
  <c r="H53" i="3"/>
  <c r="H59" i="3"/>
  <c r="H56" i="3"/>
  <c r="H57" i="3"/>
  <c r="H61" i="4"/>
  <c r="H53" i="4"/>
  <c r="H59" i="4"/>
  <c r="H57" i="4"/>
  <c r="H51" i="4"/>
  <c r="D20" i="85"/>
  <c r="H52" i="14"/>
  <c r="H52" i="11"/>
  <c r="H52" i="4"/>
  <c r="D39" i="85"/>
  <c r="I51" i="14"/>
  <c r="H43" i="14" s="1"/>
  <c r="I79" i="94" s="1"/>
  <c r="I51" i="11"/>
  <c r="G43" i="11" s="1"/>
  <c r="F78" i="94" s="1"/>
  <c r="I51" i="10"/>
  <c r="F43" i="10" s="1"/>
  <c r="G77" i="94" s="1"/>
  <c r="I51" i="9"/>
  <c r="I51" i="6"/>
  <c r="I51" i="5"/>
  <c r="F43" i="5" s="1"/>
  <c r="D76" i="94" s="1"/>
  <c r="I51" i="4"/>
  <c r="I51" i="3"/>
  <c r="I51" i="2"/>
  <c r="G43" i="2" s="1"/>
  <c r="E75" i="94" s="1"/>
  <c r="C11" i="99"/>
  <c r="F10" i="58"/>
  <c r="G10" i="58" s="1"/>
  <c r="F12" i="58"/>
  <c r="G12" i="58" s="1"/>
  <c r="F15" i="58"/>
  <c r="G15" i="58" s="1"/>
  <c r="F18" i="58"/>
  <c r="G18" i="58" s="1"/>
  <c r="F19" i="58"/>
  <c r="G19" i="58" s="1"/>
  <c r="F20" i="58"/>
  <c r="G20" i="58" s="1"/>
  <c r="F23" i="57"/>
  <c r="G23" i="57" s="1"/>
  <c r="F24" i="58"/>
  <c r="G24" i="58" s="1"/>
  <c r="F17" i="58"/>
  <c r="G17" i="58" s="1"/>
  <c r="F23" i="56"/>
  <c r="G23" i="56" s="1"/>
  <c r="F23" i="58"/>
  <c r="G23" i="58" s="1"/>
  <c r="F23" i="55"/>
  <c r="G23" i="55" s="1"/>
  <c r="F12" i="54"/>
  <c r="G12" i="54" s="1"/>
  <c r="H58" i="13"/>
  <c r="F23" i="53"/>
  <c r="G23" i="53" s="1"/>
  <c r="F24" i="51"/>
  <c r="G24" i="51" s="1"/>
  <c r="F23" i="50"/>
  <c r="G23" i="50" s="1"/>
  <c r="F23" i="49"/>
  <c r="G23" i="49" s="1"/>
  <c r="F12" i="47"/>
  <c r="G12" i="47" s="1"/>
  <c r="F33" i="47"/>
  <c r="G33" i="47" s="1"/>
  <c r="F22" i="46"/>
  <c r="G22" i="46" s="1"/>
  <c r="F22" i="45"/>
  <c r="G22" i="45" s="1"/>
  <c r="F22" i="44"/>
  <c r="G22" i="44" s="1"/>
  <c r="F33" i="40"/>
  <c r="G33" i="40" s="1"/>
  <c r="F12" i="40"/>
  <c r="G12" i="40" s="1"/>
  <c r="F22" i="38"/>
  <c r="G22" i="38" s="1"/>
  <c r="F22" i="37"/>
  <c r="G22" i="37" s="1"/>
  <c r="F22" i="39"/>
  <c r="G22" i="39" s="1"/>
  <c r="F24" i="34"/>
  <c r="G24" i="34" s="1"/>
  <c r="F33" i="33"/>
  <c r="G33" i="33" s="1"/>
  <c r="F12" i="33"/>
  <c r="G12" i="33" s="1"/>
  <c r="G22" i="31"/>
  <c r="F22" i="30"/>
  <c r="G22" i="30" s="1"/>
  <c r="F22" i="32"/>
  <c r="G22" i="32" s="1"/>
  <c r="F12" i="81"/>
  <c r="G12" i="81" s="1"/>
  <c r="F13" i="81"/>
  <c r="G13" i="81" s="1"/>
  <c r="F14" i="81"/>
  <c r="G14" i="81" s="1"/>
  <c r="F15" i="81"/>
  <c r="G15" i="81" s="1"/>
  <c r="F16" i="81"/>
  <c r="G16" i="81" s="1"/>
  <c r="F17" i="81"/>
  <c r="G17" i="81" s="1"/>
  <c r="F18" i="81"/>
  <c r="G18" i="81" s="1"/>
  <c r="F19" i="81"/>
  <c r="G19" i="81" s="1"/>
  <c r="H55" i="28"/>
  <c r="H56" i="28"/>
  <c r="D43" i="89"/>
  <c r="F12" i="80"/>
  <c r="G12" i="80" s="1"/>
  <c r="F13" i="80"/>
  <c r="G13" i="80" s="1"/>
  <c r="F14" i="80"/>
  <c r="G14" i="80" s="1"/>
  <c r="F15" i="80"/>
  <c r="G15" i="80" s="1"/>
  <c r="F16" i="80"/>
  <c r="G16" i="80" s="1"/>
  <c r="F17" i="80"/>
  <c r="G17" i="80" s="1"/>
  <c r="F18" i="80"/>
  <c r="G18" i="80" s="1"/>
  <c r="F19" i="80"/>
  <c r="G19" i="80" s="1"/>
  <c r="F12" i="82"/>
  <c r="G12" i="82" s="1"/>
  <c r="F13" i="82"/>
  <c r="G13" i="82" s="1"/>
  <c r="F14" i="82"/>
  <c r="G14" i="82" s="1"/>
  <c r="F15" i="82"/>
  <c r="G15" i="82" s="1"/>
  <c r="F16" i="82"/>
  <c r="G16" i="82" s="1"/>
  <c r="F17" i="82"/>
  <c r="G17" i="82" s="1"/>
  <c r="F18" i="82"/>
  <c r="G18" i="82" s="1"/>
  <c r="F19" i="82"/>
  <c r="G19" i="82" s="1"/>
  <c r="F12" i="78"/>
  <c r="G12" i="78" s="1"/>
  <c r="F13" i="78"/>
  <c r="G13" i="78" s="1"/>
  <c r="F14" i="78"/>
  <c r="G14" i="78" s="1"/>
  <c r="F15" i="78"/>
  <c r="G15" i="78" s="1"/>
  <c r="F16" i="78"/>
  <c r="G16" i="78" s="1"/>
  <c r="F17" i="78"/>
  <c r="G17" i="78" s="1"/>
  <c r="F18" i="78"/>
  <c r="G18" i="78" s="1"/>
  <c r="F19" i="78"/>
  <c r="G19" i="78" s="1"/>
  <c r="H49" i="27"/>
  <c r="H50" i="27"/>
  <c r="D22" i="89"/>
  <c r="F12" i="75"/>
  <c r="G12" i="75" s="1"/>
  <c r="F13" i="75"/>
  <c r="G13" i="75" s="1"/>
  <c r="F14" i="75"/>
  <c r="G14" i="75" s="1"/>
  <c r="F15" i="75"/>
  <c r="G15" i="75" s="1"/>
  <c r="F16" i="75"/>
  <c r="G16" i="75" s="1"/>
  <c r="F17" i="75"/>
  <c r="G17" i="75" s="1"/>
  <c r="F18" i="75"/>
  <c r="G18" i="75" s="1"/>
  <c r="F19" i="75"/>
  <c r="G19" i="75" s="1"/>
  <c r="D43" i="88"/>
  <c r="F12" i="79"/>
  <c r="G12" i="79" s="1"/>
  <c r="F13" i="79"/>
  <c r="G13" i="79" s="1"/>
  <c r="F14" i="79"/>
  <c r="G14" i="79" s="1"/>
  <c r="F15" i="79"/>
  <c r="G15" i="79" s="1"/>
  <c r="F16" i="79"/>
  <c r="G16" i="79" s="1"/>
  <c r="F17" i="79"/>
  <c r="G17" i="79" s="1"/>
  <c r="F18" i="79"/>
  <c r="G18" i="79" s="1"/>
  <c r="F19" i="79"/>
  <c r="G19" i="79" s="1"/>
  <c r="F12" i="76"/>
  <c r="G12" i="76" s="1"/>
  <c r="F13" i="76"/>
  <c r="G13" i="76" s="1"/>
  <c r="F14" i="76"/>
  <c r="G14" i="76" s="1"/>
  <c r="F15" i="76"/>
  <c r="G15" i="76" s="1"/>
  <c r="F16" i="76"/>
  <c r="G16" i="76" s="1"/>
  <c r="F17" i="76"/>
  <c r="G17" i="76" s="1"/>
  <c r="F18" i="76"/>
  <c r="G18" i="76" s="1"/>
  <c r="F19" i="76"/>
  <c r="G19" i="76" s="1"/>
  <c r="F20" i="76"/>
  <c r="G20" i="76" s="1"/>
  <c r="H50" i="26"/>
  <c r="D22" i="88"/>
  <c r="H45" i="26"/>
  <c r="F12" i="98"/>
  <c r="G12" i="98" s="1"/>
  <c r="F13" i="98"/>
  <c r="G13" i="98" s="1"/>
  <c r="F14" i="98"/>
  <c r="G14" i="98" s="1"/>
  <c r="F15" i="98"/>
  <c r="G15" i="98" s="1"/>
  <c r="F16" i="98"/>
  <c r="G16" i="98" s="1"/>
  <c r="F17" i="98"/>
  <c r="G17" i="98" s="1"/>
  <c r="F18" i="98"/>
  <c r="G18" i="98" s="1"/>
  <c r="F19" i="98"/>
  <c r="G19" i="98" s="1"/>
  <c r="F20" i="98"/>
  <c r="G20" i="98" s="1"/>
  <c r="F21" i="98"/>
  <c r="G21" i="98" s="1"/>
  <c r="F22" i="98"/>
  <c r="G22" i="98" s="1"/>
  <c r="F23" i="98"/>
  <c r="G23" i="98" s="1"/>
  <c r="F24" i="98"/>
  <c r="G24" i="98" s="1"/>
  <c r="H49" i="25"/>
  <c r="H50" i="25"/>
  <c r="D24" i="87"/>
  <c r="F12" i="74"/>
  <c r="G12" i="74" s="1"/>
  <c r="F13" i="74"/>
  <c r="G13" i="74" s="1"/>
  <c r="F14" i="74"/>
  <c r="G14" i="74" s="1"/>
  <c r="F15" i="74"/>
  <c r="G15" i="74" s="1"/>
  <c r="F16" i="74"/>
  <c r="G16" i="74" s="1"/>
  <c r="F17" i="74"/>
  <c r="G17" i="74" s="1"/>
  <c r="F18" i="74"/>
  <c r="G18" i="74" s="1"/>
  <c r="F19" i="74"/>
  <c r="G19" i="74" s="1"/>
  <c r="F20" i="74"/>
  <c r="G20" i="74" s="1"/>
  <c r="F21" i="74"/>
  <c r="G21" i="74" s="1"/>
  <c r="F22" i="74"/>
  <c r="G22" i="74" s="1"/>
  <c r="F23" i="74"/>
  <c r="G23" i="74" s="1"/>
  <c r="F24" i="74"/>
  <c r="G24" i="74" s="1"/>
  <c r="F39" i="73"/>
  <c r="G39" i="73" s="1"/>
  <c r="F40" i="73"/>
  <c r="G40" i="73" s="1"/>
  <c r="F41" i="73"/>
  <c r="G41" i="73" s="1"/>
  <c r="F42" i="73"/>
  <c r="G42" i="73" s="1"/>
  <c r="F43" i="73"/>
  <c r="G43" i="73" s="1"/>
  <c r="F44" i="73"/>
  <c r="G44" i="73" s="1"/>
  <c r="F45" i="73"/>
  <c r="G45" i="73" s="1"/>
  <c r="F46" i="73"/>
  <c r="G46" i="73" s="1"/>
  <c r="F47" i="73"/>
  <c r="G47" i="73" s="1"/>
  <c r="F48" i="73"/>
  <c r="G48" i="73" s="1"/>
  <c r="F49" i="73"/>
  <c r="G49" i="73" s="1"/>
  <c r="F50" i="73"/>
  <c r="G50" i="73" s="1"/>
  <c r="F51" i="73"/>
  <c r="G51" i="73" s="1"/>
  <c r="F52" i="73"/>
  <c r="G52" i="73" s="1"/>
  <c r="F11" i="73"/>
  <c r="G11" i="73" s="1"/>
  <c r="F12" i="73"/>
  <c r="G12" i="73" s="1"/>
  <c r="F13" i="73"/>
  <c r="G13" i="73" s="1"/>
  <c r="F14" i="73"/>
  <c r="G14" i="73" s="1"/>
  <c r="F15" i="73"/>
  <c r="G15" i="73" s="1"/>
  <c r="F16" i="73"/>
  <c r="G16" i="73" s="1"/>
  <c r="F17" i="73"/>
  <c r="G17" i="73" s="1"/>
  <c r="F18" i="73"/>
  <c r="G18" i="73" s="1"/>
  <c r="F19" i="73"/>
  <c r="G19" i="73" s="1"/>
  <c r="F20" i="73"/>
  <c r="G20" i="73" s="1"/>
  <c r="F21" i="73"/>
  <c r="G21" i="73" s="1"/>
  <c r="F22" i="73"/>
  <c r="G22" i="73" s="1"/>
  <c r="F23" i="73"/>
  <c r="G23" i="73" s="1"/>
  <c r="F41" i="98"/>
  <c r="G41" i="98" s="1"/>
  <c r="F42" i="98"/>
  <c r="G42" i="98" s="1"/>
  <c r="F43" i="98"/>
  <c r="G43" i="98" s="1"/>
  <c r="F44" i="98"/>
  <c r="G44" i="98" s="1"/>
  <c r="F45" i="98"/>
  <c r="G45" i="98" s="1"/>
  <c r="F46" i="98"/>
  <c r="G46" i="98" s="1"/>
  <c r="F47" i="98"/>
  <c r="G47" i="98" s="1"/>
  <c r="F48" i="98"/>
  <c r="G48" i="98" s="1"/>
  <c r="F49" i="98"/>
  <c r="G49" i="98" s="1"/>
  <c r="F50" i="98"/>
  <c r="G50" i="98" s="1"/>
  <c r="F51" i="98"/>
  <c r="G51" i="98" s="1"/>
  <c r="F52" i="98"/>
  <c r="G52" i="98" s="1"/>
  <c r="F53" i="98"/>
  <c r="G53" i="98" s="1"/>
  <c r="F12" i="97"/>
  <c r="G12" i="97" s="1"/>
  <c r="F13" i="97"/>
  <c r="G13" i="97" s="1"/>
  <c r="F14" i="97"/>
  <c r="G14" i="97" s="1"/>
  <c r="F15" i="97"/>
  <c r="G15" i="97" s="1"/>
  <c r="F16" i="97"/>
  <c r="G16" i="97" s="1"/>
  <c r="F17" i="97"/>
  <c r="G17" i="97" s="1"/>
  <c r="F18" i="97"/>
  <c r="G18" i="97" s="1"/>
  <c r="F19" i="97"/>
  <c r="G19" i="97" s="1"/>
  <c r="F20" i="97"/>
  <c r="G20" i="97" s="1"/>
  <c r="F21" i="97"/>
  <c r="G21" i="97" s="1"/>
  <c r="F22" i="97"/>
  <c r="G22" i="97" s="1"/>
  <c r="F23" i="97"/>
  <c r="G23" i="97" s="1"/>
  <c r="F24" i="97"/>
  <c r="G24" i="97" s="1"/>
  <c r="F25" i="97"/>
  <c r="G25" i="97" s="1"/>
  <c r="F26" i="97"/>
  <c r="G26" i="97" s="1"/>
  <c r="F27" i="97"/>
  <c r="G27" i="97" s="1"/>
  <c r="H50" i="24"/>
  <c r="D49" i="86"/>
  <c r="H45" i="24"/>
  <c r="F12" i="72"/>
  <c r="G12" i="72" s="1"/>
  <c r="F13" i="72"/>
  <c r="G13" i="72" s="1"/>
  <c r="F14" i="72"/>
  <c r="G14" i="72" s="1"/>
  <c r="F15" i="72"/>
  <c r="G15" i="72" s="1"/>
  <c r="F16" i="72"/>
  <c r="G16" i="72" s="1"/>
  <c r="F17" i="72"/>
  <c r="G17" i="72" s="1"/>
  <c r="F18" i="72"/>
  <c r="G18" i="72" s="1"/>
  <c r="F19" i="72"/>
  <c r="G19" i="72" s="1"/>
  <c r="F20" i="72"/>
  <c r="G20" i="72" s="1"/>
  <c r="F21" i="72"/>
  <c r="G21" i="72" s="1"/>
  <c r="F22" i="72"/>
  <c r="G22" i="72" s="1"/>
  <c r="F23" i="72"/>
  <c r="G23" i="72" s="1"/>
  <c r="F24" i="72"/>
  <c r="G24" i="72" s="1"/>
  <c r="F25" i="72"/>
  <c r="G25" i="72" s="1"/>
  <c r="F26" i="72"/>
  <c r="G26" i="72" s="1"/>
  <c r="F27" i="72"/>
  <c r="G27" i="72" s="1"/>
  <c r="F12" i="71"/>
  <c r="G12" i="71" s="1"/>
  <c r="F13" i="71"/>
  <c r="G13" i="71" s="1"/>
  <c r="F14" i="71"/>
  <c r="G14" i="71" s="1"/>
  <c r="F15" i="71"/>
  <c r="G15" i="71" s="1"/>
  <c r="F16" i="71"/>
  <c r="G16" i="71" s="1"/>
  <c r="F17" i="71"/>
  <c r="G17" i="71" s="1"/>
  <c r="F18" i="71"/>
  <c r="G18" i="71" s="1"/>
  <c r="F19" i="71"/>
  <c r="G19" i="71" s="1"/>
  <c r="F20" i="71"/>
  <c r="G20" i="71" s="1"/>
  <c r="F21" i="71"/>
  <c r="G21" i="71" s="1"/>
  <c r="F22" i="71"/>
  <c r="G22" i="71" s="1"/>
  <c r="F23" i="71"/>
  <c r="G23" i="71" s="1"/>
  <c r="F24" i="71"/>
  <c r="G24" i="71" s="1"/>
  <c r="F25" i="71"/>
  <c r="G25" i="71" s="1"/>
  <c r="F26" i="71"/>
  <c r="G26" i="71" s="1"/>
  <c r="F27" i="71"/>
  <c r="G27" i="71" s="1"/>
  <c r="D25" i="86"/>
  <c r="F12" i="70"/>
  <c r="G12" i="70" s="1"/>
  <c r="F13" i="70"/>
  <c r="G13" i="70" s="1"/>
  <c r="F14" i="70"/>
  <c r="G14" i="70" s="1"/>
  <c r="F15" i="70"/>
  <c r="G15" i="70" s="1"/>
  <c r="F16" i="70"/>
  <c r="G16" i="70" s="1"/>
  <c r="F17" i="70"/>
  <c r="G17" i="70" s="1"/>
  <c r="F18" i="70"/>
  <c r="G18" i="70" s="1"/>
  <c r="F19" i="70"/>
  <c r="G19" i="70" s="1"/>
  <c r="F20" i="70"/>
  <c r="G20" i="70" s="1"/>
  <c r="F21" i="70"/>
  <c r="G21" i="70" s="1"/>
  <c r="F22" i="70"/>
  <c r="G22" i="70" s="1"/>
  <c r="F23" i="70"/>
  <c r="G23" i="70" s="1"/>
  <c r="F24" i="70"/>
  <c r="G24" i="70" s="1"/>
  <c r="F25" i="70"/>
  <c r="G25" i="70" s="1"/>
  <c r="F26" i="70"/>
  <c r="G26" i="70" s="1"/>
  <c r="F27" i="70"/>
  <c r="G27" i="70" s="1"/>
  <c r="F12" i="69"/>
  <c r="G12" i="69" s="1"/>
  <c r="F13" i="69"/>
  <c r="G13" i="69" s="1"/>
  <c r="F14" i="69"/>
  <c r="G14" i="69" s="1"/>
  <c r="F15" i="69"/>
  <c r="G15" i="69" s="1"/>
  <c r="F16" i="69"/>
  <c r="G16" i="69" s="1"/>
  <c r="F17" i="69"/>
  <c r="G17" i="69" s="1"/>
  <c r="F18" i="69"/>
  <c r="G18" i="69" s="1"/>
  <c r="F19" i="69"/>
  <c r="G19" i="69" s="1"/>
  <c r="F20" i="69"/>
  <c r="G20" i="69" s="1"/>
  <c r="F21" i="69"/>
  <c r="G21" i="69" s="1"/>
  <c r="F22" i="69"/>
  <c r="G22" i="69" s="1"/>
  <c r="F23" i="69"/>
  <c r="G23" i="69" s="1"/>
  <c r="F24" i="69"/>
  <c r="G24" i="69" s="1"/>
  <c r="F25" i="69"/>
  <c r="G25" i="69" s="1"/>
  <c r="F26" i="69"/>
  <c r="G26" i="69" s="1"/>
  <c r="F27" i="69"/>
  <c r="G27" i="69" s="1"/>
  <c r="F21" i="58"/>
  <c r="G21" i="58" s="1"/>
  <c r="C18" i="1"/>
  <c r="H42" i="22" s="1"/>
  <c r="G18" i="22" s="1"/>
  <c r="D20" i="90"/>
  <c r="H11" i="90"/>
  <c r="H12" i="90"/>
  <c r="H16" i="90" s="1"/>
  <c r="B20" i="90" s="1"/>
  <c r="H13" i="90"/>
  <c r="H14" i="90"/>
  <c r="I82" i="29"/>
  <c r="F10" i="83"/>
  <c r="G10" i="83" s="1"/>
  <c r="F11" i="83"/>
  <c r="G11" i="83" s="1"/>
  <c r="F12" i="83"/>
  <c r="G12" i="83" s="1"/>
  <c r="F13" i="83"/>
  <c r="G13" i="83" s="1"/>
  <c r="I77" i="29"/>
  <c r="D86" i="90"/>
  <c r="H74" i="90"/>
  <c r="H75" i="90"/>
  <c r="H76" i="90"/>
  <c r="H77" i="90"/>
  <c r="H78" i="90"/>
  <c r="H79" i="90"/>
  <c r="H80" i="90"/>
  <c r="F29" i="83"/>
  <c r="G29" i="83" s="1"/>
  <c r="F30" i="83"/>
  <c r="G30" i="83" s="1"/>
  <c r="F31" i="83"/>
  <c r="G31" i="83" s="1"/>
  <c r="F32" i="83"/>
  <c r="G32" i="83" s="1"/>
  <c r="F33" i="83"/>
  <c r="G33" i="83" s="1"/>
  <c r="F34" i="83"/>
  <c r="G34" i="83" s="1"/>
  <c r="F35" i="83"/>
  <c r="G35" i="83" s="1"/>
  <c r="G11" i="92"/>
  <c r="G13" i="92" s="1"/>
  <c r="B17" i="92" s="1"/>
  <c r="H10" i="85"/>
  <c r="H11" i="85"/>
  <c r="H12" i="85"/>
  <c r="H11" i="2"/>
  <c r="G11" i="2"/>
  <c r="H30" i="85"/>
  <c r="H31" i="85"/>
  <c r="H34" i="85"/>
  <c r="B39" i="85" s="1"/>
  <c r="D64" i="90"/>
  <c r="H56" i="90"/>
  <c r="H57" i="90"/>
  <c r="H58" i="90"/>
  <c r="F50" i="83"/>
  <c r="G50" i="83" s="1"/>
  <c r="F51" i="83"/>
  <c r="G51" i="83" s="1"/>
  <c r="F52" i="83"/>
  <c r="G52" i="83" s="1"/>
  <c r="D26" i="91"/>
  <c r="H11" i="91"/>
  <c r="H12" i="91"/>
  <c r="H13" i="91"/>
  <c r="H14" i="91"/>
  <c r="H15" i="91"/>
  <c r="H16" i="91"/>
  <c r="H17" i="91"/>
  <c r="H18" i="91"/>
  <c r="H19" i="91"/>
  <c r="H20" i="91"/>
  <c r="D43" i="90"/>
  <c r="H29" i="90"/>
  <c r="H39" i="90" s="1"/>
  <c r="B43" i="90" s="1"/>
  <c r="H30" i="90"/>
  <c r="H31" i="90"/>
  <c r="H32" i="90"/>
  <c r="H33" i="90"/>
  <c r="H34" i="90"/>
  <c r="H35" i="90"/>
  <c r="H36" i="90"/>
  <c r="H37" i="90"/>
  <c r="F11" i="84"/>
  <c r="G11" i="84" s="1"/>
  <c r="F12" i="84"/>
  <c r="G12" i="84" s="1"/>
  <c r="F13" i="84"/>
  <c r="G13" i="84" s="1"/>
  <c r="F14" i="84"/>
  <c r="G14" i="84" s="1"/>
  <c r="F15" i="84"/>
  <c r="G15" i="84" s="1"/>
  <c r="F16" i="84"/>
  <c r="G16" i="84" s="1"/>
  <c r="F17" i="84"/>
  <c r="G17" i="84" s="1"/>
  <c r="F18" i="84"/>
  <c r="G18" i="84" s="1"/>
  <c r="H32" i="89"/>
  <c r="H33" i="89"/>
  <c r="H34" i="89"/>
  <c r="H35" i="89"/>
  <c r="H36" i="89"/>
  <c r="H37" i="89"/>
  <c r="H39" i="89"/>
  <c r="B43" i="89" s="1"/>
  <c r="H11" i="89"/>
  <c r="H12" i="89"/>
  <c r="H13" i="89"/>
  <c r="H18" i="89" s="1"/>
  <c r="B22" i="89" s="1"/>
  <c r="H14" i="89"/>
  <c r="H15" i="89"/>
  <c r="H16" i="89"/>
  <c r="H32" i="88"/>
  <c r="H33" i="88"/>
  <c r="H34" i="88"/>
  <c r="H35" i="88"/>
  <c r="H39" i="88" s="1"/>
  <c r="B43" i="88" s="1"/>
  <c r="H36" i="88"/>
  <c r="H37" i="88"/>
  <c r="H11" i="87"/>
  <c r="H12" i="87"/>
  <c r="H13" i="87"/>
  <c r="H14" i="87"/>
  <c r="H15" i="87"/>
  <c r="H16" i="87"/>
  <c r="H17" i="87"/>
  <c r="H18" i="87"/>
  <c r="H20" i="87"/>
  <c r="B24" i="87" s="1"/>
  <c r="H35" i="86"/>
  <c r="H36" i="86"/>
  <c r="H37" i="86"/>
  <c r="H45" i="86" s="1"/>
  <c r="B49" i="86" s="1"/>
  <c r="H38" i="86"/>
  <c r="H39" i="86"/>
  <c r="H40" i="86"/>
  <c r="H41" i="86"/>
  <c r="H42" i="86"/>
  <c r="H43" i="86"/>
  <c r="H11" i="86"/>
  <c r="H12" i="86"/>
  <c r="H13" i="86"/>
  <c r="H21" i="86" s="1"/>
  <c r="B25" i="86" s="1"/>
  <c r="H14" i="86"/>
  <c r="H15" i="86"/>
  <c r="H16" i="86"/>
  <c r="H17" i="86"/>
  <c r="H18" i="86"/>
  <c r="H19" i="86"/>
  <c r="H11" i="88"/>
  <c r="H18" i="88" s="1"/>
  <c r="B22" i="88" s="1"/>
  <c r="H12" i="88"/>
  <c r="H13" i="88"/>
  <c r="H14" i="88"/>
  <c r="H15" i="88"/>
  <c r="H16" i="88"/>
  <c r="I38" i="22"/>
  <c r="G11" i="22"/>
  <c r="H44" i="22"/>
  <c r="H40" i="22"/>
  <c r="H45" i="22"/>
  <c r="H48" i="22"/>
  <c r="H46" i="22"/>
  <c r="H43" i="22"/>
  <c r="H38" i="22"/>
  <c r="G25" i="22" s="1"/>
  <c r="I38" i="95"/>
  <c r="F11" i="95"/>
  <c r="H44" i="95"/>
  <c r="H40" i="95"/>
  <c r="H45" i="95"/>
  <c r="H48" i="95"/>
  <c r="H46" i="95"/>
  <c r="H43" i="95"/>
  <c r="H38" i="95"/>
  <c r="F25" i="95" s="1"/>
  <c r="I38" i="17"/>
  <c r="F11" i="17"/>
  <c r="H44" i="17"/>
  <c r="H40" i="17"/>
  <c r="H45" i="17"/>
  <c r="H48" i="17"/>
  <c r="H46" i="17"/>
  <c r="H43" i="17"/>
  <c r="H38" i="17"/>
  <c r="F25" i="17" s="1"/>
  <c r="I38" i="16"/>
  <c r="F11" i="16"/>
  <c r="H44" i="16"/>
  <c r="H40" i="16"/>
  <c r="H45" i="16"/>
  <c r="H48" i="16"/>
  <c r="H46" i="16"/>
  <c r="H43" i="16"/>
  <c r="H38" i="16"/>
  <c r="F25" i="16" s="1"/>
  <c r="I51" i="15"/>
  <c r="F11" i="15"/>
  <c r="H11" i="14"/>
  <c r="G11" i="14"/>
  <c r="F11" i="14"/>
  <c r="I51" i="13"/>
  <c r="G11" i="13"/>
  <c r="F11" i="13"/>
  <c r="H11" i="11"/>
  <c r="G11" i="11"/>
  <c r="F11" i="11"/>
  <c r="G11" i="10"/>
  <c r="F11" i="10"/>
  <c r="H11" i="9"/>
  <c r="G11" i="9"/>
  <c r="F11" i="9"/>
  <c r="I51" i="8"/>
  <c r="H11" i="8"/>
  <c r="H57" i="8"/>
  <c r="H58" i="8"/>
  <c r="H15" i="8" s="1"/>
  <c r="H56" i="8"/>
  <c r="G11" i="8"/>
  <c r="H51" i="8"/>
  <c r="H25" i="8" s="1"/>
  <c r="G11" i="6"/>
  <c r="G43" i="6" s="1"/>
  <c r="H76" i="94" s="1"/>
  <c r="F11" i="6"/>
  <c r="H11" i="5"/>
  <c r="G11" i="5"/>
  <c r="F11" i="5"/>
  <c r="F11" i="4"/>
  <c r="G11" i="3"/>
  <c r="F11" i="3"/>
  <c r="F11" i="2"/>
  <c r="H61" i="8"/>
  <c r="H53" i="8"/>
  <c r="H59" i="8"/>
  <c r="H54" i="8"/>
  <c r="H52" i="8"/>
  <c r="H54" i="9"/>
  <c r="H54" i="10"/>
  <c r="H54" i="11"/>
  <c r="H54" i="13"/>
  <c r="H54" i="14"/>
  <c r="H54" i="15"/>
  <c r="H41" i="16"/>
  <c r="H39" i="16"/>
  <c r="H41" i="17"/>
  <c r="H39" i="17"/>
  <c r="H41" i="95"/>
  <c r="H39" i="95"/>
  <c r="H41" i="22"/>
  <c r="H39" i="22"/>
  <c r="H47" i="24"/>
  <c r="H46" i="24"/>
  <c r="H44" i="24"/>
  <c r="H47" i="25"/>
  <c r="H46" i="25"/>
  <c r="H44" i="25"/>
  <c r="H47" i="26"/>
  <c r="H46" i="26"/>
  <c r="H44" i="26"/>
  <c r="H47" i="27"/>
  <c r="H46" i="27"/>
  <c r="H44" i="27"/>
  <c r="H53" i="28"/>
  <c r="H52" i="28"/>
  <c r="H50" i="28"/>
  <c r="I79" i="29"/>
  <c r="I78" i="29"/>
  <c r="I76" i="29"/>
  <c r="F12" i="36"/>
  <c r="G12" i="36" s="1"/>
  <c r="F13" i="36"/>
  <c r="G13" i="36" s="1"/>
  <c r="F14" i="36"/>
  <c r="G14" i="36" s="1"/>
  <c r="F15" i="36"/>
  <c r="G15" i="36" s="1"/>
  <c r="F16" i="36"/>
  <c r="G16" i="36" s="1"/>
  <c r="F17" i="36"/>
  <c r="G17" i="36" s="1"/>
  <c r="F18" i="36"/>
  <c r="G18" i="36" s="1"/>
  <c r="F19" i="36"/>
  <c r="G19" i="36" s="1"/>
  <c r="F20" i="36"/>
  <c r="G20" i="36" s="1"/>
  <c r="F21" i="36"/>
  <c r="G21" i="36" s="1"/>
  <c r="F22" i="36"/>
  <c r="G22" i="36" s="1"/>
  <c r="F23" i="36"/>
  <c r="G23" i="36" s="1"/>
  <c r="F24" i="36"/>
  <c r="G24" i="36" s="1"/>
  <c r="F25" i="36"/>
  <c r="G25" i="36" s="1"/>
  <c r="F26" i="36"/>
  <c r="G26" i="36" s="1"/>
  <c r="H54" i="2"/>
  <c r="H54" i="3"/>
  <c r="H54" i="4"/>
  <c r="H54" i="5"/>
  <c r="H54" i="6"/>
  <c r="H58" i="15"/>
  <c r="F22" i="58"/>
  <c r="G22" i="58" s="1"/>
  <c r="H43" i="2"/>
  <c r="F75" i="94" s="1"/>
  <c r="H58" i="2"/>
  <c r="H58" i="3"/>
  <c r="H58" i="4"/>
  <c r="F25" i="34"/>
  <c r="G25" i="34" s="1"/>
  <c r="F34" i="33"/>
  <c r="G34" i="33" s="1"/>
  <c r="F13" i="33"/>
  <c r="G13" i="33" s="1"/>
  <c r="F23" i="32"/>
  <c r="G23" i="32" s="1"/>
  <c r="H58" i="5"/>
  <c r="H58" i="6"/>
  <c r="F34" i="40"/>
  <c r="G34" i="40" s="1"/>
  <c r="F13" i="40"/>
  <c r="G13" i="40" s="1"/>
  <c r="F23" i="39"/>
  <c r="G23" i="39" s="1"/>
  <c r="F24" i="46"/>
  <c r="G24" i="46" s="1"/>
  <c r="F24" i="39"/>
  <c r="G24" i="39" s="1"/>
  <c r="F24" i="32"/>
  <c r="G24" i="32" s="1"/>
  <c r="F27" i="57"/>
  <c r="G27" i="57" s="1"/>
  <c r="F28" i="51"/>
  <c r="G28" i="51" s="1"/>
  <c r="F28" i="34"/>
  <c r="G28" i="34" s="1"/>
  <c r="F37" i="47"/>
  <c r="G37" i="47" s="1"/>
  <c r="F37" i="40"/>
  <c r="G37" i="40" s="1"/>
  <c r="F37" i="33"/>
  <c r="G37" i="33" s="1"/>
  <c r="F16" i="47"/>
  <c r="G16" i="47" s="1"/>
  <c r="F16" i="40"/>
  <c r="G16" i="40" s="1"/>
  <c r="F16" i="33"/>
  <c r="G16" i="33" s="1"/>
  <c r="F27" i="56"/>
  <c r="G27" i="56" s="1"/>
  <c r="F27" i="50"/>
  <c r="G27" i="50" s="1"/>
  <c r="F26" i="46"/>
  <c r="G26" i="46" s="1"/>
  <c r="F26" i="39"/>
  <c r="G26" i="39" s="1"/>
  <c r="F26" i="32"/>
  <c r="G26" i="32" s="1"/>
  <c r="F27" i="55"/>
  <c r="G27" i="55" s="1"/>
  <c r="F25" i="57"/>
  <c r="G25" i="57" s="1"/>
  <c r="F26" i="51"/>
  <c r="G26" i="51" s="1"/>
  <c r="F26" i="34"/>
  <c r="G26" i="34" s="1"/>
  <c r="F21" i="57"/>
  <c r="G21" i="57" s="1"/>
  <c r="F22" i="51"/>
  <c r="G22" i="51" s="1"/>
  <c r="F22" i="34"/>
  <c r="G22" i="34" s="1"/>
  <c r="F19" i="57"/>
  <c r="G19" i="57" s="1"/>
  <c r="F20" i="51"/>
  <c r="G20" i="51" s="1"/>
  <c r="F20" i="34"/>
  <c r="G20" i="34" s="1"/>
  <c r="F17" i="57"/>
  <c r="G17" i="57" s="1"/>
  <c r="F18" i="51"/>
  <c r="G18" i="51" s="1"/>
  <c r="F18" i="34"/>
  <c r="G18" i="34" s="1"/>
  <c r="F18" i="56"/>
  <c r="G18" i="56" s="1"/>
  <c r="F18" i="50"/>
  <c r="G18" i="50" s="1"/>
  <c r="F18" i="46"/>
  <c r="G18" i="46" s="1"/>
  <c r="F18" i="39"/>
  <c r="G18" i="39" s="1"/>
  <c r="F18" i="32"/>
  <c r="G18" i="32" s="1"/>
  <c r="F18" i="55"/>
  <c r="G18" i="55" s="1"/>
  <c r="F15" i="57"/>
  <c r="G15" i="57" s="1"/>
  <c r="F16" i="51"/>
  <c r="G16" i="51" s="1"/>
  <c r="F16" i="34"/>
  <c r="G16" i="34" s="1"/>
  <c r="F16" i="56"/>
  <c r="G16" i="56" s="1"/>
  <c r="F16" i="50"/>
  <c r="G16" i="50" s="1"/>
  <c r="F16" i="46"/>
  <c r="G16" i="46" s="1"/>
  <c r="F16" i="39"/>
  <c r="G16" i="39" s="1"/>
  <c r="F16" i="32"/>
  <c r="G16" i="32" s="1"/>
  <c r="F16" i="55"/>
  <c r="G16" i="55" s="1"/>
  <c r="F13" i="57"/>
  <c r="G13" i="57" s="1"/>
  <c r="F14" i="51"/>
  <c r="G14" i="51" s="1"/>
  <c r="F14" i="34"/>
  <c r="G14" i="34" s="1"/>
  <c r="F15" i="56"/>
  <c r="G15" i="56" s="1"/>
  <c r="F15" i="50"/>
  <c r="G15" i="50" s="1"/>
  <c r="F15" i="46"/>
  <c r="G15" i="46" s="1"/>
  <c r="F15" i="39"/>
  <c r="G15" i="39" s="1"/>
  <c r="F15" i="32"/>
  <c r="G15" i="32" s="1"/>
  <c r="F15" i="55"/>
  <c r="G15" i="55" s="1"/>
  <c r="F11" i="57"/>
  <c r="G11" i="57" s="1"/>
  <c r="F12" i="51"/>
  <c r="G12" i="51" s="1"/>
  <c r="F12" i="34"/>
  <c r="G12" i="34" s="1"/>
  <c r="F13" i="56"/>
  <c r="G13" i="56" s="1"/>
  <c r="F13" i="50"/>
  <c r="G13" i="50" s="1"/>
  <c r="F13" i="46"/>
  <c r="G13" i="46" s="1"/>
  <c r="F13" i="39"/>
  <c r="G13" i="39" s="1"/>
  <c r="F13" i="32"/>
  <c r="G13" i="32" s="1"/>
  <c r="F13" i="55"/>
  <c r="G13" i="55" s="1"/>
  <c r="F27" i="53"/>
  <c r="G27" i="53" s="1"/>
  <c r="F26" i="53"/>
  <c r="G26" i="53" s="1"/>
  <c r="F25" i="53"/>
  <c r="G25" i="53" s="1"/>
  <c r="F24" i="53"/>
  <c r="G24" i="53" s="1"/>
  <c r="F22" i="53"/>
  <c r="G22" i="53" s="1"/>
  <c r="F21" i="53"/>
  <c r="G21" i="53" s="1"/>
  <c r="F20" i="53"/>
  <c r="G20" i="53" s="1"/>
  <c r="F19" i="53"/>
  <c r="G19" i="53" s="1"/>
  <c r="F18" i="53"/>
  <c r="G18" i="53" s="1"/>
  <c r="F17" i="53"/>
  <c r="G17" i="53" s="1"/>
  <c r="F16" i="53"/>
  <c r="G16" i="53" s="1"/>
  <c r="F15" i="53"/>
  <c r="G15" i="53" s="1"/>
  <c r="F14" i="53"/>
  <c r="G14" i="53" s="1"/>
  <c r="F13" i="53"/>
  <c r="G13" i="53" s="1"/>
  <c r="F12" i="53"/>
  <c r="G12" i="53" s="1"/>
  <c r="F25" i="58"/>
  <c r="G25" i="58" s="1"/>
  <c r="F16" i="58"/>
  <c r="G16" i="58" s="1"/>
  <c r="F14" i="58"/>
  <c r="G14" i="58" s="1"/>
  <c r="F13" i="58"/>
  <c r="G13" i="58" s="1"/>
  <c r="F11" i="58"/>
  <c r="G11" i="58" s="1"/>
  <c r="H58" i="10"/>
  <c r="H58" i="9"/>
  <c r="F34" i="47"/>
  <c r="G34" i="47" s="1"/>
  <c r="F13" i="47"/>
  <c r="G13" i="47" s="1"/>
  <c r="F23" i="46"/>
  <c r="G23" i="46" s="1"/>
  <c r="H58" i="11"/>
  <c r="F25" i="51"/>
  <c r="G25" i="51" s="1"/>
  <c r="F24" i="50"/>
  <c r="G24" i="50" s="1"/>
  <c r="F36" i="47"/>
  <c r="G36" i="47" s="1"/>
  <c r="F36" i="40"/>
  <c r="G36" i="40" s="1"/>
  <c r="F36" i="33"/>
  <c r="G36" i="33" s="1"/>
  <c r="F15" i="47"/>
  <c r="G15" i="47" s="1"/>
  <c r="F15" i="40"/>
  <c r="G15" i="40" s="1"/>
  <c r="F15" i="33"/>
  <c r="G15" i="33" s="1"/>
  <c r="F25" i="56"/>
  <c r="G25" i="56" s="1"/>
  <c r="F25" i="50"/>
  <c r="G25" i="50" s="1"/>
  <c r="F25" i="55"/>
  <c r="G25" i="55" s="1"/>
  <c r="F19" i="56"/>
  <c r="G19" i="56" s="1"/>
  <c r="F19" i="50"/>
  <c r="G19" i="50" s="1"/>
  <c r="F19" i="46"/>
  <c r="G19" i="46" s="1"/>
  <c r="F19" i="39"/>
  <c r="G19" i="39" s="1"/>
  <c r="F19" i="32"/>
  <c r="G19" i="32" s="1"/>
  <c r="F19" i="55"/>
  <c r="G19" i="55" s="1"/>
  <c r="F26" i="57"/>
  <c r="G26" i="57" s="1"/>
  <c r="F27" i="51"/>
  <c r="G27" i="51" s="1"/>
  <c r="F27" i="34"/>
  <c r="G27" i="34" s="1"/>
  <c r="F35" i="47"/>
  <c r="G35" i="47" s="1"/>
  <c r="F35" i="40"/>
  <c r="G35" i="40" s="1"/>
  <c r="F35" i="33"/>
  <c r="G35" i="33" s="1"/>
  <c r="F14" i="47"/>
  <c r="G14" i="47" s="1"/>
  <c r="F14" i="40"/>
  <c r="G14" i="40" s="1"/>
  <c r="F14" i="33"/>
  <c r="G14" i="33" s="1"/>
  <c r="F26" i="56"/>
  <c r="G26" i="56" s="1"/>
  <c r="F26" i="50"/>
  <c r="G26" i="50" s="1"/>
  <c r="F25" i="46"/>
  <c r="G25" i="46" s="1"/>
  <c r="F25" i="39"/>
  <c r="G25" i="39" s="1"/>
  <c r="F25" i="32"/>
  <c r="G25" i="32" s="1"/>
  <c r="F26" i="55"/>
  <c r="G26" i="55" s="1"/>
  <c r="H58" i="14"/>
  <c r="F24" i="57"/>
  <c r="G24" i="57" s="1"/>
  <c r="F24" i="56"/>
  <c r="G24" i="56" s="1"/>
  <c r="F24" i="55"/>
  <c r="G24" i="55" s="1"/>
  <c r="F22" i="57"/>
  <c r="G22" i="57" s="1"/>
  <c r="F23" i="51"/>
  <c r="G23" i="51" s="1"/>
  <c r="F23" i="34"/>
  <c r="G23" i="34" s="1"/>
  <c r="F22" i="56"/>
  <c r="G22" i="56" s="1"/>
  <c r="F22" i="50"/>
  <c r="G22" i="50" s="1"/>
  <c r="F21" i="46"/>
  <c r="G21" i="46" s="1"/>
  <c r="F21" i="39"/>
  <c r="G21" i="39" s="1"/>
  <c r="F21" i="32"/>
  <c r="G21" i="32" s="1"/>
  <c r="F22" i="55"/>
  <c r="G22" i="55" s="1"/>
  <c r="F20" i="57"/>
  <c r="G20" i="57" s="1"/>
  <c r="F21" i="51"/>
  <c r="G21" i="51" s="1"/>
  <c r="F21" i="34"/>
  <c r="G21" i="34" s="1"/>
  <c r="F21" i="56"/>
  <c r="G21" i="56" s="1"/>
  <c r="F21" i="50"/>
  <c r="G21" i="50" s="1"/>
  <c r="F20" i="46"/>
  <c r="G20" i="46" s="1"/>
  <c r="F20" i="39"/>
  <c r="G20" i="39" s="1"/>
  <c r="F20" i="32"/>
  <c r="G20" i="32" s="1"/>
  <c r="F21" i="55"/>
  <c r="G21" i="55" s="1"/>
  <c r="F18" i="57"/>
  <c r="G18" i="57" s="1"/>
  <c r="F19" i="51"/>
  <c r="G19" i="51" s="1"/>
  <c r="F19" i="34"/>
  <c r="G19" i="34" s="1"/>
  <c r="F20" i="56"/>
  <c r="G20" i="56" s="1"/>
  <c r="F20" i="50"/>
  <c r="G20" i="50" s="1"/>
  <c r="F20" i="55"/>
  <c r="G20" i="55" s="1"/>
  <c r="F16" i="57"/>
  <c r="G16" i="57" s="1"/>
  <c r="F17" i="51"/>
  <c r="G17" i="51" s="1"/>
  <c r="F17" i="34"/>
  <c r="G17" i="34" s="1"/>
  <c r="F17" i="56"/>
  <c r="G17" i="56" s="1"/>
  <c r="F17" i="50"/>
  <c r="G17" i="50" s="1"/>
  <c r="F17" i="46"/>
  <c r="G17" i="46" s="1"/>
  <c r="F17" i="39"/>
  <c r="G17" i="39" s="1"/>
  <c r="F17" i="32"/>
  <c r="G17" i="32" s="1"/>
  <c r="F17" i="55"/>
  <c r="G17" i="55" s="1"/>
  <c r="F14" i="57"/>
  <c r="G14" i="57" s="1"/>
  <c r="F15" i="51"/>
  <c r="G15" i="51" s="1"/>
  <c r="F15" i="34"/>
  <c r="G15" i="34" s="1"/>
  <c r="F12" i="57"/>
  <c r="G12" i="57" s="1"/>
  <c r="F13" i="51"/>
  <c r="G13" i="51" s="1"/>
  <c r="F13" i="34"/>
  <c r="G13" i="34" s="1"/>
  <c r="F14" i="56"/>
  <c r="G14" i="56" s="1"/>
  <c r="F14" i="50"/>
  <c r="G14" i="50" s="1"/>
  <c r="F14" i="46"/>
  <c r="G14" i="46" s="1"/>
  <c r="F14" i="39"/>
  <c r="G14" i="39" s="1"/>
  <c r="F14" i="32"/>
  <c r="G14" i="32" s="1"/>
  <c r="F14" i="55"/>
  <c r="G14" i="55" s="1"/>
  <c r="F10" i="57"/>
  <c r="G10" i="57" s="1"/>
  <c r="F11" i="51"/>
  <c r="G11" i="51" s="1"/>
  <c r="F11" i="34"/>
  <c r="G11" i="34" s="1"/>
  <c r="F12" i="56"/>
  <c r="G12" i="56" s="1"/>
  <c r="F12" i="50"/>
  <c r="G12" i="50" s="1"/>
  <c r="F12" i="46"/>
  <c r="G12" i="46" s="1"/>
  <c r="F12" i="39"/>
  <c r="G12" i="39" s="1"/>
  <c r="F12" i="32"/>
  <c r="G12" i="32" s="1"/>
  <c r="F12" i="55"/>
  <c r="G12" i="55" s="1"/>
  <c r="F16" i="54"/>
  <c r="G16" i="54" s="1"/>
  <c r="F15" i="54"/>
  <c r="G15" i="54" s="1"/>
  <c r="F14" i="54"/>
  <c r="G14" i="54" s="1"/>
  <c r="F13" i="54"/>
  <c r="G13" i="54" s="1"/>
  <c r="F26" i="30"/>
  <c r="G26" i="30" s="1"/>
  <c r="F25" i="30"/>
  <c r="G25" i="30" s="1"/>
  <c r="F24" i="30"/>
  <c r="G24" i="30" s="1"/>
  <c r="F23" i="30"/>
  <c r="G23" i="30" s="1"/>
  <c r="F21" i="30"/>
  <c r="G21" i="30" s="1"/>
  <c r="F20" i="30"/>
  <c r="G20" i="30" s="1"/>
  <c r="F19" i="30"/>
  <c r="G19" i="30" s="1"/>
  <c r="F18" i="30"/>
  <c r="G18" i="30" s="1"/>
  <c r="F17" i="30"/>
  <c r="G17" i="30" s="1"/>
  <c r="F16" i="30"/>
  <c r="G16" i="30" s="1"/>
  <c r="F15" i="30"/>
  <c r="G15" i="30" s="1"/>
  <c r="F14" i="30"/>
  <c r="G14" i="30" s="1"/>
  <c r="F13" i="30"/>
  <c r="G13" i="30" s="1"/>
  <c r="F12" i="30"/>
  <c r="G12" i="30" s="1"/>
  <c r="F26" i="44"/>
  <c r="G26" i="44" s="1"/>
  <c r="F25" i="44"/>
  <c r="G25" i="44" s="1"/>
  <c r="F24" i="44"/>
  <c r="G24" i="44" s="1"/>
  <c r="F23" i="44"/>
  <c r="G23" i="44" s="1"/>
  <c r="F21" i="44"/>
  <c r="G21" i="44" s="1"/>
  <c r="F20" i="44"/>
  <c r="G20" i="44" s="1"/>
  <c r="F19" i="44"/>
  <c r="G19" i="44" s="1"/>
  <c r="F18" i="44"/>
  <c r="G18" i="44" s="1"/>
  <c r="F17" i="44"/>
  <c r="G17" i="44" s="1"/>
  <c r="F16" i="44"/>
  <c r="G16" i="44" s="1"/>
  <c r="F15" i="44"/>
  <c r="G15" i="44" s="1"/>
  <c r="F14" i="44"/>
  <c r="G14" i="44" s="1"/>
  <c r="F13" i="44"/>
  <c r="G13" i="44" s="1"/>
  <c r="F12" i="44"/>
  <c r="G12" i="44" s="1"/>
  <c r="F26" i="37"/>
  <c r="G26" i="37" s="1"/>
  <c r="F25" i="37"/>
  <c r="G25" i="37" s="1"/>
  <c r="F24" i="37"/>
  <c r="G24" i="37" s="1"/>
  <c r="F23" i="37"/>
  <c r="G23" i="37" s="1"/>
  <c r="F21" i="37"/>
  <c r="G21" i="37" s="1"/>
  <c r="F20" i="37"/>
  <c r="G20" i="37" s="1"/>
  <c r="F19" i="37"/>
  <c r="G19" i="37" s="1"/>
  <c r="F18" i="37"/>
  <c r="G18" i="37" s="1"/>
  <c r="F17" i="37"/>
  <c r="G17" i="37" s="1"/>
  <c r="F16" i="37"/>
  <c r="G16" i="37" s="1"/>
  <c r="F15" i="37"/>
  <c r="G15" i="37" s="1"/>
  <c r="F14" i="37"/>
  <c r="G14" i="37" s="1"/>
  <c r="F13" i="37"/>
  <c r="G13" i="37" s="1"/>
  <c r="F12" i="37"/>
  <c r="G12" i="37" s="1"/>
  <c r="F26" i="31"/>
  <c r="G26" i="31" s="1"/>
  <c r="F25" i="31"/>
  <c r="G25" i="31" s="1"/>
  <c r="F24" i="31"/>
  <c r="G24" i="31" s="1"/>
  <c r="F23" i="31"/>
  <c r="G23" i="31" s="1"/>
  <c r="F21" i="31"/>
  <c r="G21" i="31" s="1"/>
  <c r="F20" i="31"/>
  <c r="G20" i="31" s="1"/>
  <c r="F19" i="31"/>
  <c r="G19" i="31" s="1"/>
  <c r="F18" i="31"/>
  <c r="G18" i="31" s="1"/>
  <c r="F17" i="31"/>
  <c r="G17" i="31" s="1"/>
  <c r="F16" i="31"/>
  <c r="G16" i="31" s="1"/>
  <c r="F15" i="31"/>
  <c r="G15" i="31" s="1"/>
  <c r="F14" i="31"/>
  <c r="G14" i="31" s="1"/>
  <c r="F13" i="31"/>
  <c r="G13" i="31" s="1"/>
  <c r="F12" i="31"/>
  <c r="G12" i="31" s="1"/>
  <c r="F26" i="38"/>
  <c r="G26" i="38" s="1"/>
  <c r="F25" i="38"/>
  <c r="G25" i="38" s="1"/>
  <c r="F24" i="38"/>
  <c r="G24" i="38" s="1"/>
  <c r="F23" i="38"/>
  <c r="G23" i="38" s="1"/>
  <c r="F21" i="38"/>
  <c r="G21" i="38" s="1"/>
  <c r="F20" i="38"/>
  <c r="G20" i="38" s="1"/>
  <c r="F19" i="38"/>
  <c r="G19" i="38" s="1"/>
  <c r="F18" i="38"/>
  <c r="G18" i="38" s="1"/>
  <c r="F17" i="38"/>
  <c r="G17" i="38" s="1"/>
  <c r="F16" i="38"/>
  <c r="G16" i="38" s="1"/>
  <c r="F15" i="38"/>
  <c r="G15" i="38" s="1"/>
  <c r="F14" i="38"/>
  <c r="G14" i="38" s="1"/>
  <c r="F13" i="38"/>
  <c r="G13" i="38" s="1"/>
  <c r="F12" i="38"/>
  <c r="G12" i="38" s="1"/>
  <c r="F26" i="45"/>
  <c r="G26" i="45" s="1"/>
  <c r="F25" i="45"/>
  <c r="G25" i="45" s="1"/>
  <c r="F24" i="45"/>
  <c r="G24" i="45" s="1"/>
  <c r="F23" i="45"/>
  <c r="G23" i="45" s="1"/>
  <c r="F21" i="45"/>
  <c r="G21" i="45" s="1"/>
  <c r="F20" i="45"/>
  <c r="G20" i="45" s="1"/>
  <c r="F19" i="45"/>
  <c r="G19" i="45" s="1"/>
  <c r="F18" i="45"/>
  <c r="G18" i="45" s="1"/>
  <c r="F17" i="45"/>
  <c r="G17" i="45" s="1"/>
  <c r="F16" i="45"/>
  <c r="G16" i="45" s="1"/>
  <c r="F15" i="45"/>
  <c r="G15" i="45" s="1"/>
  <c r="F14" i="45"/>
  <c r="G14" i="45" s="1"/>
  <c r="F13" i="45"/>
  <c r="G13" i="45" s="1"/>
  <c r="F12" i="45"/>
  <c r="G12" i="45" s="1"/>
  <c r="F27" i="49"/>
  <c r="G27" i="49" s="1"/>
  <c r="F26" i="49"/>
  <c r="G26" i="49" s="1"/>
  <c r="F25" i="49"/>
  <c r="G25" i="49" s="1"/>
  <c r="F24" i="49"/>
  <c r="G24" i="49" s="1"/>
  <c r="F22" i="49"/>
  <c r="G22" i="49" s="1"/>
  <c r="F21" i="49"/>
  <c r="G21" i="49" s="1"/>
  <c r="F20" i="49"/>
  <c r="G20" i="49" s="1"/>
  <c r="F19" i="49"/>
  <c r="G19" i="49" s="1"/>
  <c r="F18" i="49"/>
  <c r="G18" i="49" s="1"/>
  <c r="F17" i="49"/>
  <c r="G17" i="49" s="1"/>
  <c r="F16" i="49"/>
  <c r="G16" i="49" s="1"/>
  <c r="F15" i="49"/>
  <c r="G15" i="49" s="1"/>
  <c r="F14" i="49"/>
  <c r="G14" i="49" s="1"/>
  <c r="F13" i="49"/>
  <c r="G13" i="49" s="1"/>
  <c r="F12" i="49"/>
  <c r="G12" i="49" s="1"/>
  <c r="F43" i="14" l="1"/>
  <c r="E79" i="94" s="1"/>
  <c r="G43" i="5"/>
  <c r="E76" i="94" s="1"/>
  <c r="G43" i="10"/>
  <c r="H77" i="94" s="1"/>
  <c r="F24" i="13"/>
  <c r="G43" i="14"/>
  <c r="F79" i="94" s="1"/>
  <c r="F43" i="6"/>
  <c r="G76" i="94" s="1"/>
  <c r="H43" i="88"/>
  <c r="F14" i="27" s="1"/>
  <c r="F15" i="27" s="1"/>
  <c r="F24" i="2"/>
  <c r="G24" i="2" s="1"/>
  <c r="F36" i="2"/>
  <c r="D55" i="93" s="1"/>
  <c r="F24" i="6"/>
  <c r="F26" i="6" s="1"/>
  <c r="F36" i="4"/>
  <c r="I55" i="93" s="1"/>
  <c r="H43" i="89"/>
  <c r="H14" i="28" s="1"/>
  <c r="H15" i="28" s="1"/>
  <c r="H43" i="11"/>
  <c r="I78" i="94" s="1"/>
  <c r="H25" i="86"/>
  <c r="F13" i="24" s="1"/>
  <c r="F14" i="24" s="1"/>
  <c r="H43" i="90"/>
  <c r="F15" i="29" s="1"/>
  <c r="F16" i="29" s="1"/>
  <c r="F24" i="11"/>
  <c r="G24" i="11" s="1"/>
  <c r="G26" i="11" s="1"/>
  <c r="F24" i="9"/>
  <c r="G24" i="9" s="1"/>
  <c r="H22" i="88"/>
  <c r="F14" i="26" s="1"/>
  <c r="F15" i="26" s="1"/>
  <c r="F24" i="10"/>
  <c r="G24" i="10" s="1"/>
  <c r="F24" i="5"/>
  <c r="H24" i="5" s="1"/>
  <c r="F43" i="9"/>
  <c r="D77" i="94" s="1"/>
  <c r="H22" i="91"/>
  <c r="B26" i="91" s="1"/>
  <c r="F36" i="9"/>
  <c r="D57" i="93" s="1"/>
  <c r="G36" i="14"/>
  <c r="F59" i="93" s="1"/>
  <c r="F24" i="4"/>
  <c r="F24" i="15"/>
  <c r="F26" i="15" s="1"/>
  <c r="H60" i="90"/>
  <c r="B64" i="90" s="1"/>
  <c r="H64" i="90" s="1"/>
  <c r="H15" i="29" s="1"/>
  <c r="H16" i="29" s="1"/>
  <c r="F36" i="14"/>
  <c r="E59" i="93" s="1"/>
  <c r="F24" i="14"/>
  <c r="H24" i="14" s="1"/>
  <c r="F24" i="3"/>
  <c r="F26" i="3" s="1"/>
  <c r="G16" i="22"/>
  <c r="G30" i="22"/>
  <c r="H15" i="85"/>
  <c r="B20" i="85" s="1"/>
  <c r="H20" i="85" s="1"/>
  <c r="H82" i="90"/>
  <c r="B86" i="90" s="1"/>
  <c r="F16" i="17"/>
  <c r="F16" i="16"/>
  <c r="F16" i="95"/>
  <c r="F25" i="15"/>
  <c r="F25" i="14"/>
  <c r="H25" i="14"/>
  <c r="G25" i="14"/>
  <c r="G25" i="11"/>
  <c r="H25" i="11"/>
  <c r="F25" i="11"/>
  <c r="F25" i="13"/>
  <c r="G25" i="13"/>
  <c r="F15" i="16"/>
  <c r="F17" i="16" s="1"/>
  <c r="F15" i="17"/>
  <c r="F17" i="17" s="1"/>
  <c r="F15" i="95"/>
  <c r="F17" i="95" s="1"/>
  <c r="G15" i="22"/>
  <c r="G17" i="22" s="1"/>
  <c r="H24" i="87"/>
  <c r="J13" i="25" s="1"/>
  <c r="J14" i="25" s="1"/>
  <c r="H22" i="89"/>
  <c r="H14" i="27" s="1"/>
  <c r="H15" i="27" s="1"/>
  <c r="D20" i="94"/>
  <c r="E20" i="94" s="1"/>
  <c r="H93" i="94"/>
  <c r="D19" i="94"/>
  <c r="E19" i="94" s="1"/>
  <c r="H92" i="94"/>
  <c r="D18" i="94"/>
  <c r="E18" i="94" s="1"/>
  <c r="H91" i="94"/>
  <c r="H52" i="15"/>
  <c r="G25" i="3"/>
  <c r="F25" i="3"/>
  <c r="H25" i="2"/>
  <c r="G25" i="2"/>
  <c r="F25" i="2"/>
  <c r="F25" i="9"/>
  <c r="G25" i="9"/>
  <c r="H25" i="9"/>
  <c r="F25" i="5"/>
  <c r="H25" i="5"/>
  <c r="G25" i="5"/>
  <c r="F25" i="10"/>
  <c r="G25" i="10"/>
  <c r="F25" i="6"/>
  <c r="G25" i="6"/>
  <c r="G43" i="13"/>
  <c r="F25" i="4"/>
  <c r="F36" i="13"/>
  <c r="E60" i="93" s="1"/>
  <c r="J60" i="93" s="1"/>
  <c r="K60" i="93" s="1"/>
  <c r="F43" i="11"/>
  <c r="G43" i="94" s="1"/>
  <c r="H43" i="94" s="1"/>
  <c r="G43" i="9"/>
  <c r="E77" i="94" s="1"/>
  <c r="H36" i="9"/>
  <c r="F57" i="93" s="1"/>
  <c r="G36" i="6"/>
  <c r="H56" i="93" s="1"/>
  <c r="H43" i="5"/>
  <c r="F76" i="94" s="1"/>
  <c r="F43" i="4"/>
  <c r="I75" i="94" s="1"/>
  <c r="F43" i="3"/>
  <c r="G75" i="94" s="1"/>
  <c r="G15" i="8"/>
  <c r="G17" i="8" s="1"/>
  <c r="G30" i="8"/>
  <c r="G45" i="94" s="1"/>
  <c r="H45" i="94" s="1"/>
  <c r="H30" i="8"/>
  <c r="H17" i="8"/>
  <c r="G36" i="2"/>
  <c r="E55" i="93" s="1"/>
  <c r="F36" i="6"/>
  <c r="G56" i="93" s="1"/>
  <c r="G36" i="9"/>
  <c r="E57" i="93" s="1"/>
  <c r="F43" i="2"/>
  <c r="G43" i="3"/>
  <c r="H75" i="94" s="1"/>
  <c r="H43" i="9"/>
  <c r="F77" i="94" s="1"/>
  <c r="H55" i="15"/>
  <c r="F27" i="15" s="1"/>
  <c r="F28" i="15" s="1"/>
  <c r="H55" i="9"/>
  <c r="H55" i="6"/>
  <c r="H55" i="2"/>
  <c r="H55" i="5"/>
  <c r="I80" i="29"/>
  <c r="H54" i="28"/>
  <c r="H48" i="27"/>
  <c r="H48" i="26"/>
  <c r="H48" i="25"/>
  <c r="H48" i="24"/>
  <c r="H42" i="16"/>
  <c r="F18" i="16" s="1"/>
  <c r="F19" i="16" s="1"/>
  <c r="H42" i="95"/>
  <c r="F18" i="95" s="1"/>
  <c r="F19" i="95" s="1"/>
  <c r="H55" i="3"/>
  <c r="H55" i="14"/>
  <c r="H55" i="13"/>
  <c r="H55" i="4"/>
  <c r="F27" i="4" s="1"/>
  <c r="F28" i="4" s="1"/>
  <c r="H55" i="11"/>
  <c r="H55" i="10"/>
  <c r="H55" i="8"/>
  <c r="H42" i="17"/>
  <c r="F18" i="17" s="1"/>
  <c r="F19" i="17" s="1"/>
  <c r="G27" i="44"/>
  <c r="B31" i="44" s="1"/>
  <c r="D31" i="44" s="1"/>
  <c r="G17" i="54"/>
  <c r="B21" i="54" s="1"/>
  <c r="D21" i="54" s="1"/>
  <c r="G19" i="22"/>
  <c r="G27" i="45"/>
  <c r="B31" i="45" s="1"/>
  <c r="D31" i="45" s="1"/>
  <c r="G25" i="8"/>
  <c r="G27" i="30"/>
  <c r="B31" i="30" s="1"/>
  <c r="C31" i="30" s="1"/>
  <c r="G27" i="31"/>
  <c r="B31" i="31" s="1"/>
  <c r="C31" i="31" s="1"/>
  <c r="H26" i="91"/>
  <c r="G15" i="29" s="1"/>
  <c r="G16" i="29" s="1"/>
  <c r="H36" i="2"/>
  <c r="F55" i="93" s="1"/>
  <c r="I81" i="29"/>
  <c r="H20" i="90"/>
  <c r="E15" i="29" s="1"/>
  <c r="E16" i="29" s="1"/>
  <c r="H49" i="24"/>
  <c r="H45" i="25"/>
  <c r="H49" i="26"/>
  <c r="H45" i="27"/>
  <c r="H51" i="28"/>
  <c r="H52" i="13"/>
  <c r="H52" i="2"/>
  <c r="H52" i="5"/>
  <c r="H52" i="9"/>
  <c r="H52" i="3"/>
  <c r="H52" i="6"/>
  <c r="H56" i="4"/>
  <c r="H51" i="3"/>
  <c r="H56" i="2"/>
  <c r="H51" i="15"/>
  <c r="F36" i="15" s="1"/>
  <c r="E61" i="93" s="1"/>
  <c r="J61" i="93" s="1"/>
  <c r="K61" i="93" s="1"/>
  <c r="H56" i="14"/>
  <c r="H51" i="11"/>
  <c r="H56" i="9"/>
  <c r="H51" i="5"/>
  <c r="H56" i="13"/>
  <c r="H51" i="10"/>
  <c r="F36" i="10" s="1"/>
  <c r="G57" i="93" s="1"/>
  <c r="G82" i="93"/>
  <c r="H82" i="93" s="1"/>
  <c r="G84" i="93"/>
  <c r="H84" i="93" s="1"/>
  <c r="G86" i="93"/>
  <c r="H86" i="93" s="1"/>
  <c r="G90" i="93"/>
  <c r="G92" i="93"/>
  <c r="G94" i="93"/>
  <c r="G98" i="93"/>
  <c r="G36" i="10"/>
  <c r="H57" i="93" s="1"/>
  <c r="F93" i="94"/>
  <c r="G28" i="49"/>
  <c r="B32" i="49" s="1"/>
  <c r="C32" i="49" s="1"/>
  <c r="G27" i="37"/>
  <c r="B31" i="37" s="1"/>
  <c r="C31" i="37" s="1"/>
  <c r="G22" i="81"/>
  <c r="B26" i="81" s="1"/>
  <c r="D26" i="81" s="1"/>
  <c r="G27" i="38"/>
  <c r="B31" i="38" s="1"/>
  <c r="C31" i="38" s="1"/>
  <c r="F43" i="13"/>
  <c r="F30" i="16"/>
  <c r="G47" i="94" s="1"/>
  <c r="H47" i="94" s="1"/>
  <c r="F30" i="17"/>
  <c r="G48" i="94" s="1"/>
  <c r="H48" i="94" s="1"/>
  <c r="F30" i="95"/>
  <c r="G49" i="94" s="1"/>
  <c r="H49" i="94" s="1"/>
  <c r="H49" i="86"/>
  <c r="I13" i="24" s="1"/>
  <c r="I14" i="24" s="1"/>
  <c r="H39" i="85"/>
  <c r="G17" i="6" s="1"/>
  <c r="G18" i="6" s="1"/>
  <c r="G22" i="82"/>
  <c r="B26" i="82" s="1"/>
  <c r="D26" i="82" s="1"/>
  <c r="G26" i="58"/>
  <c r="B30" i="58" s="1"/>
  <c r="C30" i="58" s="1"/>
  <c r="G22" i="78"/>
  <c r="B26" i="78" s="1"/>
  <c r="D26" i="78" s="1"/>
  <c r="G27" i="98"/>
  <c r="B31" i="98" s="1"/>
  <c r="C31" i="98" s="1"/>
  <c r="G26" i="73"/>
  <c r="B30" i="73" s="1"/>
  <c r="D30" i="73" s="1"/>
  <c r="G54" i="73"/>
  <c r="B58" i="73" s="1"/>
  <c r="G56" i="98"/>
  <c r="B60" i="98" s="1"/>
  <c r="C60" i="98" s="1"/>
  <c r="G27" i="74"/>
  <c r="B31" i="74" s="1"/>
  <c r="D31" i="74" s="1"/>
  <c r="G23" i="76"/>
  <c r="B27" i="76" s="1"/>
  <c r="D27" i="76" s="1"/>
  <c r="H86" i="90"/>
  <c r="I15" i="29" s="1"/>
  <c r="I16" i="29" s="1"/>
  <c r="G22" i="79"/>
  <c r="B26" i="79" s="1"/>
  <c r="G22" i="75"/>
  <c r="B26" i="75" s="1"/>
  <c r="D31" i="37"/>
  <c r="G37" i="83"/>
  <c r="B41" i="83" s="1"/>
  <c r="G15" i="83"/>
  <c r="B19" i="83" s="1"/>
  <c r="G38" i="47"/>
  <c r="B42" i="47" s="1"/>
  <c r="D42" i="47" s="1"/>
  <c r="F43" i="15"/>
  <c r="G17" i="47"/>
  <c r="B21" i="47" s="1"/>
  <c r="C21" i="47" s="1"/>
  <c r="G30" i="69"/>
  <c r="B34" i="69" s="1"/>
  <c r="C34" i="69" s="1"/>
  <c r="G17" i="40"/>
  <c r="B21" i="40" s="1"/>
  <c r="G38" i="33"/>
  <c r="B43" i="33" s="1"/>
  <c r="G28" i="55"/>
  <c r="B32" i="55" s="1"/>
  <c r="G27" i="39"/>
  <c r="B31" i="39" s="1"/>
  <c r="G28" i="50"/>
  <c r="B32" i="50" s="1"/>
  <c r="G29" i="34"/>
  <c r="B33" i="34" s="1"/>
  <c r="G28" i="57"/>
  <c r="B31" i="57" s="1"/>
  <c r="G28" i="53"/>
  <c r="B32" i="53" s="1"/>
  <c r="G27" i="32"/>
  <c r="B31" i="32" s="1"/>
  <c r="G27" i="46"/>
  <c r="B31" i="46" s="1"/>
  <c r="G28" i="56"/>
  <c r="B32" i="56" s="1"/>
  <c r="G29" i="51"/>
  <c r="B32" i="51" s="1"/>
  <c r="G38" i="40"/>
  <c r="B42" i="40" s="1"/>
  <c r="G17" i="33"/>
  <c r="B21" i="33" s="1"/>
  <c r="C17" i="92"/>
  <c r="D17" i="92"/>
  <c r="G20" i="84"/>
  <c r="B25" i="84" s="1"/>
  <c r="G30" i="70"/>
  <c r="B34" i="70" s="1"/>
  <c r="G30" i="97"/>
  <c r="B34" i="97" s="1"/>
  <c r="G22" i="80"/>
  <c r="B26" i="80" s="1"/>
  <c r="H13" i="24"/>
  <c r="H14" i="24" s="1"/>
  <c r="G27" i="36"/>
  <c r="B31" i="36" s="1"/>
  <c r="G54" i="83"/>
  <c r="B58" i="83" s="1"/>
  <c r="G30" i="71"/>
  <c r="B34" i="71" s="1"/>
  <c r="G30" i="72"/>
  <c r="B34" i="72" s="1"/>
  <c r="F92" i="94"/>
  <c r="C31" i="45" l="1"/>
  <c r="J59" i="93"/>
  <c r="K59" i="93" s="1"/>
  <c r="G44" i="94"/>
  <c r="H44" i="94" s="1"/>
  <c r="G41" i="94"/>
  <c r="H41" i="94" s="1"/>
  <c r="J79" i="94"/>
  <c r="K79" i="94" s="1"/>
  <c r="F26" i="11"/>
  <c r="F14" i="28"/>
  <c r="F15" i="28" s="1"/>
  <c r="F13" i="25"/>
  <c r="F14" i="25" s="1"/>
  <c r="G14" i="28"/>
  <c r="G15" i="28" s="1"/>
  <c r="G24" i="3"/>
  <c r="G26" i="3" s="1"/>
  <c r="H24" i="2"/>
  <c r="H26" i="2" s="1"/>
  <c r="F26" i="2"/>
  <c r="H24" i="11"/>
  <c r="H26" i="11" s="1"/>
  <c r="G13" i="24"/>
  <c r="G14" i="24" s="1"/>
  <c r="G24" i="6"/>
  <c r="G26" i="6" s="1"/>
  <c r="H24" i="9"/>
  <c r="H26" i="9" s="1"/>
  <c r="C31" i="44"/>
  <c r="G31" i="44" s="1"/>
  <c r="F15" i="9" s="1"/>
  <c r="F16" i="9" s="1"/>
  <c r="G42" i="94"/>
  <c r="H42" i="94" s="1"/>
  <c r="D30" i="58"/>
  <c r="C27" i="76"/>
  <c r="F20" i="17"/>
  <c r="F21" i="17" s="1"/>
  <c r="D31" i="30"/>
  <c r="G31" i="30" s="1"/>
  <c r="I13" i="25"/>
  <c r="I14" i="25" s="1"/>
  <c r="F26" i="10"/>
  <c r="F26" i="9"/>
  <c r="G13" i="25"/>
  <c r="G14" i="25" s="1"/>
  <c r="F26" i="5"/>
  <c r="G24" i="5"/>
  <c r="G26" i="5" s="1"/>
  <c r="G17" i="14"/>
  <c r="G18" i="14" s="1"/>
  <c r="H17" i="2"/>
  <c r="H18" i="2" s="1"/>
  <c r="F17" i="11"/>
  <c r="F18" i="11" s="1"/>
  <c r="F17" i="5"/>
  <c r="F18" i="5" s="1"/>
  <c r="H17" i="14"/>
  <c r="H18" i="14" s="1"/>
  <c r="G17" i="11"/>
  <c r="G18" i="11" s="1"/>
  <c r="F17" i="15"/>
  <c r="F18" i="15" s="1"/>
  <c r="G17" i="9"/>
  <c r="G18" i="9" s="1"/>
  <c r="F17" i="9"/>
  <c r="F18" i="9" s="1"/>
  <c r="F17" i="14"/>
  <c r="F18" i="14" s="1"/>
  <c r="H17" i="11"/>
  <c r="H18" i="11" s="1"/>
  <c r="H17" i="9"/>
  <c r="H18" i="9" s="1"/>
  <c r="F17" i="13"/>
  <c r="F18" i="13" s="1"/>
  <c r="G17" i="5"/>
  <c r="G18" i="5" s="1"/>
  <c r="F17" i="2"/>
  <c r="F18" i="2" s="1"/>
  <c r="F17" i="4"/>
  <c r="F18" i="4" s="1"/>
  <c r="H17" i="5"/>
  <c r="H18" i="5" s="1"/>
  <c r="G17" i="2"/>
  <c r="G18" i="2" s="1"/>
  <c r="F26" i="14"/>
  <c r="F26" i="4"/>
  <c r="F17" i="10"/>
  <c r="F18" i="10" s="1"/>
  <c r="G14" i="27"/>
  <c r="G15" i="27" s="1"/>
  <c r="J76" i="94"/>
  <c r="K76" i="94" s="1"/>
  <c r="F29" i="15"/>
  <c r="F30" i="15" s="1"/>
  <c r="G17" i="13"/>
  <c r="G18" i="13" s="1"/>
  <c r="G17" i="3"/>
  <c r="G18" i="3" s="1"/>
  <c r="J77" i="94"/>
  <c r="K77" i="94" s="1"/>
  <c r="F17" i="6"/>
  <c r="F18" i="6" s="1"/>
  <c r="G17" i="10"/>
  <c r="G18" i="10" s="1"/>
  <c r="F20" i="16"/>
  <c r="F21" i="16" s="1"/>
  <c r="F17" i="3"/>
  <c r="F18" i="3" s="1"/>
  <c r="D21" i="47"/>
  <c r="G21" i="47" s="1"/>
  <c r="F15" i="10" s="1"/>
  <c r="F16" i="10" s="1"/>
  <c r="C21" i="54"/>
  <c r="G21" i="54" s="1"/>
  <c r="G15" i="13" s="1"/>
  <c r="G16" i="13" s="1"/>
  <c r="E78" i="94"/>
  <c r="J78" i="94" s="1"/>
  <c r="K78" i="94" s="1"/>
  <c r="C26" i="81"/>
  <c r="G26" i="81" s="1"/>
  <c r="G12" i="28" s="1"/>
  <c r="G13" i="28" s="1"/>
  <c r="D32" i="49"/>
  <c r="G32" i="49" s="1"/>
  <c r="F15" i="11" s="1"/>
  <c r="F16" i="11" s="1"/>
  <c r="D60" i="98"/>
  <c r="G60" i="98" s="1"/>
  <c r="J11" i="25" s="1"/>
  <c r="J12" i="25" s="1"/>
  <c r="D31" i="31"/>
  <c r="G31" i="31" s="1"/>
  <c r="G15" i="2" s="1"/>
  <c r="G16" i="2" s="1"/>
  <c r="H13" i="25"/>
  <c r="H14" i="25" s="1"/>
  <c r="J13" i="24"/>
  <c r="J14" i="24" s="1"/>
  <c r="C31" i="74"/>
  <c r="G31" i="74" s="1"/>
  <c r="H11" i="25" s="1"/>
  <c r="H12" i="25" s="1"/>
  <c r="C42" i="47"/>
  <c r="G42" i="47" s="1"/>
  <c r="G15" i="10" s="1"/>
  <c r="G16" i="10" s="1"/>
  <c r="D31" i="38"/>
  <c r="G31" i="38" s="1"/>
  <c r="G15" i="5" s="1"/>
  <c r="G16" i="5" s="1"/>
  <c r="F29" i="4"/>
  <c r="F30" i="4" s="1"/>
  <c r="H26" i="14"/>
  <c r="D75" i="94"/>
  <c r="J75" i="94" s="1"/>
  <c r="K75" i="94" s="1"/>
  <c r="G40" i="94"/>
  <c r="H40" i="94" s="1"/>
  <c r="F20" i="95"/>
  <c r="F21" i="95" s="1"/>
  <c r="G26" i="9"/>
  <c r="G24" i="14"/>
  <c r="G26" i="14" s="1"/>
  <c r="G20" i="22"/>
  <c r="G21" i="22" s="1"/>
  <c r="H18" i="8"/>
  <c r="G18" i="8"/>
  <c r="F27" i="10"/>
  <c r="F28" i="10" s="1"/>
  <c r="G27" i="10"/>
  <c r="G28" i="10" s="1"/>
  <c r="F27" i="14"/>
  <c r="F28" i="14" s="1"/>
  <c r="G27" i="14"/>
  <c r="H27" i="14"/>
  <c r="H28" i="14" s="1"/>
  <c r="G27" i="5"/>
  <c r="G28" i="5" s="1"/>
  <c r="F27" i="5"/>
  <c r="F28" i="5" s="1"/>
  <c r="H27" i="5"/>
  <c r="H28" i="5" s="1"/>
  <c r="F27" i="6"/>
  <c r="G27" i="6"/>
  <c r="G28" i="6" s="1"/>
  <c r="H27" i="11"/>
  <c r="H28" i="11" s="1"/>
  <c r="F27" i="11"/>
  <c r="F28" i="11" s="1"/>
  <c r="G27" i="11"/>
  <c r="G28" i="11" s="1"/>
  <c r="G27" i="13"/>
  <c r="G28" i="13" s="1"/>
  <c r="F27" i="13"/>
  <c r="F28" i="13" s="1"/>
  <c r="G27" i="3"/>
  <c r="G28" i="3" s="1"/>
  <c r="F27" i="3"/>
  <c r="G27" i="2"/>
  <c r="G28" i="2" s="1"/>
  <c r="F27" i="2"/>
  <c r="H27" i="2"/>
  <c r="H28" i="2" s="1"/>
  <c r="H27" i="9"/>
  <c r="H28" i="9" s="1"/>
  <c r="G27" i="9"/>
  <c r="G28" i="9" s="1"/>
  <c r="F27" i="9"/>
  <c r="F28" i="9" s="1"/>
  <c r="C26" i="82"/>
  <c r="G26" i="82" s="1"/>
  <c r="H12" i="28" s="1"/>
  <c r="H13" i="28" s="1"/>
  <c r="H16" i="28" s="1"/>
  <c r="J57" i="93"/>
  <c r="K57" i="93" s="1"/>
  <c r="F36" i="5"/>
  <c r="D56" i="93" s="1"/>
  <c r="H36" i="5"/>
  <c r="F56" i="93" s="1"/>
  <c r="G36" i="5"/>
  <c r="E56" i="93" s="1"/>
  <c r="G36" i="11"/>
  <c r="F58" i="93" s="1"/>
  <c r="F36" i="11"/>
  <c r="E58" i="93" s="1"/>
  <c r="H36" i="11"/>
  <c r="I58" i="93" s="1"/>
  <c r="G36" i="3"/>
  <c r="H55" i="93" s="1"/>
  <c r="F36" i="3"/>
  <c r="G55" i="93" s="1"/>
  <c r="G30" i="58"/>
  <c r="F15" i="15" s="1"/>
  <c r="F16" i="15" s="1"/>
  <c r="G27" i="76"/>
  <c r="F12" i="26" s="1"/>
  <c r="C26" i="78"/>
  <c r="G26" i="78" s="1"/>
  <c r="G12" i="27" s="1"/>
  <c r="G13" i="27" s="1"/>
  <c r="D34" i="69"/>
  <c r="G34" i="69" s="1"/>
  <c r="F11" i="24" s="1"/>
  <c r="F12" i="24" s="1"/>
  <c r="F15" i="24" s="1"/>
  <c r="D31" i="98"/>
  <c r="G31" i="98" s="1"/>
  <c r="I11" i="25" s="1"/>
  <c r="I12" i="25" s="1"/>
  <c r="C30" i="73"/>
  <c r="G30" i="73" s="1"/>
  <c r="F11" i="25" s="1"/>
  <c r="G31" i="45"/>
  <c r="G15" i="9" s="1"/>
  <c r="G16" i="9" s="1"/>
  <c r="F26" i="13"/>
  <c r="G24" i="13"/>
  <c r="D26" i="79"/>
  <c r="C26" i="79"/>
  <c r="C58" i="73"/>
  <c r="D58" i="73"/>
  <c r="G31" i="37"/>
  <c r="F15" i="5" s="1"/>
  <c r="D26" i="75"/>
  <c r="C26" i="75"/>
  <c r="C41" i="83"/>
  <c r="D41" i="83"/>
  <c r="D19" i="83"/>
  <c r="C19" i="83"/>
  <c r="D34" i="71"/>
  <c r="C34" i="71"/>
  <c r="D31" i="36"/>
  <c r="C31" i="36"/>
  <c r="C34" i="97"/>
  <c r="D34" i="97"/>
  <c r="C25" i="84"/>
  <c r="D25" i="84"/>
  <c r="D42" i="40"/>
  <c r="C42" i="40"/>
  <c r="C32" i="56"/>
  <c r="D32" i="56"/>
  <c r="D31" i="32"/>
  <c r="C31" i="32"/>
  <c r="D31" i="57"/>
  <c r="C31" i="57"/>
  <c r="D32" i="50"/>
  <c r="C32" i="50"/>
  <c r="D32" i="55"/>
  <c r="C32" i="55"/>
  <c r="G26" i="10"/>
  <c r="D21" i="40"/>
  <c r="C21" i="40"/>
  <c r="G26" i="2"/>
  <c r="G17" i="92"/>
  <c r="D34" i="72"/>
  <c r="C34" i="72"/>
  <c r="D58" i="83"/>
  <c r="C58" i="83"/>
  <c r="D26" i="80"/>
  <c r="C26" i="80"/>
  <c r="D34" i="70"/>
  <c r="C34" i="70"/>
  <c r="C21" i="33"/>
  <c r="D21" i="33"/>
  <c r="D32" i="51"/>
  <c r="C32" i="51"/>
  <c r="D31" i="46"/>
  <c r="C31" i="46"/>
  <c r="C32" i="53"/>
  <c r="D32" i="53"/>
  <c r="D33" i="34"/>
  <c r="C33" i="34"/>
  <c r="D31" i="39"/>
  <c r="C31" i="39"/>
  <c r="H26" i="5"/>
  <c r="D43" i="33"/>
  <c r="C43" i="33"/>
  <c r="F29" i="5" l="1"/>
  <c r="F30" i="5" s="1"/>
  <c r="F29" i="14"/>
  <c r="F30" i="14" s="1"/>
  <c r="G29" i="10"/>
  <c r="G30" i="10" s="1"/>
  <c r="F19" i="11"/>
  <c r="F20" i="11" s="1"/>
  <c r="F21" i="11" s="1"/>
  <c r="G16" i="27"/>
  <c r="G17" i="27" s="1"/>
  <c r="G18" i="27" s="1"/>
  <c r="G16" i="28"/>
  <c r="G19" i="13"/>
  <c r="G20" i="13" s="1"/>
  <c r="G21" i="13" s="1"/>
  <c r="F29" i="10"/>
  <c r="F30" i="10" s="1"/>
  <c r="I15" i="25"/>
  <c r="I16" i="25" s="1"/>
  <c r="I17" i="25" s="1"/>
  <c r="G19" i="10"/>
  <c r="G20" i="10" s="1"/>
  <c r="G21" i="10" s="1"/>
  <c r="F19" i="10"/>
  <c r="F20" i="10" s="1"/>
  <c r="F21" i="10" s="1"/>
  <c r="F19" i="15"/>
  <c r="F20" i="15" s="1"/>
  <c r="F21" i="15" s="1"/>
  <c r="F29" i="13"/>
  <c r="F30" i="13" s="1"/>
  <c r="H29" i="9"/>
  <c r="H30" i="9" s="1"/>
  <c r="H29" i="11"/>
  <c r="H30" i="11" s="1"/>
  <c r="F16" i="5"/>
  <c r="F19" i="5" s="1"/>
  <c r="F13" i="26"/>
  <c r="F16" i="26" s="1"/>
  <c r="F15" i="2"/>
  <c r="F16" i="2" s="1"/>
  <c r="F19" i="2" s="1"/>
  <c r="F20" i="2" s="1"/>
  <c r="F21" i="2" s="1"/>
  <c r="G29" i="11"/>
  <c r="G30" i="11" s="1"/>
  <c r="F29" i="9"/>
  <c r="F30" i="9" s="1"/>
  <c r="G33" i="34"/>
  <c r="F15" i="4" s="1"/>
  <c r="F16" i="4" s="1"/>
  <c r="F19" i="4" s="1"/>
  <c r="F19" i="9"/>
  <c r="F20" i="9" s="1"/>
  <c r="F21" i="9" s="1"/>
  <c r="H29" i="14"/>
  <c r="H30" i="14" s="1"/>
  <c r="G29" i="3"/>
  <c r="G30" i="3" s="1"/>
  <c r="G29" i="6"/>
  <c r="G30" i="6" s="1"/>
  <c r="H29" i="2"/>
  <c r="H30" i="2" s="1"/>
  <c r="H29" i="5"/>
  <c r="H30" i="5" s="1"/>
  <c r="G29" i="2"/>
  <c r="G30" i="2" s="1"/>
  <c r="G29" i="5"/>
  <c r="G30" i="5" s="1"/>
  <c r="F28" i="2"/>
  <c r="F29" i="2" s="1"/>
  <c r="F30" i="2" s="1"/>
  <c r="F28" i="3"/>
  <c r="F29" i="3" s="1"/>
  <c r="F30" i="3" s="1"/>
  <c r="F28" i="6"/>
  <c r="F29" i="6" s="1"/>
  <c r="F30" i="6" s="1"/>
  <c r="H19" i="8"/>
  <c r="H20" i="8" s="1"/>
  <c r="H21" i="8" s="1"/>
  <c r="F29" i="11"/>
  <c r="F30" i="11" s="1"/>
  <c r="G29" i="9"/>
  <c r="G30" i="9" s="1"/>
  <c r="G28" i="14"/>
  <c r="G29" i="14" s="1"/>
  <c r="G30" i="14" s="1"/>
  <c r="G19" i="8"/>
  <c r="G20" i="8" s="1"/>
  <c r="G21" i="8" s="1"/>
  <c r="G26" i="75"/>
  <c r="F12" i="27" s="1"/>
  <c r="F13" i="27" s="1"/>
  <c r="F16" i="27" s="1"/>
  <c r="F17" i="27" s="1"/>
  <c r="F18" i="27" s="1"/>
  <c r="J58" i="93"/>
  <c r="K58" i="93" s="1"/>
  <c r="J56" i="93"/>
  <c r="K56" i="93" s="1"/>
  <c r="J55" i="93"/>
  <c r="K55" i="93" s="1"/>
  <c r="G42" i="40"/>
  <c r="G15" i="6" s="1"/>
  <c r="G16" i="6" s="1"/>
  <c r="G19" i="6" s="1"/>
  <c r="G19" i="2"/>
  <c r="G19" i="9"/>
  <c r="G20" i="9" s="1"/>
  <c r="G21" i="9" s="1"/>
  <c r="G41" i="83"/>
  <c r="F13" i="29" s="1"/>
  <c r="F14" i="29" s="1"/>
  <c r="J15" i="25"/>
  <c r="J16" i="25" s="1"/>
  <c r="J17" i="25" s="1"/>
  <c r="H15" i="25"/>
  <c r="H16" i="25" s="1"/>
  <c r="H17" i="25" s="1"/>
  <c r="F12" i="25"/>
  <c r="F15" i="25" s="1"/>
  <c r="F16" i="25" s="1"/>
  <c r="F17" i="25" s="1"/>
  <c r="G19" i="5"/>
  <c r="G20" i="5" s="1"/>
  <c r="G21" i="5" s="1"/>
  <c r="G34" i="97"/>
  <c r="J11" i="24" s="1"/>
  <c r="J12" i="24" s="1"/>
  <c r="J15" i="24" s="1"/>
  <c r="G31" i="39"/>
  <c r="H15" i="5" s="1"/>
  <c r="H16" i="5" s="1"/>
  <c r="H19" i="5" s="1"/>
  <c r="G58" i="83"/>
  <c r="H13" i="29" s="1"/>
  <c r="H14" i="29" s="1"/>
  <c r="H19" i="29" s="1"/>
  <c r="G26" i="79"/>
  <c r="H12" i="27" s="1"/>
  <c r="H13" i="27" s="1"/>
  <c r="H16" i="27" s="1"/>
  <c r="H17" i="27" s="1"/>
  <c r="H18" i="27" s="1"/>
  <c r="G31" i="36"/>
  <c r="G21" i="40"/>
  <c r="F15" i="6" s="1"/>
  <c r="F16" i="6" s="1"/>
  <c r="F19" i="6" s="1"/>
  <c r="G32" i="55"/>
  <c r="F15" i="14" s="1"/>
  <c r="F16" i="14" s="1"/>
  <c r="G31" i="32"/>
  <c r="H15" i="2" s="1"/>
  <c r="H16" i="2" s="1"/>
  <c r="G32" i="56"/>
  <c r="G15" i="14" s="1"/>
  <c r="G16" i="14" s="1"/>
  <c r="G19" i="14" s="1"/>
  <c r="G25" i="84"/>
  <c r="G13" i="29" s="1"/>
  <c r="G14" i="29" s="1"/>
  <c r="G19" i="29" s="1"/>
  <c r="G34" i="71"/>
  <c r="H11" i="24" s="1"/>
  <c r="H12" i="24" s="1"/>
  <c r="H15" i="24" s="1"/>
  <c r="G19" i="83"/>
  <c r="E13" i="29" s="1"/>
  <c r="E14" i="29" s="1"/>
  <c r="E19" i="29" s="1"/>
  <c r="E20" i="29" s="1"/>
  <c r="E21" i="29" s="1"/>
  <c r="H33" i="29" s="1"/>
  <c r="G58" i="73"/>
  <c r="G11" i="25" s="1"/>
  <c r="G12" i="25" s="1"/>
  <c r="G15" i="25" s="1"/>
  <c r="G16" i="25" s="1"/>
  <c r="G17" i="25" s="1"/>
  <c r="G26" i="13"/>
  <c r="G29" i="13" s="1"/>
  <c r="G30" i="13" s="1"/>
  <c r="G31" i="46"/>
  <c r="H15" i="9" s="1"/>
  <c r="H16" i="9" s="1"/>
  <c r="H19" i="9" s="1"/>
  <c r="G32" i="51"/>
  <c r="H15" i="11" s="1"/>
  <c r="H16" i="11" s="1"/>
  <c r="H19" i="11" s="1"/>
  <c r="G34" i="70"/>
  <c r="G11" i="24" s="1"/>
  <c r="G12" i="24" s="1"/>
  <c r="G15" i="24" s="1"/>
  <c r="G26" i="80"/>
  <c r="F12" i="28" s="1"/>
  <c r="F13" i="28" s="1"/>
  <c r="F16" i="28" s="1"/>
  <c r="G34" i="72"/>
  <c r="I11" i="24" s="1"/>
  <c r="I12" i="24" s="1"/>
  <c r="I15" i="24" s="1"/>
  <c r="G43" i="33"/>
  <c r="G15" i="3" s="1"/>
  <c r="G16" i="3" s="1"/>
  <c r="G32" i="53"/>
  <c r="F15" i="13" s="1"/>
  <c r="F16" i="13" s="1"/>
  <c r="F19" i="13" s="1"/>
  <c r="G21" i="33"/>
  <c r="F15" i="3" s="1"/>
  <c r="F16" i="3" s="1"/>
  <c r="F19" i="3" s="1"/>
  <c r="G32" i="50"/>
  <c r="G15" i="11" s="1"/>
  <c r="G16" i="11" s="1"/>
  <c r="G19" i="11" s="1"/>
  <c r="G31" i="57"/>
  <c r="H15" i="14" s="1"/>
  <c r="H16" i="14" s="1"/>
  <c r="H19" i="14" s="1"/>
  <c r="G17" i="28"/>
  <c r="G18" i="28" s="1"/>
  <c r="H17" i="28"/>
  <c r="H18" i="28" s="1"/>
  <c r="F16" i="24"/>
  <c r="F17" i="24" s="1"/>
  <c r="I17" i="29"/>
  <c r="F17" i="29"/>
  <c r="L61" i="93" l="1"/>
  <c r="G20" i="2"/>
  <c r="G21" i="2" s="1"/>
  <c r="F17" i="26"/>
  <c r="F18" i="26" s="1"/>
  <c r="F20" i="5"/>
  <c r="F21" i="5" s="1"/>
  <c r="F19" i="14"/>
  <c r="F20" i="14" s="1"/>
  <c r="F21" i="14" s="1"/>
  <c r="H19" i="2"/>
  <c r="H20" i="2" s="1"/>
  <c r="H21" i="2" s="1"/>
  <c r="H58" i="29"/>
  <c r="I13" i="29"/>
  <c r="I14" i="29" s="1"/>
  <c r="H43" i="29"/>
  <c r="G19" i="3"/>
  <c r="G20" i="3" s="1"/>
  <c r="G21" i="3" s="1"/>
  <c r="G20" i="6"/>
  <c r="G21" i="6" s="1"/>
  <c r="H20" i="9"/>
  <c r="H21" i="9" s="1"/>
  <c r="G20" i="14"/>
  <c r="G21" i="14" s="1"/>
  <c r="H20" i="14"/>
  <c r="H21" i="14" s="1"/>
  <c r="J16" i="24"/>
  <c r="J17" i="24" s="1"/>
  <c r="H20" i="29"/>
  <c r="H21" i="29" s="1"/>
  <c r="G20" i="29"/>
  <c r="G21" i="29" s="1"/>
  <c r="I16" i="24"/>
  <c r="I17" i="24" s="1"/>
  <c r="G16" i="24"/>
  <c r="G17" i="24" s="1"/>
  <c r="F20" i="3"/>
  <c r="F21" i="3" s="1"/>
  <c r="H20" i="5"/>
  <c r="H21" i="5" s="1"/>
  <c r="F20" i="13"/>
  <c r="F21" i="13" s="1"/>
  <c r="F18" i="29"/>
  <c r="F19" i="29" s="1"/>
  <c r="F20" i="6"/>
  <c r="F21" i="6" s="1"/>
  <c r="I18" i="29"/>
  <c r="F20" i="4"/>
  <c r="F21" i="4" s="1"/>
  <c r="H16" i="24"/>
  <c r="H17" i="24" s="1"/>
  <c r="F17" i="28"/>
  <c r="F18" i="28" s="1"/>
  <c r="H20" i="11"/>
  <c r="H21" i="11" s="1"/>
  <c r="G20" i="11"/>
  <c r="G21" i="11" s="1"/>
  <c r="I19" i="29" l="1"/>
  <c r="I20" i="29" s="1"/>
  <c r="I21" i="29" s="1"/>
  <c r="H57" i="29" s="1"/>
  <c r="H59" i="29" s="1"/>
  <c r="H60" i="29" s="1"/>
  <c r="F20" i="29"/>
  <c r="F21" i="29" s="1"/>
  <c r="H32" i="29" s="1"/>
  <c r="H34" i="29" s="1"/>
  <c r="H35" i="29" s="1"/>
  <c r="H42" i="29"/>
  <c r="H44" i="29"/>
  <c r="H45" i="29" s="1"/>
  <c r="A4" i="94" l="1"/>
  <c r="A4" i="2"/>
  <c r="A4" i="16" s="1"/>
  <c r="A4" i="17" l="1"/>
  <c r="A4" i="4"/>
  <c r="A4" i="14"/>
  <c r="A4" i="26"/>
  <c r="A4" i="3"/>
  <c r="A4" i="10"/>
  <c r="A4" i="22"/>
  <c r="A4" i="6"/>
  <c r="A4" i="28"/>
  <c r="A4" i="8"/>
  <c r="A4" i="13"/>
  <c r="A4" i="27"/>
  <c r="A4" i="9"/>
  <c r="A4" i="95"/>
  <c r="A4" i="29"/>
  <c r="A4" i="5"/>
  <c r="A4" i="15"/>
  <c r="A4" i="25"/>
  <c r="A4" i="11"/>
  <c r="A4" i="24"/>
  <c r="C10" i="1" l="1"/>
  <c r="H46" i="28" l="1"/>
  <c r="H40" i="27"/>
  <c r="H40" i="24"/>
  <c r="H47" i="6"/>
  <c r="H47" i="13"/>
  <c r="H47" i="9"/>
  <c r="H47" i="14"/>
  <c r="H47" i="2"/>
  <c r="H47" i="4"/>
  <c r="H40" i="26"/>
  <c r="H47" i="8"/>
  <c r="H40" i="25"/>
  <c r="I72" i="29"/>
  <c r="H34" i="95"/>
  <c r="H34" i="16"/>
  <c r="H47" i="10"/>
  <c r="H47" i="5"/>
  <c r="H47" i="11"/>
  <c r="H47" i="15"/>
  <c r="H47" i="3"/>
  <c r="H34" i="22"/>
  <c r="H34" i="17"/>
  <c r="C12" i="1"/>
  <c r="C13" i="1"/>
  <c r="H50" i="6" l="1"/>
  <c r="F41" i="6" s="1"/>
  <c r="H43" i="27"/>
  <c r="H50" i="11"/>
  <c r="G41" i="11" s="1"/>
  <c r="H50" i="5"/>
  <c r="G41" i="5" s="1"/>
  <c r="I75" i="29"/>
  <c r="H37" i="95"/>
  <c r="H50" i="13"/>
  <c r="G41" i="13" s="1"/>
  <c r="H37" i="22"/>
  <c r="H50" i="2"/>
  <c r="H41" i="2" s="1"/>
  <c r="H50" i="15"/>
  <c r="F41" i="15" s="1"/>
  <c r="H50" i="10"/>
  <c r="F41" i="10" s="1"/>
  <c r="H37" i="16"/>
  <c r="H50" i="14"/>
  <c r="H41" i="14" s="1"/>
  <c r="H50" i="3"/>
  <c r="G41" i="3" s="1"/>
  <c r="H43" i="25"/>
  <c r="I27" i="25" s="1"/>
  <c r="H50" i="9"/>
  <c r="H41" i="9" s="1"/>
  <c r="H43" i="24"/>
  <c r="I27" i="24" s="1"/>
  <c r="H50" i="4"/>
  <c r="F41" i="4" s="1"/>
  <c r="H50" i="8"/>
  <c r="H43" i="26"/>
  <c r="F28" i="26" s="1"/>
  <c r="H49" i="28"/>
  <c r="H28" i="28" s="1"/>
  <c r="H37" i="17"/>
  <c r="F35" i="15"/>
  <c r="E70" i="93" s="1"/>
  <c r="F42" i="15"/>
  <c r="F29" i="16"/>
  <c r="F24" i="16"/>
  <c r="F26" i="16" s="1"/>
  <c r="G29" i="8"/>
  <c r="H29" i="8"/>
  <c r="H31" i="8" s="1"/>
  <c r="G24" i="8"/>
  <c r="G26" i="8" s="1"/>
  <c r="H24" i="8"/>
  <c r="H26" i="8" s="1"/>
  <c r="F35" i="14"/>
  <c r="E68" i="93" s="1"/>
  <c r="F42" i="14"/>
  <c r="H35" i="14"/>
  <c r="I68" i="93" s="1"/>
  <c r="I77" i="93" s="1"/>
  <c r="H42" i="14"/>
  <c r="I87" i="94" s="1"/>
  <c r="G35" i="14"/>
  <c r="F68" i="93" s="1"/>
  <c r="F77" i="93" s="1"/>
  <c r="G42" i="14"/>
  <c r="F87" i="94" s="1"/>
  <c r="G41" i="14"/>
  <c r="F24" i="17"/>
  <c r="F26" i="17" s="1"/>
  <c r="F29" i="17"/>
  <c r="G35" i="11"/>
  <c r="F67" i="93" s="1"/>
  <c r="F76" i="93" s="1"/>
  <c r="F42" i="11"/>
  <c r="G42" i="11"/>
  <c r="F86" i="94" s="1"/>
  <c r="H42" i="11"/>
  <c r="I86" i="94" s="1"/>
  <c r="F35" i="11"/>
  <c r="E67" i="93" s="1"/>
  <c r="H35" i="11"/>
  <c r="I67" i="93" s="1"/>
  <c r="I76" i="93" s="1"/>
  <c r="F29" i="95"/>
  <c r="F24" i="95"/>
  <c r="F26" i="95" s="1"/>
  <c r="H35" i="9"/>
  <c r="F66" i="93" s="1"/>
  <c r="F75" i="93" s="1"/>
  <c r="G35" i="9"/>
  <c r="E66" i="93" s="1"/>
  <c r="E75" i="93" s="1"/>
  <c r="H42" i="9"/>
  <c r="F85" i="94" s="1"/>
  <c r="F35" i="9"/>
  <c r="D66" i="93" s="1"/>
  <c r="F42" i="9"/>
  <c r="G42" i="9"/>
  <c r="E85" i="94" s="1"/>
  <c r="G28" i="27"/>
  <c r="H28" i="27"/>
  <c r="F28" i="27"/>
  <c r="H49" i="3"/>
  <c r="G34" i="3" s="1"/>
  <c r="H42" i="26"/>
  <c r="F23" i="26" s="1"/>
  <c r="H36" i="16"/>
  <c r="H49" i="14"/>
  <c r="H34" i="14" s="1"/>
  <c r="H49" i="5"/>
  <c r="G34" i="5" s="1"/>
  <c r="H49" i="9"/>
  <c r="G34" i="9" s="1"/>
  <c r="H36" i="17"/>
  <c r="H49" i="4"/>
  <c r="F34" i="4" s="1"/>
  <c r="H49" i="11"/>
  <c r="H34" i="11" s="1"/>
  <c r="H49" i="2"/>
  <c r="H34" i="2" s="1"/>
  <c r="H36" i="95"/>
  <c r="H48" i="28"/>
  <c r="G23" i="28" s="1"/>
  <c r="H49" i="10"/>
  <c r="G34" i="10" s="1"/>
  <c r="H42" i="27"/>
  <c r="F23" i="27" s="1"/>
  <c r="H36" i="22"/>
  <c r="H49" i="13"/>
  <c r="F34" i="13" s="1"/>
  <c r="H42" i="24"/>
  <c r="F22" i="24" s="1"/>
  <c r="H49" i="15"/>
  <c r="F34" i="15" s="1"/>
  <c r="I74" i="29"/>
  <c r="H49" i="6"/>
  <c r="G34" i="6" s="1"/>
  <c r="H49" i="8"/>
  <c r="H42" i="25"/>
  <c r="H22" i="25" s="1"/>
  <c r="G24" i="22"/>
  <c r="G26" i="22" s="1"/>
  <c r="G29" i="22"/>
  <c r="G31" i="22" s="1"/>
  <c r="F42" i="5"/>
  <c r="D84" i="94" s="1"/>
  <c r="F35" i="5"/>
  <c r="D65" i="93" s="1"/>
  <c r="H42" i="5"/>
  <c r="F84" i="94" s="1"/>
  <c r="G35" i="5"/>
  <c r="E65" i="93" s="1"/>
  <c r="E74" i="93" s="1"/>
  <c r="G42" i="5"/>
  <c r="E84" i="94" s="1"/>
  <c r="H35" i="5"/>
  <c r="F65" i="93" s="1"/>
  <c r="F74" i="93" s="1"/>
  <c r="F35" i="4"/>
  <c r="I64" i="93" s="1"/>
  <c r="I73" i="93" s="1"/>
  <c r="F42" i="4"/>
  <c r="I83" i="94" s="1"/>
  <c r="F35" i="13"/>
  <c r="E69" i="93" s="1"/>
  <c r="G35" i="13"/>
  <c r="G69" i="93" s="1"/>
  <c r="G78" i="93" s="1"/>
  <c r="F42" i="13"/>
  <c r="G42" i="13"/>
  <c r="F23" i="28"/>
  <c r="G35" i="3"/>
  <c r="H64" i="93" s="1"/>
  <c r="H73" i="93" s="1"/>
  <c r="F42" i="3"/>
  <c r="G83" i="94" s="1"/>
  <c r="G42" i="3"/>
  <c r="H83" i="94" s="1"/>
  <c r="F35" i="3"/>
  <c r="G64" i="93" s="1"/>
  <c r="G73" i="93" s="1"/>
  <c r="F41" i="3"/>
  <c r="G42" i="10"/>
  <c r="H85" i="94" s="1"/>
  <c r="G35" i="10"/>
  <c r="H66" i="93" s="1"/>
  <c r="H75" i="93" s="1"/>
  <c r="F42" i="10"/>
  <c r="G85" i="94" s="1"/>
  <c r="F35" i="10"/>
  <c r="G66" i="93" s="1"/>
  <c r="G75" i="93" s="1"/>
  <c r="H27" i="25"/>
  <c r="G35" i="2"/>
  <c r="E64" i="93" s="1"/>
  <c r="E73" i="93" s="1"/>
  <c r="F35" i="2"/>
  <c r="D64" i="93" s="1"/>
  <c r="H35" i="2"/>
  <c r="F64" i="93" s="1"/>
  <c r="F73" i="93" s="1"/>
  <c r="H42" i="2"/>
  <c r="F83" i="94" s="1"/>
  <c r="F42" i="2"/>
  <c r="G42" i="2"/>
  <c r="E83" i="94" s="1"/>
  <c r="F35" i="6"/>
  <c r="G65" i="93" s="1"/>
  <c r="G74" i="93" s="1"/>
  <c r="G35" i="6"/>
  <c r="H65" i="93" s="1"/>
  <c r="H74" i="93" s="1"/>
  <c r="F42" i="6"/>
  <c r="G42" i="6"/>
  <c r="H84" i="94" s="1"/>
  <c r="G41" i="6"/>
  <c r="G27" i="24" l="1"/>
  <c r="H27" i="24"/>
  <c r="F41" i="2"/>
  <c r="F27" i="24"/>
  <c r="G41" i="2"/>
  <c r="G28" i="28"/>
  <c r="F28" i="28"/>
  <c r="J69" i="93"/>
  <c r="J27" i="24"/>
  <c r="F41" i="14"/>
  <c r="I22" i="25"/>
  <c r="G41" i="9"/>
  <c r="E69" i="94" s="1"/>
  <c r="F34" i="2"/>
  <c r="E68" i="94"/>
  <c r="G34" i="2"/>
  <c r="E46" i="93" s="1"/>
  <c r="J22" i="25"/>
  <c r="J27" i="25"/>
  <c r="G67" i="94"/>
  <c r="H23" i="28"/>
  <c r="F34" i="14"/>
  <c r="E50" i="93" s="1"/>
  <c r="F41" i="13"/>
  <c r="E48" i="93"/>
  <c r="G22" i="25"/>
  <c r="G23" i="27"/>
  <c r="F41" i="9"/>
  <c r="E52" i="93"/>
  <c r="J52" i="93" s="1"/>
  <c r="K52" i="93" s="1"/>
  <c r="F46" i="93"/>
  <c r="H67" i="94"/>
  <c r="F70" i="94"/>
  <c r="E51" i="93"/>
  <c r="I71" i="94"/>
  <c r="F41" i="5"/>
  <c r="D68" i="94" s="1"/>
  <c r="H34" i="9"/>
  <c r="F48" i="93" s="1"/>
  <c r="F34" i="9"/>
  <c r="D48" i="93" s="1"/>
  <c r="G69" i="94"/>
  <c r="F22" i="25"/>
  <c r="G41" i="10"/>
  <c r="H69" i="94" s="1"/>
  <c r="G34" i="13"/>
  <c r="G51" i="93" s="1"/>
  <c r="H41" i="5"/>
  <c r="F68" i="94" s="1"/>
  <c r="H48" i="93"/>
  <c r="I49" i="93"/>
  <c r="E47" i="93"/>
  <c r="H46" i="93"/>
  <c r="H41" i="11"/>
  <c r="I70" i="94" s="1"/>
  <c r="E67" i="94"/>
  <c r="H47" i="93"/>
  <c r="I46" i="93"/>
  <c r="I50" i="93"/>
  <c r="H23" i="27"/>
  <c r="D49" i="94"/>
  <c r="E49" i="94" s="1"/>
  <c r="F31" i="95"/>
  <c r="F31" i="16"/>
  <c r="D47" i="94"/>
  <c r="E47" i="94" s="1"/>
  <c r="F67" i="94"/>
  <c r="E78" i="93"/>
  <c r="J78" i="93" s="1"/>
  <c r="K78" i="93" s="1"/>
  <c r="K69" i="93"/>
  <c r="F34" i="5"/>
  <c r="D47" i="93" s="1"/>
  <c r="F34" i="6"/>
  <c r="G47" i="93" s="1"/>
  <c r="D73" i="93"/>
  <c r="J73" i="93" s="1"/>
  <c r="K73" i="93" s="1"/>
  <c r="J64" i="93"/>
  <c r="K64" i="93" s="1"/>
  <c r="G27" i="25"/>
  <c r="D40" i="94"/>
  <c r="E40" i="94" s="1"/>
  <c r="D83" i="94"/>
  <c r="J83" i="94" s="1"/>
  <c r="K83" i="94" s="1"/>
  <c r="F27" i="25"/>
  <c r="F34" i="10"/>
  <c r="G48" i="93" s="1"/>
  <c r="F34" i="3"/>
  <c r="G46" i="93" s="1"/>
  <c r="H34" i="5"/>
  <c r="F47" i="93" s="1"/>
  <c r="D75" i="93"/>
  <c r="J75" i="93" s="1"/>
  <c r="K75" i="93" s="1"/>
  <c r="J66" i="93"/>
  <c r="K66" i="93" s="1"/>
  <c r="G34" i="11"/>
  <c r="F49" i="93" s="1"/>
  <c r="D43" i="94"/>
  <c r="E43" i="94" s="1"/>
  <c r="E86" i="94"/>
  <c r="J86" i="94" s="1"/>
  <c r="K86" i="94" s="1"/>
  <c r="G34" i="14"/>
  <c r="F50" i="93" s="1"/>
  <c r="F71" i="94"/>
  <c r="E76" i="93"/>
  <c r="J76" i="93" s="1"/>
  <c r="K76" i="93" s="1"/>
  <c r="J67" i="93"/>
  <c r="K67" i="93" s="1"/>
  <c r="H68" i="94"/>
  <c r="F34" i="11"/>
  <c r="E49" i="93" s="1"/>
  <c r="F41" i="11"/>
  <c r="F31" i="17"/>
  <c r="D48" i="94"/>
  <c r="E48" i="94" s="1"/>
  <c r="J22" i="24"/>
  <c r="G22" i="24"/>
  <c r="D44" i="94"/>
  <c r="E44" i="94" s="1"/>
  <c r="E87" i="94"/>
  <c r="J87" i="94" s="1"/>
  <c r="K87" i="94" s="1"/>
  <c r="I67" i="94"/>
  <c r="I22" i="24"/>
  <c r="D41" i="94"/>
  <c r="E41" i="94" s="1"/>
  <c r="G84" i="94"/>
  <c r="J84" i="94" s="1"/>
  <c r="K84" i="94" s="1"/>
  <c r="D74" i="93"/>
  <c r="J74" i="93" s="1"/>
  <c r="K74" i="93" s="1"/>
  <c r="J65" i="93"/>
  <c r="K65" i="93" s="1"/>
  <c r="H48" i="29"/>
  <c r="H38" i="29"/>
  <c r="F69" i="94"/>
  <c r="D42" i="94"/>
  <c r="E42" i="94" s="1"/>
  <c r="D85" i="94"/>
  <c r="J85" i="94" s="1"/>
  <c r="K85" i="94" s="1"/>
  <c r="H22" i="24"/>
  <c r="E77" i="93"/>
  <c r="J77" i="93" s="1"/>
  <c r="K77" i="93" s="1"/>
  <c r="J68" i="93"/>
  <c r="K68" i="93" s="1"/>
  <c r="G31" i="8"/>
  <c r="D45" i="94"/>
  <c r="E45" i="94" s="1"/>
  <c r="J70" i="93"/>
  <c r="K70" i="93" s="1"/>
  <c r="E79" i="93"/>
  <c r="J79" i="93" s="1"/>
  <c r="K79" i="93" s="1"/>
  <c r="H63" i="29"/>
  <c r="I26" i="29"/>
  <c r="L70" i="93" l="1"/>
  <c r="L79" i="93"/>
  <c r="D46" i="93"/>
  <c r="J46" i="93" s="1"/>
  <c r="K46" i="93" s="1"/>
  <c r="D67" i="94"/>
  <c r="J67" i="94" s="1"/>
  <c r="K67" i="94" s="1"/>
  <c r="J50" i="93"/>
  <c r="K50" i="93" s="1"/>
  <c r="E71" i="94"/>
  <c r="J71" i="94" s="1"/>
  <c r="K71" i="94" s="1"/>
  <c r="E70" i="94"/>
  <c r="J70" i="94" s="1"/>
  <c r="K70" i="94" s="1"/>
  <c r="J48" i="93"/>
  <c r="K48" i="93" s="1"/>
  <c r="J51" i="93"/>
  <c r="K51" i="93" s="1"/>
  <c r="D69" i="94"/>
  <c r="J69" i="94" s="1"/>
  <c r="K69" i="94" s="1"/>
  <c r="G68" i="94"/>
  <c r="J68" i="94" s="1"/>
  <c r="K68" i="94" s="1"/>
  <c r="J47" i="93"/>
  <c r="K47" i="93" s="1"/>
  <c r="J49" i="93"/>
  <c r="K49" i="93" s="1"/>
  <c r="L52" i="93" l="1"/>
  <c r="L71" i="94"/>
  <c r="E9" i="1"/>
  <c r="C9" i="1"/>
  <c r="H39" i="25" l="1"/>
  <c r="H39" i="24"/>
  <c r="H39" i="26"/>
  <c r="H39" i="27"/>
  <c r="H45" i="28"/>
  <c r="I71" i="29"/>
  <c r="H46" i="3"/>
  <c r="H46" i="10"/>
  <c r="H33" i="95"/>
  <c r="H46" i="2"/>
  <c r="H33" i="17"/>
  <c r="H33" i="16"/>
  <c r="H46" i="11"/>
  <c r="H46" i="9"/>
  <c r="H46" i="14"/>
  <c r="H46" i="8"/>
  <c r="H46" i="4"/>
  <c r="F33" i="4" s="1"/>
  <c r="H46" i="13"/>
  <c r="H46" i="15"/>
  <c r="F33" i="15" s="1"/>
  <c r="H46" i="5"/>
  <c r="H46" i="6"/>
  <c r="H33" i="22"/>
  <c r="F40" i="15" l="1"/>
  <c r="F44" i="15" s="1"/>
  <c r="F37" i="15"/>
  <c r="E18" i="93" s="1"/>
  <c r="J18" i="93" s="1"/>
  <c r="K18" i="93" s="1"/>
  <c r="E43" i="93"/>
  <c r="J43" i="93" s="1"/>
  <c r="K43" i="93" s="1"/>
  <c r="H33" i="14"/>
  <c r="F33" i="14"/>
  <c r="G33" i="14"/>
  <c r="F33" i="3"/>
  <c r="G33" i="3"/>
  <c r="F22" i="26"/>
  <c r="F24" i="26" s="1"/>
  <c r="C26" i="93" s="1"/>
  <c r="I26" i="93" s="1"/>
  <c r="J26" i="93" s="1"/>
  <c r="F27" i="26"/>
  <c r="F29" i="26" s="1"/>
  <c r="C27" i="94" s="1"/>
  <c r="I27" i="94" s="1"/>
  <c r="J27" i="94" s="1"/>
  <c r="G33" i="13"/>
  <c r="F33" i="13"/>
  <c r="G33" i="9"/>
  <c r="H33" i="9"/>
  <c r="F33" i="9"/>
  <c r="G33" i="2"/>
  <c r="H33" i="2"/>
  <c r="F33" i="2"/>
  <c r="H47" i="29"/>
  <c r="H49" i="29" s="1"/>
  <c r="E31" i="93" s="1"/>
  <c r="F31" i="93" s="1"/>
  <c r="H37" i="29"/>
  <c r="H39" i="29" s="1"/>
  <c r="E30" i="93" s="1"/>
  <c r="F30" i="93" s="1"/>
  <c r="H62" i="29"/>
  <c r="H64" i="29" s="1"/>
  <c r="E31" i="94" s="1"/>
  <c r="F31" i="94" s="1"/>
  <c r="G31" i="94" s="1"/>
  <c r="I25" i="29"/>
  <c r="I27" i="29" s="1"/>
  <c r="C36" i="94" s="1"/>
  <c r="D36" i="94" s="1"/>
  <c r="J26" i="24"/>
  <c r="J28" i="24" s="1"/>
  <c r="H24" i="94" s="1"/>
  <c r="G26" i="24"/>
  <c r="G28" i="24" s="1"/>
  <c r="E24" i="94" s="1"/>
  <c r="H21" i="24"/>
  <c r="H23" i="24" s="1"/>
  <c r="F23" i="93" s="1"/>
  <c r="H26" i="24"/>
  <c r="H28" i="24" s="1"/>
  <c r="F24" i="94" s="1"/>
  <c r="F26" i="24"/>
  <c r="F28" i="24" s="1"/>
  <c r="D24" i="94" s="1"/>
  <c r="J21" i="24"/>
  <c r="J23" i="24" s="1"/>
  <c r="H23" i="93" s="1"/>
  <c r="F21" i="24"/>
  <c r="F23" i="24" s="1"/>
  <c r="D23" i="93" s="1"/>
  <c r="G21" i="24"/>
  <c r="G23" i="24" s="1"/>
  <c r="E23" i="93" s="1"/>
  <c r="I21" i="24"/>
  <c r="I23" i="24" s="1"/>
  <c r="G23" i="93" s="1"/>
  <c r="I26" i="24"/>
  <c r="I28" i="24" s="1"/>
  <c r="G24" i="94" s="1"/>
  <c r="H33" i="5"/>
  <c r="F33" i="5"/>
  <c r="G33" i="5"/>
  <c r="F33" i="10"/>
  <c r="G33" i="10"/>
  <c r="F22" i="27"/>
  <c r="F24" i="27" s="1"/>
  <c r="C25" i="93" s="1"/>
  <c r="H22" i="27"/>
  <c r="H24" i="27" s="1"/>
  <c r="E25" i="93" s="1"/>
  <c r="F27" i="27"/>
  <c r="F29" i="27" s="1"/>
  <c r="C26" i="94" s="1"/>
  <c r="G27" i="27"/>
  <c r="G29" i="27" s="1"/>
  <c r="D26" i="94" s="1"/>
  <c r="H27" i="27"/>
  <c r="H29" i="27" s="1"/>
  <c r="E26" i="94" s="1"/>
  <c r="G22" i="27"/>
  <c r="G24" i="27" s="1"/>
  <c r="D25" i="93" s="1"/>
  <c r="G33" i="6"/>
  <c r="F33" i="6"/>
  <c r="I37" i="93"/>
  <c r="F37" i="4"/>
  <c r="I12" i="93" s="1"/>
  <c r="F40" i="4"/>
  <c r="G33" i="11"/>
  <c r="F33" i="11"/>
  <c r="H33" i="11"/>
  <c r="G22" i="28"/>
  <c r="G24" i="28" s="1"/>
  <c r="G25" i="93" s="1"/>
  <c r="F27" i="28"/>
  <c r="F29" i="28" s="1"/>
  <c r="F26" i="94" s="1"/>
  <c r="H22" i="28"/>
  <c r="H24" i="28" s="1"/>
  <c r="H25" i="93" s="1"/>
  <c r="H27" i="28"/>
  <c r="H29" i="28" s="1"/>
  <c r="H26" i="94" s="1"/>
  <c r="G27" i="28"/>
  <c r="G29" i="28" s="1"/>
  <c r="G26" i="94" s="1"/>
  <c r="F22" i="28"/>
  <c r="F24" i="28" s="1"/>
  <c r="F25" i="93" s="1"/>
  <c r="J26" i="25"/>
  <c r="J28" i="25" s="1"/>
  <c r="H25" i="94" s="1"/>
  <c r="F26" i="25"/>
  <c r="F28" i="25" s="1"/>
  <c r="D25" i="94" s="1"/>
  <c r="G26" i="25"/>
  <c r="G28" i="25" s="1"/>
  <c r="E25" i="94" s="1"/>
  <c r="I26" i="25"/>
  <c r="I28" i="25" s="1"/>
  <c r="G25" i="94" s="1"/>
  <c r="F21" i="25"/>
  <c r="F23" i="25" s="1"/>
  <c r="D24" i="93" s="1"/>
  <c r="H26" i="25"/>
  <c r="H28" i="25" s="1"/>
  <c r="F25" i="94" s="1"/>
  <c r="H21" i="25"/>
  <c r="H23" i="25" s="1"/>
  <c r="F24" i="93" s="1"/>
  <c r="J21" i="25"/>
  <c r="J23" i="25" s="1"/>
  <c r="H24" i="93" s="1"/>
  <c r="G21" i="25"/>
  <c r="G23" i="25" s="1"/>
  <c r="E24" i="93" s="1"/>
  <c r="I21" i="25"/>
  <c r="I23" i="25" s="1"/>
  <c r="G24" i="93" s="1"/>
  <c r="G31" i="93" l="1"/>
  <c r="I24" i="94"/>
  <c r="J24" i="94" s="1"/>
  <c r="G37" i="5"/>
  <c r="E13" i="93" s="1"/>
  <c r="G40" i="5"/>
  <c r="E38" i="93"/>
  <c r="D39" i="93"/>
  <c r="F40" i="9"/>
  <c r="F37" i="9"/>
  <c r="D14" i="93" s="1"/>
  <c r="F40" i="3"/>
  <c r="G37" i="93"/>
  <c r="F37" i="3"/>
  <c r="G12" i="93" s="1"/>
  <c r="E40" i="93"/>
  <c r="F40" i="11"/>
  <c r="F37" i="11"/>
  <c r="E15" i="93" s="1"/>
  <c r="F40" i="5"/>
  <c r="D38" i="93"/>
  <c r="F37" i="5"/>
  <c r="D13" i="93" s="1"/>
  <c r="F41" i="93"/>
  <c r="G40" i="14"/>
  <c r="G37" i="14"/>
  <c r="F16" i="93" s="1"/>
  <c r="F44" i="4"/>
  <c r="I11" i="94" s="1"/>
  <c r="I59" i="94"/>
  <c r="G40" i="6"/>
  <c r="G37" i="6"/>
  <c r="H13" i="93" s="1"/>
  <c r="H38" i="93"/>
  <c r="I26" i="94"/>
  <c r="J26" i="94" s="1"/>
  <c r="F40" i="10"/>
  <c r="G39" i="93"/>
  <c r="F37" i="10"/>
  <c r="G14" i="93" s="1"/>
  <c r="G37" i="2"/>
  <c r="E12" i="93" s="1"/>
  <c r="E37" i="93"/>
  <c r="G40" i="2"/>
  <c r="F40" i="13"/>
  <c r="F44" i="13" s="1"/>
  <c r="E42" i="93"/>
  <c r="F37" i="13"/>
  <c r="E17" i="93" s="1"/>
  <c r="G37" i="3"/>
  <c r="H12" i="93" s="1"/>
  <c r="G40" i="3"/>
  <c r="H37" i="93"/>
  <c r="H40" i="14"/>
  <c r="H37" i="14"/>
  <c r="I16" i="93" s="1"/>
  <c r="I41" i="93"/>
  <c r="I25" i="94"/>
  <c r="J25" i="94" s="1"/>
  <c r="I40" i="93"/>
  <c r="H40" i="11"/>
  <c r="H37" i="11"/>
  <c r="I15" i="93" s="1"/>
  <c r="G40" i="13"/>
  <c r="G44" i="13" s="1"/>
  <c r="G42" i="93"/>
  <c r="G37" i="13"/>
  <c r="G17" i="93" s="1"/>
  <c r="J17" i="93" s="1"/>
  <c r="K17" i="93" s="1"/>
  <c r="I24" i="93"/>
  <c r="J24" i="93" s="1"/>
  <c r="I25" i="93"/>
  <c r="J25" i="93" s="1"/>
  <c r="F40" i="2"/>
  <c r="D37" i="93"/>
  <c r="F37" i="2"/>
  <c r="D12" i="93" s="1"/>
  <c r="H40" i="9"/>
  <c r="F39" i="93"/>
  <c r="H37" i="9"/>
  <c r="F14" i="93" s="1"/>
  <c r="G40" i="11"/>
  <c r="F40" i="93"/>
  <c r="G37" i="11"/>
  <c r="F15" i="93" s="1"/>
  <c r="G38" i="93"/>
  <c r="F40" i="6"/>
  <c r="F37" i="6"/>
  <c r="G13" i="93" s="1"/>
  <c r="G37" i="10"/>
  <c r="H14" i="93" s="1"/>
  <c r="G40" i="10"/>
  <c r="H39" i="93"/>
  <c r="H40" i="5"/>
  <c r="F38" i="93"/>
  <c r="H37" i="5"/>
  <c r="F13" i="93" s="1"/>
  <c r="I23" i="93"/>
  <c r="J23" i="93" s="1"/>
  <c r="H37" i="2"/>
  <c r="F12" i="93" s="1"/>
  <c r="H40" i="2"/>
  <c r="F37" i="93"/>
  <c r="G40" i="9"/>
  <c r="G37" i="9"/>
  <c r="E14" i="93" s="1"/>
  <c r="E39" i="93"/>
  <c r="F37" i="14"/>
  <c r="E16" i="93" s="1"/>
  <c r="F40" i="14"/>
  <c r="E41" i="93"/>
  <c r="K27" i="94" l="1"/>
  <c r="J13" i="93"/>
  <c r="K13" i="93" s="1"/>
  <c r="K26" i="93"/>
  <c r="J40" i="93"/>
  <c r="K40" i="93" s="1"/>
  <c r="G44" i="10"/>
  <c r="H13" i="94" s="1"/>
  <c r="H61" i="94"/>
  <c r="J37" i="93"/>
  <c r="K37" i="93" s="1"/>
  <c r="I62" i="94"/>
  <c r="H44" i="11"/>
  <c r="I14" i="94" s="1"/>
  <c r="G44" i="2"/>
  <c r="E11" i="94" s="1"/>
  <c r="E59" i="94"/>
  <c r="J16" i="93"/>
  <c r="K16" i="93" s="1"/>
  <c r="J38" i="93"/>
  <c r="K38" i="93" s="1"/>
  <c r="J41" i="93"/>
  <c r="K41" i="93" s="1"/>
  <c r="F60" i="94"/>
  <c r="H44" i="5"/>
  <c r="F12" i="94" s="1"/>
  <c r="F61" i="94"/>
  <c r="H44" i="9"/>
  <c r="F13" i="94" s="1"/>
  <c r="J42" i="93"/>
  <c r="K42" i="93" s="1"/>
  <c r="J15" i="93"/>
  <c r="K15" i="93" s="1"/>
  <c r="J39" i="93"/>
  <c r="K39" i="93" s="1"/>
  <c r="F44" i="14"/>
  <c r="E15" i="94" s="1"/>
  <c r="E63" i="94"/>
  <c r="G44" i="9"/>
  <c r="E13" i="94" s="1"/>
  <c r="E61" i="94"/>
  <c r="F44" i="6"/>
  <c r="G12" i="94" s="1"/>
  <c r="G60" i="94"/>
  <c r="F62" i="94"/>
  <c r="G44" i="11"/>
  <c r="F14" i="94" s="1"/>
  <c r="H59" i="94"/>
  <c r="G44" i="3"/>
  <c r="H11" i="94" s="1"/>
  <c r="F44" i="11"/>
  <c r="E14" i="94" s="1"/>
  <c r="J14" i="94" s="1"/>
  <c r="K14" i="94" s="1"/>
  <c r="E62" i="94"/>
  <c r="F44" i="3"/>
  <c r="G11" i="94" s="1"/>
  <c r="G59" i="94"/>
  <c r="J14" i="93"/>
  <c r="K14" i="93" s="1"/>
  <c r="E60" i="94"/>
  <c r="G44" i="5"/>
  <c r="E12" i="94" s="1"/>
  <c r="F59" i="94"/>
  <c r="H44" i="2"/>
  <c r="F11" i="94" s="1"/>
  <c r="F44" i="2"/>
  <c r="D11" i="94" s="1"/>
  <c r="D59" i="94"/>
  <c r="H44" i="14"/>
  <c r="I15" i="94" s="1"/>
  <c r="I63" i="94"/>
  <c r="G61" i="94"/>
  <c r="F44" i="10"/>
  <c r="G13" i="94" s="1"/>
  <c r="H60" i="94"/>
  <c r="G44" i="6"/>
  <c r="H12" i="94" s="1"/>
  <c r="G44" i="14"/>
  <c r="F15" i="94" s="1"/>
  <c r="F63" i="94"/>
  <c r="D60" i="94"/>
  <c r="F44" i="5"/>
  <c r="D12" i="94" s="1"/>
  <c r="J12" i="93"/>
  <c r="K12" i="93" s="1"/>
  <c r="F44" i="9"/>
  <c r="D13" i="94" s="1"/>
  <c r="D61" i="94"/>
  <c r="J60" i="94" l="1"/>
  <c r="K60" i="94" s="1"/>
  <c r="J61" i="94"/>
  <c r="K61" i="94" s="1"/>
  <c r="J13" i="94"/>
  <c r="K13" i="94" s="1"/>
  <c r="J63" i="94"/>
  <c r="K63" i="94" s="1"/>
  <c r="L43" i="93"/>
  <c r="J15" i="94"/>
  <c r="K15" i="94" s="1"/>
  <c r="J12" i="94"/>
  <c r="K12" i="94" s="1"/>
  <c r="J59" i="94"/>
  <c r="K59" i="94" s="1"/>
  <c r="J11" i="94"/>
  <c r="K11" i="94" s="1"/>
  <c r="J62" i="94"/>
  <c r="K62" i="94" s="1"/>
</calcChain>
</file>

<file path=xl/comments1.xml><?xml version="1.0" encoding="utf-8"?>
<comments xmlns="http://schemas.openxmlformats.org/spreadsheetml/2006/main">
  <authors>
    <author>JCH0IFF</author>
  </authors>
  <commentList>
    <comment ref="A24" authorId="0">
      <text>
        <r>
          <rPr>
            <b/>
            <sz val="8"/>
            <color indexed="81"/>
            <rFont val="Tahoma"/>
            <family val="2"/>
          </rPr>
          <t>JCH0IFF:</t>
        </r>
        <r>
          <rPr>
            <sz val="8"/>
            <color indexed="81"/>
            <rFont val="Tahoma"/>
            <family val="2"/>
          </rPr>
          <t xml:space="preserve">
Same rate for both
</t>
        </r>
      </text>
    </comment>
  </commentList>
</comments>
</file>

<file path=xl/comments10.xml><?xml version="1.0" encoding="utf-8"?>
<comments xmlns="http://schemas.openxmlformats.org/spreadsheetml/2006/main">
  <authors>
    <author>FPL_User</author>
  </authors>
  <commentList>
    <comment ref="G18" authorId="0">
      <text>
        <r>
          <rPr>
            <b/>
            <sz val="8"/>
            <color indexed="81"/>
            <rFont val="Tahoma"/>
            <family val="2"/>
          </rPr>
          <t>Changed to Labor Inflation Rate</t>
        </r>
      </text>
    </comment>
  </commentList>
</comments>
</file>

<file path=xl/comments11.xml><?xml version="1.0" encoding="utf-8"?>
<comments xmlns="http://schemas.openxmlformats.org/spreadsheetml/2006/main">
  <authors>
    <author>FPL_User</author>
  </authors>
  <commentList>
    <comment ref="H18" authorId="0">
      <text>
        <r>
          <rPr>
            <b/>
            <sz val="8"/>
            <color indexed="81"/>
            <rFont val="Tahoma"/>
            <family val="2"/>
          </rPr>
          <t>Changed to Labor Inflation Rate</t>
        </r>
      </text>
    </comment>
  </commentList>
</comments>
</file>

<file path=xl/comments12.xml><?xml version="1.0" encoding="utf-8"?>
<comments xmlns="http://schemas.openxmlformats.org/spreadsheetml/2006/main">
  <authors>
    <author>FPL_User</author>
  </authors>
  <commentList>
    <comment ref="F18" authorId="0">
      <text>
        <r>
          <rPr>
            <b/>
            <sz val="8"/>
            <color indexed="81"/>
            <rFont val="Tahoma"/>
            <family val="2"/>
          </rPr>
          <t>Changed to Labor Inflation Rate</t>
        </r>
      </text>
    </comment>
    <comment ref="G18" authorId="0">
      <text>
        <r>
          <rPr>
            <b/>
            <sz val="8"/>
            <color indexed="81"/>
            <rFont val="Tahoma"/>
            <family val="2"/>
          </rPr>
          <t>Changed to Labor Inflation Rate</t>
        </r>
      </text>
    </comment>
  </commentList>
</comments>
</file>

<file path=xl/comments13.xml><?xml version="1.0" encoding="utf-8"?>
<comments xmlns="http://schemas.openxmlformats.org/spreadsheetml/2006/main">
  <authors>
    <author>FPL_User</author>
  </authors>
  <commentList>
    <comment ref="H18" authorId="0">
      <text>
        <r>
          <rPr>
            <b/>
            <sz val="8"/>
            <color indexed="81"/>
            <rFont val="Tahoma"/>
            <family val="2"/>
          </rPr>
          <t>Changed to Labor Inflation Rate</t>
        </r>
      </text>
    </comment>
  </commentList>
</comments>
</file>

<file path=xl/comments14.xml><?xml version="1.0" encoding="utf-8"?>
<comments xmlns="http://schemas.openxmlformats.org/spreadsheetml/2006/main">
  <authors>
    <author>FPL_User</author>
  </authors>
  <commentList>
    <comment ref="F18" authorId="0">
      <text>
        <r>
          <rPr>
            <b/>
            <sz val="8"/>
            <color indexed="81"/>
            <rFont val="Tahoma"/>
            <family val="2"/>
          </rPr>
          <t>Changed to Labor Inflation Rate</t>
        </r>
      </text>
    </comment>
  </commentList>
</comments>
</file>

<file path=xl/comments15.xml><?xml version="1.0" encoding="utf-8"?>
<comments xmlns="http://schemas.openxmlformats.org/spreadsheetml/2006/main">
  <authors>
    <author>FPL_User</author>
  </authors>
  <commentList>
    <comment ref="J14" authorId="0">
      <text>
        <r>
          <rPr>
            <b/>
            <sz val="8"/>
            <color indexed="81"/>
            <rFont val="Tahoma"/>
            <family val="2"/>
          </rPr>
          <t>Changed to Labor Inflation Rate</t>
        </r>
      </text>
    </comment>
  </commentList>
</comments>
</file>

<file path=xl/comments16.xml><?xml version="1.0" encoding="utf-8"?>
<comments xmlns="http://schemas.openxmlformats.org/spreadsheetml/2006/main">
  <authors>
    <author>FPL_User</author>
  </authors>
  <commentList>
    <comment ref="H15" authorId="0">
      <text>
        <r>
          <rPr>
            <b/>
            <sz val="8"/>
            <color indexed="81"/>
            <rFont val="Tahoma"/>
            <family val="2"/>
          </rPr>
          <t>Changed to Labor Inflation Rate</t>
        </r>
      </text>
    </comment>
  </commentList>
</comments>
</file>

<file path=xl/comments17.xml><?xml version="1.0" encoding="utf-8"?>
<comments xmlns="http://schemas.openxmlformats.org/spreadsheetml/2006/main">
  <authors>
    <author>FPL_User</author>
  </authors>
  <commentList>
    <comment ref="J14" authorId="0">
      <text>
        <r>
          <rPr>
            <b/>
            <sz val="8"/>
            <color indexed="81"/>
            <rFont val="Tahoma"/>
            <family val="2"/>
          </rPr>
          <t>Changed to Labor Inflation Rate</t>
        </r>
      </text>
    </comment>
  </commentList>
</comments>
</file>

<file path=xl/comments18.xml><?xml version="1.0" encoding="utf-8"?>
<comments xmlns="http://schemas.openxmlformats.org/spreadsheetml/2006/main">
  <authors>
    <author>FPL_User</author>
  </authors>
  <commentList>
    <comment ref="H15" authorId="0">
      <text>
        <r>
          <rPr>
            <b/>
            <sz val="8"/>
            <color indexed="81"/>
            <rFont val="Tahoma"/>
            <family val="2"/>
          </rPr>
          <t>Changed to Labor Inflation Rate</t>
        </r>
      </text>
    </comment>
  </commentList>
</comments>
</file>

<file path=xl/comments19.xml><?xml version="1.0" encoding="utf-8"?>
<comments xmlns="http://schemas.openxmlformats.org/spreadsheetml/2006/main">
  <authors>
    <author>FPL_User</author>
  </authors>
  <commentList>
    <comment ref="F15" authorId="0">
      <text>
        <r>
          <rPr>
            <b/>
            <sz val="8"/>
            <color indexed="81"/>
            <rFont val="Tahoma"/>
            <family val="2"/>
          </rPr>
          <t>Changed to Labor Inflation Rate</t>
        </r>
      </text>
    </comment>
  </commentList>
</comments>
</file>

<file path=xl/comments2.xml><?xml version="1.0" encoding="utf-8"?>
<comments xmlns="http://schemas.openxmlformats.org/spreadsheetml/2006/main">
  <authors>
    <author>LXV0OOJ</author>
    <author>JCH0IFF</author>
  </authors>
  <commentList>
    <comment ref="C9" authorId="0">
      <text>
        <r>
          <rPr>
            <b/>
            <sz val="8"/>
            <color indexed="81"/>
            <rFont val="Tahoma"/>
            <family val="2"/>
          </rPr>
          <t>See Carrying Charge Summary in Lighting Cost Input xls
See Lighting Cost Input Summary xls file</t>
        </r>
      </text>
    </comment>
    <comment ref="C10" authorId="0">
      <text>
        <r>
          <rPr>
            <b/>
            <sz val="8"/>
            <color indexed="81"/>
            <rFont val="Tahoma"/>
            <family val="2"/>
          </rPr>
          <t>2010 11_SL-1 and OL-1 2010_lighting_coss_input_summary.xls</t>
        </r>
      </text>
    </comment>
    <comment ref="C11" authorId="1">
      <text>
        <r>
          <rPr>
            <b/>
            <sz val="8"/>
            <color indexed="81"/>
            <rFont val="Tahoma"/>
            <family val="2"/>
          </rPr>
          <t>JCH0IFF:</t>
        </r>
        <r>
          <rPr>
            <sz val="8"/>
            <color indexed="81"/>
            <rFont val="Tahoma"/>
            <family val="2"/>
          </rPr>
          <t xml:space="preserve">
JCH0IFF:
from Rates 12/16/11
FINAL Lighting Maintenance Factor 2011 with Variance Analysis 05-17-11 - IM.XLS</t>
        </r>
      </text>
    </comment>
    <comment ref="E17" authorId="1">
      <text>
        <r>
          <rPr>
            <b/>
            <sz val="8"/>
            <color indexed="81"/>
            <rFont val="Tahoma"/>
            <family val="2"/>
          </rPr>
          <t>JCH0IFF:</t>
        </r>
        <r>
          <rPr>
            <sz val="8"/>
            <color indexed="81"/>
            <rFont val="Tahoma"/>
            <family val="2"/>
          </rPr>
          <t xml:space="preserve">
per Mike Barnum</t>
        </r>
      </text>
    </comment>
    <comment ref="C19" authorId="0">
      <text>
        <r>
          <rPr>
            <b/>
            <sz val="8"/>
            <color indexed="81"/>
            <rFont val="Tahoma"/>
            <family val="2"/>
          </rPr>
          <t>2010 11_SL-1 and OL-1 2010_lighting_coss_input_summary.xls</t>
        </r>
      </text>
    </comment>
    <comment ref="D20" authorId="0">
      <text>
        <r>
          <rPr>
            <b/>
            <sz val="8"/>
            <color indexed="81"/>
            <rFont val="Tahoma"/>
            <family val="2"/>
          </rPr>
          <t xml:space="preserve">LXV0OOJ: </t>
        </r>
        <r>
          <rPr>
            <sz val="8"/>
            <color indexed="81"/>
            <rFont val="Tahoma"/>
            <family val="2"/>
          </rPr>
          <t>Value provided byCorporate Recycling Sservices</t>
        </r>
      </text>
    </comment>
    <comment ref="E20" authorId="1">
      <text>
        <r>
          <rPr>
            <b/>
            <sz val="8"/>
            <color indexed="81"/>
            <rFont val="Tahoma"/>
            <family val="2"/>
          </rPr>
          <t>JCH0IFF:</t>
        </r>
        <r>
          <rPr>
            <sz val="8"/>
            <color indexed="81"/>
            <rFont val="Tahoma"/>
            <family val="2"/>
          </rPr>
          <t xml:space="preserve">
see Street Light Lamp Disposal Cost Analysis.xlsx</t>
        </r>
      </text>
    </comment>
  </commentList>
</comments>
</file>

<file path=xl/comments20.xml><?xml version="1.0" encoding="utf-8"?>
<comments xmlns="http://schemas.openxmlformats.org/spreadsheetml/2006/main">
  <authors>
    <author>JCH0IFF</author>
  </authors>
  <commentList>
    <comment ref="E13" authorId="0">
      <text>
        <r>
          <rPr>
            <b/>
            <sz val="8"/>
            <color indexed="81"/>
            <rFont val="Tahoma"/>
            <family val="2"/>
          </rPr>
          <t>JCH0IFF:</t>
        </r>
        <r>
          <rPr>
            <sz val="8"/>
            <color indexed="81"/>
            <rFont val="Tahoma"/>
            <family val="2"/>
          </rPr>
          <t xml:space="preserve">
OH material Cost</t>
        </r>
      </text>
    </comment>
    <comment ref="E15" authorId="0">
      <text>
        <r>
          <rPr>
            <b/>
            <sz val="8"/>
            <color indexed="81"/>
            <rFont val="Tahoma"/>
            <family val="2"/>
          </rPr>
          <t>JCH0IFF:</t>
        </r>
        <r>
          <rPr>
            <sz val="8"/>
            <color indexed="81"/>
            <rFont val="Tahoma"/>
            <family val="2"/>
          </rPr>
          <t xml:space="preserve">
OH Labor cost</t>
        </r>
      </text>
    </comment>
    <comment ref="E21" authorId="0">
      <text>
        <r>
          <rPr>
            <b/>
            <sz val="8"/>
            <color indexed="81"/>
            <rFont val="Tahoma"/>
            <family val="2"/>
          </rPr>
          <t>JCH0IFF:</t>
        </r>
        <r>
          <rPr>
            <sz val="8"/>
            <color indexed="81"/>
            <rFont val="Tahoma"/>
            <family val="2"/>
          </rPr>
          <t xml:space="preserve">
mid-year OH cost</t>
        </r>
      </text>
    </comment>
    <comment ref="H34" authorId="0">
      <text>
        <r>
          <rPr>
            <b/>
            <sz val="8"/>
            <color indexed="81"/>
            <rFont val="Tahoma"/>
            <family val="2"/>
          </rPr>
          <t>JCH0IFF:</t>
        </r>
        <r>
          <rPr>
            <sz val="8"/>
            <color indexed="81"/>
            <rFont val="Tahoma"/>
            <family val="2"/>
          </rPr>
          <t xml:space="preserve">
Differencial Cost @ mid-year</t>
        </r>
      </text>
    </comment>
    <comment ref="H35" authorId="0">
      <text>
        <r>
          <rPr>
            <b/>
            <sz val="8"/>
            <color indexed="81"/>
            <rFont val="Tahoma"/>
            <family val="2"/>
          </rPr>
          <t>JCH0IFF:</t>
        </r>
        <r>
          <rPr>
            <sz val="8"/>
            <color indexed="81"/>
            <rFont val="Tahoma"/>
            <family val="2"/>
          </rPr>
          <t xml:space="preserve">
Unitized differencial cost</t>
        </r>
      </text>
    </comment>
    <comment ref="H37" authorId="0">
      <text>
        <r>
          <rPr>
            <b/>
            <sz val="8"/>
            <color indexed="81"/>
            <rFont val="Tahoma"/>
            <family val="2"/>
          </rPr>
          <t>JCH0IFF:</t>
        </r>
        <r>
          <rPr>
            <sz val="8"/>
            <color indexed="81"/>
            <rFont val="Tahoma"/>
            <family val="2"/>
          </rPr>
          <t xml:space="preserve">
Adders @ 1/12 of yearly</t>
        </r>
      </text>
    </comment>
    <comment ref="H38" authorId="0">
      <text>
        <r>
          <rPr>
            <b/>
            <sz val="8"/>
            <color indexed="81"/>
            <rFont val="Tahoma"/>
            <family val="2"/>
          </rPr>
          <t>JCH0IFF:</t>
        </r>
        <r>
          <rPr>
            <sz val="8"/>
            <color indexed="81"/>
            <rFont val="Tahoma"/>
            <family val="2"/>
          </rPr>
          <t xml:space="preserve">
Adders @ 1/12 of yearly</t>
        </r>
      </text>
    </comment>
    <comment ref="H39" authorId="0">
      <text>
        <r>
          <rPr>
            <b/>
            <sz val="8"/>
            <color indexed="81"/>
            <rFont val="Tahoma"/>
            <family val="2"/>
          </rPr>
          <t>JCH0IFF:</t>
        </r>
        <r>
          <rPr>
            <sz val="8"/>
            <color indexed="81"/>
            <rFont val="Tahoma"/>
            <family val="2"/>
          </rPr>
          <t xml:space="preserve">
per foot differencial cost</t>
        </r>
      </text>
    </comment>
  </commentList>
</comments>
</file>

<file path=xl/comments21.xml><?xml version="1.0" encoding="utf-8"?>
<comments xmlns="http://schemas.openxmlformats.org/spreadsheetml/2006/main">
  <authors>
    <author>JCH0IFF</author>
  </authors>
  <commentList>
    <comment ref="E17" authorId="0">
      <text>
        <r>
          <rPr>
            <b/>
            <sz val="8"/>
            <color indexed="81"/>
            <rFont val="Tahoma"/>
            <family val="2"/>
          </rPr>
          <t>JCH0IFF:</t>
        </r>
        <r>
          <rPr>
            <sz val="8"/>
            <color indexed="81"/>
            <rFont val="Tahoma"/>
            <family val="2"/>
          </rPr>
          <t xml:space="preserve">
Based on #4T 150' spans</t>
        </r>
      </text>
    </comment>
  </commentList>
</comments>
</file>

<file path=xl/comments3.xml><?xml version="1.0" encoding="utf-8"?>
<comments xmlns="http://schemas.openxmlformats.org/spreadsheetml/2006/main">
  <authors>
    <author>JCH0IFF</author>
    <author>JCH0IFF Joe</author>
  </authors>
  <commentList>
    <comment ref="D10" authorId="0">
      <text>
        <r>
          <rPr>
            <b/>
            <sz val="8"/>
            <color indexed="81"/>
            <rFont val="Tahoma"/>
            <family val="2"/>
          </rPr>
          <t>JCH0IFF:</t>
        </r>
        <r>
          <rPr>
            <sz val="8"/>
            <color indexed="81"/>
            <rFont val="Tahoma"/>
            <family val="2"/>
          </rPr>
          <t xml:space="preserve">
See next tab!!!
</t>
        </r>
      </text>
    </comment>
    <comment ref="D18" authorId="1">
      <text>
        <r>
          <rPr>
            <b/>
            <sz val="9"/>
            <color indexed="81"/>
            <rFont val="Tahoma"/>
            <family val="2"/>
          </rPr>
          <t>JCH0IFF Joe:</t>
        </r>
        <r>
          <rPr>
            <sz val="9"/>
            <color indexed="81"/>
            <rFont val="Tahoma"/>
            <family val="2"/>
          </rPr>
          <t xml:space="preserve">
Sharon Glickman</t>
        </r>
      </text>
    </comment>
    <comment ref="D23" authorId="1">
      <text>
        <r>
          <rPr>
            <b/>
            <sz val="9"/>
            <color indexed="81"/>
            <rFont val="Tahoma"/>
            <family val="2"/>
          </rPr>
          <t>JCH0IFF Joe:</t>
        </r>
        <r>
          <rPr>
            <sz val="9"/>
            <color indexed="81"/>
            <rFont val="Tahoma"/>
            <family val="2"/>
          </rPr>
          <t xml:space="preserve">
to Millie Cherrez</t>
        </r>
      </text>
    </comment>
    <comment ref="D25" authorId="1">
      <text>
        <r>
          <rPr>
            <b/>
            <sz val="9"/>
            <color indexed="81"/>
            <rFont val="Tahoma"/>
            <family val="2"/>
          </rPr>
          <t>JCH0IFF Joe:</t>
        </r>
        <r>
          <rPr>
            <sz val="9"/>
            <color indexed="81"/>
            <rFont val="Tahoma"/>
            <family val="2"/>
          </rPr>
          <t xml:space="preserve">
Richard Feldman</t>
        </r>
      </text>
    </comment>
    <comment ref="D26" authorId="1">
      <text>
        <r>
          <rPr>
            <b/>
            <sz val="9"/>
            <color indexed="81"/>
            <rFont val="Tahoma"/>
            <family val="2"/>
          </rPr>
          <t>JCH0IFF Joe:</t>
        </r>
        <r>
          <rPr>
            <sz val="9"/>
            <color indexed="81"/>
            <rFont val="Tahoma"/>
            <family val="2"/>
          </rPr>
          <t xml:space="preserve">
verified by Sharon Glickman</t>
        </r>
      </text>
    </comment>
    <comment ref="D29" authorId="0">
      <text>
        <r>
          <rPr>
            <b/>
            <sz val="8"/>
            <color indexed="81"/>
            <rFont val="Tahoma"/>
            <family val="2"/>
          </rPr>
          <t>JCH0IFF:</t>
        </r>
        <r>
          <rPr>
            <sz val="8"/>
            <color indexed="81"/>
            <rFont val="Tahoma"/>
            <family val="2"/>
          </rPr>
          <t xml:space="preserve">
per Max Avila</t>
        </r>
      </text>
    </comment>
    <comment ref="D31" authorId="0">
      <text>
        <r>
          <rPr>
            <b/>
            <sz val="8"/>
            <color indexed="81"/>
            <rFont val="Tahoma"/>
            <family val="2"/>
          </rPr>
          <t>JCH0IFF:</t>
        </r>
        <r>
          <rPr>
            <sz val="8"/>
            <color indexed="81"/>
            <rFont val="Tahoma"/>
            <family val="2"/>
          </rPr>
          <t xml:space="preserve">
Labor cost from Terry Kitchener</t>
        </r>
      </text>
    </comment>
    <comment ref="E34" authorId="1">
      <text>
        <r>
          <rPr>
            <b/>
            <sz val="9"/>
            <color indexed="81"/>
            <rFont val="Tahoma"/>
            <family val="2"/>
          </rPr>
          <t>JCH0IFF Joe:</t>
        </r>
        <r>
          <rPr>
            <sz val="9"/>
            <color indexed="81"/>
            <rFont val="Tahoma"/>
            <family val="2"/>
          </rPr>
          <t xml:space="preserve">
from Porfirio A.  Cevallos  (Tony)</t>
        </r>
      </text>
    </comment>
  </commentList>
</comments>
</file>

<file path=xl/comments4.xml><?xml version="1.0" encoding="utf-8"?>
<comments xmlns="http://schemas.openxmlformats.org/spreadsheetml/2006/main">
  <authors>
    <author>FPL_User</author>
    <author>JCH0IFF</author>
  </authors>
  <commentList>
    <comment ref="F11" authorId="0">
      <text>
        <r>
          <rPr>
            <b/>
            <sz val="8"/>
            <color indexed="81"/>
            <rFont val="Tahoma"/>
            <family val="2"/>
          </rPr>
          <t>Used trunc function to insure results of calculation came up with a whole kWh</t>
        </r>
      </text>
    </comment>
    <comment ref="H11" authorId="1">
      <text>
        <r>
          <rPr>
            <b/>
            <sz val="8"/>
            <color indexed="81"/>
            <rFont val="Tahoma"/>
            <family val="2"/>
          </rPr>
          <t>JCH0IFF:</t>
        </r>
        <r>
          <rPr>
            <sz val="8"/>
            <color indexed="81"/>
            <rFont val="Tahoma"/>
            <family val="2"/>
          </rPr>
          <t xml:space="preserve">
=TRUNC(+H7*(1/12)*4.24)
Watts - Month Conversion - (4,240 Hours per Year / 1000)</t>
        </r>
      </text>
    </comment>
    <comment ref="H43" authorId="0">
      <text>
        <r>
          <rPr>
            <b/>
            <sz val="8"/>
            <color indexed="81"/>
            <rFont val="Tahoma"/>
            <family val="2"/>
          </rPr>
          <t>@round function added
Tied to OL-1 rate</t>
        </r>
      </text>
    </comment>
    <comment ref="I51" authorId="0">
      <text>
        <r>
          <rPr>
            <b/>
            <sz val="8"/>
            <color indexed="81"/>
            <rFont val="Tahoma"/>
            <family val="2"/>
          </rPr>
          <t>OL-1 energy rate is different from SL-1</t>
        </r>
      </text>
    </comment>
  </commentList>
</comments>
</file>

<file path=xl/comments5.xml><?xml version="1.0" encoding="utf-8"?>
<comments xmlns="http://schemas.openxmlformats.org/spreadsheetml/2006/main">
  <authors>
    <author>FPL_User</author>
  </authors>
  <commentList>
    <comment ref="G18" authorId="0">
      <text>
        <r>
          <rPr>
            <b/>
            <sz val="8"/>
            <color indexed="81"/>
            <rFont val="Tahoma"/>
            <family val="2"/>
          </rPr>
          <t>Corrected to link to cell H$53</t>
        </r>
      </text>
    </comment>
  </commentList>
</comments>
</file>

<file path=xl/comments6.xml><?xml version="1.0" encoding="utf-8"?>
<comments xmlns="http://schemas.openxmlformats.org/spreadsheetml/2006/main">
  <authors>
    <author>FPL_User</author>
  </authors>
  <commentList>
    <comment ref="F18" authorId="0">
      <text>
        <r>
          <rPr>
            <b/>
            <sz val="8"/>
            <color indexed="81"/>
            <rFont val="Tahoma"/>
            <family val="2"/>
          </rPr>
          <t>Corrected to link to cell H$53</t>
        </r>
      </text>
    </comment>
  </commentList>
</comments>
</file>

<file path=xl/comments7.xml><?xml version="1.0" encoding="utf-8"?>
<comments xmlns="http://schemas.openxmlformats.org/spreadsheetml/2006/main">
  <authors>
    <author>FPL_User</author>
  </authors>
  <commentList>
    <comment ref="H18" authorId="0">
      <text>
        <r>
          <rPr>
            <b/>
            <sz val="8"/>
            <color indexed="81"/>
            <rFont val="Tahoma"/>
            <family val="2"/>
          </rPr>
          <t>Changed to Labor Inflation Rate</t>
        </r>
      </text>
    </comment>
  </commentList>
</comments>
</file>

<file path=xl/comments8.xml><?xml version="1.0" encoding="utf-8"?>
<comments xmlns="http://schemas.openxmlformats.org/spreadsheetml/2006/main">
  <authors>
    <author>FPL_User</author>
  </authors>
  <commentList>
    <comment ref="G18" authorId="0">
      <text>
        <r>
          <rPr>
            <b/>
            <sz val="8"/>
            <color indexed="81"/>
            <rFont val="Tahoma"/>
            <family val="2"/>
          </rPr>
          <t>Corrected to link to cell H$53</t>
        </r>
      </text>
    </comment>
  </commentList>
</comments>
</file>

<file path=xl/comments9.xml><?xml version="1.0" encoding="utf-8"?>
<comments xmlns="http://schemas.openxmlformats.org/spreadsheetml/2006/main">
  <authors>
    <author>FPL_User</author>
  </authors>
  <commentList>
    <comment ref="H18" authorId="0">
      <text>
        <r>
          <rPr>
            <b/>
            <sz val="8"/>
            <color indexed="81"/>
            <rFont val="Tahoma"/>
            <family val="2"/>
          </rPr>
          <t xml:space="preserve">changed to reference H$53
</t>
        </r>
      </text>
    </comment>
  </commentList>
</comments>
</file>

<file path=xl/sharedStrings.xml><?xml version="1.0" encoding="utf-8"?>
<sst xmlns="http://schemas.openxmlformats.org/spreadsheetml/2006/main" count="5262" uniqueCount="1004">
  <si>
    <t>Data Entry Area - Type in Values</t>
  </si>
  <si>
    <t>Workbook is Updated Automatically</t>
  </si>
  <si>
    <t>POLES</t>
  </si>
  <si>
    <t>Revenue Tax Factor</t>
  </si>
  <si>
    <t>Maintenance Factors for:</t>
  </si>
  <si>
    <t xml:space="preserve">   Streetlighting (SL)</t>
  </si>
  <si>
    <t xml:space="preserve">   Outdoor Lighting (OL)</t>
  </si>
  <si>
    <t>Non-Fuel Energy Charge</t>
  </si>
  <si>
    <t>EO/CO Rate</t>
  </si>
  <si>
    <t>Stores Loading</t>
  </si>
  <si>
    <r>
      <t xml:space="preserve">Labor Cost                                                            </t>
    </r>
    <r>
      <rPr>
        <b/>
        <sz val="10"/>
        <rFont val="Arial"/>
        <family val="2"/>
      </rPr>
      <t xml:space="preserve"> OH</t>
    </r>
  </si>
  <si>
    <t>UG</t>
  </si>
  <si>
    <t>Relamping Labor</t>
  </si>
  <si>
    <t>Lamp Disposal</t>
  </si>
  <si>
    <t>Material Inflation Rate</t>
  </si>
  <si>
    <t>INCANDESCENT</t>
  </si>
  <si>
    <t>HPS/MV/MH</t>
  </si>
  <si>
    <t>Labor Inflation Rate</t>
  </si>
  <si>
    <t>Present Tax Rate</t>
  </si>
  <si>
    <t>STREET LIGHT MATERIAL COSTS</t>
  </si>
  <si>
    <t>MATERIAL DESCRIPTION</t>
  </si>
  <si>
    <t>M&amp;S #</t>
  </si>
  <si>
    <t>COSTS</t>
  </si>
  <si>
    <t>UNIT</t>
  </si>
  <si>
    <t>CABLE,ALUMINUM,1000V,2/C #6</t>
  </si>
  <si>
    <t>PER FT</t>
  </si>
  <si>
    <t>TIE WIRE, #4 ALUMINUM SOFT DRAWN, 250'</t>
  </si>
  <si>
    <t>CONDUCTOR,BARE,#4 AAAC</t>
  </si>
  <si>
    <t>CONNECTOR,ALUM,COMP,12STR-6SOL TO 6-2STR</t>
  </si>
  <si>
    <t>EACH</t>
  </si>
  <si>
    <t>CABLE,COPPER,1000V,2/C #12,ST LT BRACKET</t>
  </si>
  <si>
    <t>WIRE C SDB #6 SOL</t>
  </si>
  <si>
    <t>WIRE C SDB #4 SOL</t>
  </si>
  <si>
    <t xml:space="preserve">WIRE #12 COPPER 600V THHN-THWN GREEN </t>
  </si>
  <si>
    <t>CONNECTORS, GROUND ROD 5/8" CLAMP</t>
  </si>
  <si>
    <t>CONNECTOR,COPPER,COMPRESSION #301-82</t>
  </si>
  <si>
    <t xml:space="preserve">RODS,GROUNDS &amp; ACCESSORIES 5/8" COUPLING </t>
  </si>
  <si>
    <t>RODS, GROUNDS &amp; ACCESSORIES 5/8" X 10'</t>
  </si>
  <si>
    <t>BOLT, MACHINE 5/8"X8"</t>
  </si>
  <si>
    <t>BOLT, MACHINE, GALV. ANSI C135.1 5/8X10"</t>
  </si>
  <si>
    <t>FORK CLEVIS W/O INS</t>
  </si>
  <si>
    <t>NAIL-AL, 1-1/2"LONG,.120 PLAIN SHANK DIA</t>
  </si>
  <si>
    <t>PER LB</t>
  </si>
  <si>
    <t>SCREW,LAG 1/2"X4",GALVANIZED</t>
  </si>
  <si>
    <t>INSULATORS,SPOOL,CLASS ANSI 53-2 SMALL</t>
  </si>
  <si>
    <t>STAPLE, 1-1/2" X 3/8" X .148"</t>
  </si>
  <si>
    <t>WASHER, ROUND GALVANIZED 5/8" BOLT</t>
  </si>
  <si>
    <t xml:space="preserve">WASHER RD,1-3/8" X 7/64" FOR 1/2" BOLT </t>
  </si>
  <si>
    <t xml:space="preserve">WASHER,RD,2" X 5/32" FOR 3/4" BOLT </t>
  </si>
  <si>
    <t>WASHER, SPRING, 5/8" BOLT</t>
  </si>
  <si>
    <t>WASHER, SPRING, LOCK 3/4" BOLT</t>
  </si>
  <si>
    <t>WASHER,SQ,2-1/4" X 3/16",WITH 13/16 HOLE</t>
  </si>
  <si>
    <t>POLE,WOOD,CCA,LENGTH 30',CLASS 6 PER 1-8</t>
  </si>
  <si>
    <t xml:space="preserve">POLE,WOOD,CCA,LENGTH 35',CLASS 5,PER 1-8 </t>
  </si>
  <si>
    <t>POLE,WOOD,CCA,LENGTH 40',CLASS 5,PER 1-8</t>
  </si>
  <si>
    <t>POLE, WOOD, CCA, LENGTH 45', CLASS 4, PER 1-8</t>
  </si>
  <si>
    <t>POLES,CONCRETE, 20F*O, STD</t>
  </si>
  <si>
    <t>POLES,CONCRETE,30',TYPE S-U,STD DRILLING</t>
  </si>
  <si>
    <t>POLES,CONCRETE,35',TYPE S-U,STD DRILLING</t>
  </si>
  <si>
    <t xml:space="preserve">POLES, CONCRETE, 40F*3G, STD </t>
  </si>
  <si>
    <t>POLE, CONCRETE,PRESTRESSED,40' TYPE IIIA</t>
  </si>
  <si>
    <t>POLE,CONCRETE,PRESTRESSED,45' TYPE IIIA</t>
  </si>
  <si>
    <t>POLE, CONCRETE, PRESTRESSED, 50F*3A,STD</t>
  </si>
  <si>
    <t>POLE,FIBERGLASS,20',FOR POST TOP LUM</t>
  </si>
  <si>
    <t>COVER,SPLICE,SUBMERSIBLE,WYE,SMALL</t>
  </si>
  <si>
    <t>BEND-CONDUIT,2" PVC 90D 24R</t>
  </si>
  <si>
    <t>COUPLING-CONDUIT,2" PVC,EXTRA LONG</t>
  </si>
  <si>
    <t>LUMINAIRE,OPN BOT,TYPE I,HPSV,120V,70W</t>
  </si>
  <si>
    <t xml:space="preserve">LUMINAIRE,OPN BOT,TYPE I,HPSV,120V,100W </t>
  </si>
  <si>
    <t xml:space="preserve">LUMINAIRE,OPN BOT,TYPE I,HPSV,120V,150W </t>
  </si>
  <si>
    <t>LUMINAIRE,OPN BOT,TYPE I,HPSV,120V,70W 'OL'</t>
  </si>
  <si>
    <t>LUMINAIRE,OPN BOT,TYPE I,HPSV,120V,100W 'OL'</t>
  </si>
  <si>
    <t>LUMINAIRE,OPN BOT,TYPE I,HPSV,120V,150W 'OL'</t>
  </si>
  <si>
    <t>LUMINAIRE,POST TOP,TRAD,HPSV,120V,70W</t>
  </si>
  <si>
    <t xml:space="preserve">LUMINAIRE,POST TOP,TRAD,HPSV,120V,100W </t>
  </si>
  <si>
    <t>LUMINAIRE,POST TOP,TRAD,HPSV,120V,150W</t>
  </si>
  <si>
    <t>LUMINAIRE,POST TOP,CONT,HPSV,120V,70W</t>
  </si>
  <si>
    <t>LUMINAIRE,POST TOP,CONT,HPSV,120V,100W</t>
  </si>
  <si>
    <t>LUMINAIRE,POST TOP,CONT,HPSV,120V,150W</t>
  </si>
  <si>
    <t>LUMINAIRE,COBRA HEAD,STD,HPSV,120V,400W</t>
  </si>
  <si>
    <t>LUMINAIRE,COBRA HEAD,STD,HPSV,120V,200W</t>
  </si>
  <si>
    <t>LUMINAIRE,COBRA HEAD,STD,HPSV,120V,250W</t>
  </si>
  <si>
    <t>LUMINAIRE,COBRA HEAD,STD,HPSV,120V,100W</t>
  </si>
  <si>
    <t>LUMINAIRE,COBRA HEAD,STD,HPSV,120V,150W</t>
  </si>
  <si>
    <t>LUMINAIRE,COBRA HEAD,STD,HPSV,120V,70W</t>
  </si>
  <si>
    <t>LUMINAIRE,COBRA HD,CUTOFF,HPSV,120V,70W</t>
  </si>
  <si>
    <t>LUMINAIRE,HORZ,CUTOFF,HPSV,120V,100W</t>
  </si>
  <si>
    <t xml:space="preserve">LUMINAIRE,COBRA HD,CUTOFF,HPSV,120V,150W </t>
  </si>
  <si>
    <t>LUMINAIRE,COBRA HD,CUTOFF,HPSV,120V,400W</t>
  </si>
  <si>
    <t>LUMINAIRE,POST TOP,CONT,HPSV,120V,250W</t>
  </si>
  <si>
    <t>LUMINAIRE,COBRA HD,CUTOFF,HPSV,120V,200W</t>
  </si>
  <si>
    <t>LUMINAIRE,DIRECTIONAL SEC,HPSV,120V,400W</t>
  </si>
  <si>
    <t>LUMINAIRE,DIRECTIONAL SEC,HPSV,120V,200W</t>
  </si>
  <si>
    <t>LUMINAIRE,DIRECTIONAL SEC,HPSV,120V,70W</t>
  </si>
  <si>
    <t>LAMP,HPSV,12000 LUMENS,150 WATTS</t>
  </si>
  <si>
    <t>LAMP, HPSV, 27500 LUMENS, 250 WATTS</t>
  </si>
  <si>
    <t>LAMP,HPSV, 50000 LUMENS, 400 WATTS</t>
  </si>
  <si>
    <t>LAMP, HPSV, 140000 LUMENS, 1000 WATTS</t>
  </si>
  <si>
    <t>LAMP,HPSV,9500 LUMENS,100 WATTS</t>
  </si>
  <si>
    <t>LAMP,HPSV,6300 LUMENS,70 WATTS</t>
  </si>
  <si>
    <t>LAMP,HPSV,22000 LUMENS,200 WATTS</t>
  </si>
  <si>
    <t>LAMP, HPSV,16000 LUMENS, 150 WATTS</t>
  </si>
  <si>
    <t>LAMP,MV,8600/6000 LUMENS,175/140 WATTS</t>
  </si>
  <si>
    <t>LAMP,MV,21500 LUMENS,400 WATTS</t>
  </si>
  <si>
    <t xml:space="preserve">VANDAL SHIELD W/FPL LOGO,POLYCARB FOR CT </t>
  </si>
  <si>
    <t xml:space="preserve">BRACKET,DIR SEC LUM,2 FT X 1-1/4 IN </t>
  </si>
  <si>
    <t>BRACKET, STREET LIGHT,6 FT X 1-1/4 IN</t>
  </si>
  <si>
    <t xml:space="preserve">BRACKET,ST LT,ALUMINUM,8 FT X 1-1/4 IN </t>
  </si>
  <si>
    <t>RELAY,PHOTOCELL,TWIST-LK,120V,1P,NC</t>
  </si>
  <si>
    <t>COMPOUND, CABLE PULLING 5 GALLON PAIL</t>
  </si>
  <si>
    <t>ADHESIVE,SILICONE RUBBER SEALANT,CLEAR</t>
  </si>
  <si>
    <t>CEMENT, PVC CONDUIT, PINT CAN</t>
  </si>
  <si>
    <t>LUMINAIRE, COBRA, ST'D, 14000 LUMENS, 1000W</t>
  </si>
  <si>
    <t>170-93000-5</t>
  </si>
  <si>
    <t>LAMP, HPSV, 11500L, 250W</t>
  </si>
  <si>
    <t>171-48800-4</t>
  </si>
  <si>
    <t>LAMP, INCANDESCENT,2500L, 202W</t>
  </si>
  <si>
    <t>171-41300-4</t>
  </si>
  <si>
    <t>LAMP, MH, 13000 LUMENS, 175 WATTS</t>
  </si>
  <si>
    <t>LAMP, MH, 20500 LUMENS, 250 WATTS</t>
  </si>
  <si>
    <t>LAMP, MH, 36000 LUMENS, 400 WATTS</t>
  </si>
  <si>
    <t>5/16" GUY WIRE</t>
  </si>
  <si>
    <t>5/16" PREFORM GUY GRIP</t>
  </si>
  <si>
    <t>10" HELIX SCREW ANCHOR (10")</t>
  </si>
  <si>
    <t>6300L/70W</t>
  </si>
  <si>
    <t>Type of Luminaire</t>
  </si>
  <si>
    <t>HPSV</t>
  </si>
  <si>
    <t>Standard</t>
  </si>
  <si>
    <t>Cutoff</t>
  </si>
  <si>
    <t>Open Bottom</t>
  </si>
  <si>
    <t>Cobra Head</t>
  </si>
  <si>
    <t>Physical Characteristics</t>
  </si>
  <si>
    <t>Watts per Hour</t>
  </si>
  <si>
    <t>KWH per Month (*1)</t>
  </si>
  <si>
    <t>Lamp Life (Months)</t>
  </si>
  <si>
    <t>Total Investment</t>
  </si>
  <si>
    <t>Material (*2)</t>
  </si>
  <si>
    <t>Labor (*3)</t>
  </si>
  <si>
    <t>Total Investment @ Mid Year</t>
  </si>
  <si>
    <t>Monthly Relamping Cost</t>
  </si>
  <si>
    <t>Cost of Lamp (*4)</t>
  </si>
  <si>
    <t>Relamping Labor (*5)</t>
  </si>
  <si>
    <t>Total Monthly Relamping Cost @ Mid-Year</t>
  </si>
  <si>
    <t>Monthly Relamping Cost @ Mid-Year (*6)</t>
  </si>
  <si>
    <t>Monthly Cost of Service for Streetlights  (*7)</t>
  </si>
  <si>
    <t>Facilities (*8)</t>
  </si>
  <si>
    <t>Maintenance (*9)</t>
  </si>
  <si>
    <t>Relamping  (*11)</t>
  </si>
  <si>
    <t>Non-Fuel (*12)</t>
  </si>
  <si>
    <t>Monthly Cost of Service @ Mid-Year</t>
  </si>
  <si>
    <t>Monthly Cost of Service for Outdoor Lights  (*7)</t>
  </si>
  <si>
    <t>Maintenance (*10)</t>
  </si>
  <si>
    <t>Carrying Charge</t>
  </si>
  <si>
    <t>(*2) See Material Summary</t>
  </si>
  <si>
    <t>(*3) See Labor Summary</t>
  </si>
  <si>
    <t>(*4) Lamp Price + Sales Tax + Stores Handling+Lamp Disposal Cost</t>
  </si>
  <si>
    <t>(*5) See Average Relamping Labor Cost</t>
  </si>
  <si>
    <t>(*6) Total Relamping Cost Divided by Lamp Life</t>
  </si>
  <si>
    <t>(*7) Includes Revenue Tax Factor</t>
  </si>
  <si>
    <t>(*8) 1/12 of  Carrying Charge x Total Investment x Revenue Tax Factor</t>
  </si>
  <si>
    <t>(*9) 1/12 of SL Maint. Factor  x Total Investment x Revenue Tax Factor</t>
  </si>
  <si>
    <t>Labor Cost</t>
  </si>
  <si>
    <t>(*10) 1/12 of OL Maint. Factor x Total Investment x Revenue Tax Factor</t>
  </si>
  <si>
    <t>(*11) Monthly Relamping Cost x Revenue Tax Factor</t>
  </si>
  <si>
    <t>(*12) Non-Fuel Energy Charge x KWH per Month</t>
  </si>
  <si>
    <t>Lamp Cost</t>
  </si>
  <si>
    <t>Lamp Disposal Cost</t>
  </si>
  <si>
    <t>Tax Rate</t>
  </si>
  <si>
    <t>Contemporary</t>
  </si>
  <si>
    <t>Traditional</t>
  </si>
  <si>
    <t>Post Top</t>
  </si>
  <si>
    <t>Directional</t>
  </si>
  <si>
    <t>Security</t>
  </si>
  <si>
    <t>9500L/100W</t>
  </si>
  <si>
    <t>Open</t>
  </si>
  <si>
    <t>Bottom</t>
  </si>
  <si>
    <t>12000L/150W</t>
  </si>
  <si>
    <t>"Retrofit Units"</t>
  </si>
  <si>
    <t>Traditonal</t>
  </si>
  <si>
    <t>16000L/150W</t>
  </si>
  <si>
    <t>22000L/200W</t>
  </si>
  <si>
    <t>27500L/250W</t>
  </si>
  <si>
    <t>50000L/400W</t>
  </si>
  <si>
    <t>140000L/1000W</t>
  </si>
  <si>
    <t>6000L/140W</t>
  </si>
  <si>
    <t>MV</t>
  </si>
  <si>
    <t>8600L/175W</t>
  </si>
  <si>
    <t>2500L/202W</t>
  </si>
  <si>
    <t>Incandescent</t>
  </si>
  <si>
    <t>Overhead Construction</t>
  </si>
  <si>
    <t>Wood Poles</t>
  </si>
  <si>
    <t>Type of Wood Pole</t>
  </si>
  <si>
    <t>30'/6</t>
  </si>
  <si>
    <t>35'/5</t>
  </si>
  <si>
    <t>40'/5</t>
  </si>
  <si>
    <t>45'/4</t>
  </si>
  <si>
    <t>Material (*1)</t>
  </si>
  <si>
    <t>Labor (*2)</t>
  </si>
  <si>
    <t>Monthly Cost of Service for Streetlight Application</t>
  </si>
  <si>
    <t>Facilities (*4)</t>
  </si>
  <si>
    <t>Streetlighting Maintenance (*5)</t>
  </si>
  <si>
    <t>Monthly Cost of Service for Outdoor Light Application</t>
  </si>
  <si>
    <t>Outdoor Maintenance (*6)</t>
  </si>
  <si>
    <t>(*1) See Material Summary</t>
  </si>
  <si>
    <t>(*2) See Labor Summary</t>
  </si>
  <si>
    <t>(*3) Includes Revenue Tax Factor</t>
  </si>
  <si>
    <t>(*4) 1/12 of  Carrying Charge x Total Investment x Revenue Tax Factor</t>
  </si>
  <si>
    <t>(*5) 1/12 of SL Maint. Factor  x Total Investment x Revenue Tax Factor</t>
  </si>
  <si>
    <t>(*6) 1/12 of OL Maint. Factor x Total Investment x Revenue Tax Factor</t>
  </si>
  <si>
    <t>Concrete Poles</t>
  </si>
  <si>
    <t>Type of Concrete Pole</t>
  </si>
  <si>
    <t>30' SU</t>
  </si>
  <si>
    <t>35' SU</t>
  </si>
  <si>
    <t>40' IIIG</t>
  </si>
  <si>
    <t>Underground Construction</t>
  </si>
  <si>
    <t>Fiberglass Poles</t>
  </si>
  <si>
    <t>20'</t>
  </si>
  <si>
    <t>20' O</t>
  </si>
  <si>
    <t>40 IIIA</t>
  </si>
  <si>
    <t>45 IIIA</t>
  </si>
  <si>
    <t>50 IIIA</t>
  </si>
  <si>
    <t>Cost of Downguy Service</t>
  </si>
  <si>
    <t>Underground</t>
  </si>
  <si>
    <t>Under</t>
  </si>
  <si>
    <t>Overhead</t>
  </si>
  <si>
    <t>Parkway</t>
  </si>
  <si>
    <t>Pavement</t>
  </si>
  <si>
    <t>Downguy</t>
  </si>
  <si>
    <t>Service</t>
  </si>
  <si>
    <t>Purchase (*3)</t>
  </si>
  <si>
    <t>Monthly Cost of Service for Down Guy Installation on Outdoor Light Application</t>
  </si>
  <si>
    <t>Outdoor Maintenance (*5)</t>
  </si>
  <si>
    <t>Differential Cost</t>
  </si>
  <si>
    <t>Underground Under Parkway vs. Overhead Service</t>
  </si>
  <si>
    <t>Underground Under Parkway Service</t>
  </si>
  <si>
    <t>Overhead Service</t>
  </si>
  <si>
    <t>Differential Cost per 300 ft.</t>
  </si>
  <si>
    <t>Differential cost per 1 ft.</t>
  </si>
  <si>
    <t>Underground Under Pavement vs. Overhead Service</t>
  </si>
  <si>
    <t>Underground Under Pavement Service</t>
  </si>
  <si>
    <t>Differential Cost per 1 ft.</t>
  </si>
  <si>
    <t>(*3) See Purchase Summary</t>
  </si>
  <si>
    <t>Material Summary for HPSV</t>
  </si>
  <si>
    <t>6300 Lumen, 70 Watt</t>
  </si>
  <si>
    <t>Material</t>
  </si>
  <si>
    <t>Unit</t>
  </si>
  <si>
    <t xml:space="preserve">Price </t>
  </si>
  <si>
    <t>Total</t>
  </si>
  <si>
    <t>Description</t>
  </si>
  <si>
    <t>M&amp;S Number</t>
  </si>
  <si>
    <t>Quantity</t>
  </si>
  <si>
    <t>Per Unit</t>
  </si>
  <si>
    <t>Price</t>
  </si>
  <si>
    <t>Connector</t>
  </si>
  <si>
    <t>Cable</t>
  </si>
  <si>
    <t>Wire</t>
  </si>
  <si>
    <t>Ground Connector</t>
  </si>
  <si>
    <t>Bolt</t>
  </si>
  <si>
    <t>Nail</t>
  </si>
  <si>
    <t>Screw</t>
  </si>
  <si>
    <t>Washer</t>
  </si>
  <si>
    <t>Luminaire</t>
  </si>
  <si>
    <t>Lamp</t>
  </si>
  <si>
    <t>Bracket</t>
  </si>
  <si>
    <t>Photo Cell</t>
  </si>
  <si>
    <t>Tag</t>
  </si>
  <si>
    <t xml:space="preserve">Total </t>
  </si>
  <si>
    <r>
      <t>+</t>
    </r>
    <r>
      <rPr>
        <b/>
        <sz val="10"/>
        <rFont val="Arial"/>
        <family val="2"/>
      </rPr>
      <t xml:space="preserve"> Florida Sales</t>
    </r>
  </si>
  <si>
    <r>
      <t>+</t>
    </r>
    <r>
      <rPr>
        <b/>
        <sz val="10"/>
        <rFont val="Arial"/>
        <family val="2"/>
      </rPr>
      <t xml:space="preserve"> Stores</t>
    </r>
  </si>
  <si>
    <t>=</t>
  </si>
  <si>
    <t>Tax</t>
  </si>
  <si>
    <t>Handling</t>
  </si>
  <si>
    <t>Investment</t>
  </si>
  <si>
    <t>Standard Cobra</t>
  </si>
  <si>
    <t>Cutoff Cobra Head</t>
  </si>
  <si>
    <t>Contemporary Post Top</t>
  </si>
  <si>
    <t>Tag Glue</t>
  </si>
  <si>
    <t>Traditional Post Top</t>
  </si>
  <si>
    <t>Directional Security</t>
  </si>
  <si>
    <t>9500 Lumen, 100W</t>
  </si>
  <si>
    <t>9500 Lumen, 100 Watt</t>
  </si>
  <si>
    <t>16000 Lumen, 150 Watt</t>
  </si>
  <si>
    <t>22000 Lumen, 200 Watt</t>
  </si>
  <si>
    <t>27500 Lumen, 250 Watt</t>
  </si>
  <si>
    <t>50000 Lumen, 400 Watt</t>
  </si>
  <si>
    <t>Material Summary for MV</t>
  </si>
  <si>
    <t>140000 Lumen, 1000 Watt</t>
  </si>
  <si>
    <t>Material Summary for 30'/6</t>
  </si>
  <si>
    <t>Wood Pole</t>
  </si>
  <si>
    <t>Tie Rap</t>
  </si>
  <si>
    <t>Conductor</t>
  </si>
  <si>
    <t>Pole Bond</t>
  </si>
  <si>
    <t>* Ground Rod Connector</t>
  </si>
  <si>
    <t>* Ground Rod Coupling</t>
  </si>
  <si>
    <t>* Ground Rod</t>
  </si>
  <si>
    <t>Fork</t>
  </si>
  <si>
    <t>Spool</t>
  </si>
  <si>
    <t>Staple</t>
  </si>
  <si>
    <t>Pole</t>
  </si>
  <si>
    <t>Material Summary for 35'/5</t>
  </si>
  <si>
    <t>Material Summary for 40'/5</t>
  </si>
  <si>
    <t>Material Summary for 45'/4</t>
  </si>
  <si>
    <t>* 1 Driven Ground per 3 Streetlight Poles</t>
  </si>
  <si>
    <t>Material Summary for 30' SU</t>
  </si>
  <si>
    <t>Concrete Pole</t>
  </si>
  <si>
    <t>Material Summary for 35' SU</t>
  </si>
  <si>
    <t>Material Summary for 20' O</t>
  </si>
  <si>
    <t>Splice Cover</t>
  </si>
  <si>
    <t>Material Summary for 20'</t>
  </si>
  <si>
    <t>Fiberglass Pole</t>
  </si>
  <si>
    <t>Material Summary for 40' IIIA</t>
  </si>
  <si>
    <t>Material Summary for 45' IIIA</t>
  </si>
  <si>
    <t>Material Summary for 50' IIIA</t>
  </si>
  <si>
    <t>Material Summary for</t>
  </si>
  <si>
    <t>5/16" Guy Wire</t>
  </si>
  <si>
    <t>5/16" Preform Guy Grip</t>
  </si>
  <si>
    <t>10" Helix Screw Anchor</t>
  </si>
  <si>
    <t>Underground Service</t>
  </si>
  <si>
    <t>Under Parkway</t>
  </si>
  <si>
    <t>Handhole</t>
  </si>
  <si>
    <t>Conduit Bend</t>
  </si>
  <si>
    <t>Conduit</t>
  </si>
  <si>
    <t>Conduit Coupling</t>
  </si>
  <si>
    <t>Pulling Compound</t>
  </si>
  <si>
    <t>Conduit Cement</t>
  </si>
  <si>
    <t>Down Guy</t>
  </si>
  <si>
    <t>Under Pavement</t>
  </si>
  <si>
    <t>Labor Summary For</t>
  </si>
  <si>
    <t>Bracket Type Luminaires</t>
  </si>
  <si>
    <t>Install Labor</t>
  </si>
  <si>
    <t>Unit Value</t>
  </si>
  <si>
    <t>Labor Unit</t>
  </si>
  <si>
    <t>(Manhours -</t>
  </si>
  <si>
    <t>Number</t>
  </si>
  <si>
    <t>Class "A")</t>
  </si>
  <si>
    <t>Manhours</t>
  </si>
  <si>
    <t>Bracket/10</t>
  </si>
  <si>
    <t>003-750</t>
  </si>
  <si>
    <t>X</t>
  </si>
  <si>
    <t>Luminaire/10</t>
  </si>
  <si>
    <t>003-755</t>
  </si>
  <si>
    <t>Photo Cell/10</t>
  </si>
  <si>
    <t>003-765</t>
  </si>
  <si>
    <t>Cost Per</t>
  </si>
  <si>
    <t>Manhour</t>
  </si>
  <si>
    <t>Post Top Type Luminaires</t>
  </si>
  <si>
    <t>Labor Summary For 30', 35' &amp; 40'</t>
  </si>
  <si>
    <t>Pole Hole/10</t>
  </si>
  <si>
    <t>003-001</t>
  </si>
  <si>
    <t>Pole/10</t>
  </si>
  <si>
    <t>003-025</t>
  </si>
  <si>
    <t>Load/Haul Pole/10</t>
  </si>
  <si>
    <t>003-040</t>
  </si>
  <si>
    <t>003-132</t>
  </si>
  <si>
    <t>*Ground Rod</t>
  </si>
  <si>
    <t>003-138</t>
  </si>
  <si>
    <t>Secondary Support/10</t>
  </si>
  <si>
    <t>003-177</t>
  </si>
  <si>
    <t>Conductor/100</t>
  </si>
  <si>
    <t>003-230</t>
  </si>
  <si>
    <t>Tie/Bolt/10</t>
  </si>
  <si>
    <t>003-302</t>
  </si>
  <si>
    <t>Connect/100</t>
  </si>
  <si>
    <t>003-330</t>
  </si>
  <si>
    <t>003-026</t>
  </si>
  <si>
    <t>003-041</t>
  </si>
  <si>
    <t>Labor Summary For 20'</t>
  </si>
  <si>
    <t>003-024</t>
  </si>
  <si>
    <t>Cable Thru Pole/10</t>
  </si>
  <si>
    <t>003-752</t>
  </si>
  <si>
    <t>Connect/10</t>
  </si>
  <si>
    <t>004-480</t>
  </si>
  <si>
    <t>Anchor- 8/10/15 Screw</t>
  </si>
  <si>
    <t>003-078</t>
  </si>
  <si>
    <t>Guy - Down, All</t>
  </si>
  <si>
    <t>003-102</t>
  </si>
  <si>
    <t>Guy Protector (Guard)</t>
  </si>
  <si>
    <t>003-110</t>
  </si>
  <si>
    <t xml:space="preserve">Labor Summary For </t>
  </si>
  <si>
    <t>Trench/100</t>
  </si>
  <si>
    <t>004-210</t>
  </si>
  <si>
    <t>Backfill/100</t>
  </si>
  <si>
    <t>004-230</t>
  </si>
  <si>
    <t>Conduit/100</t>
  </si>
  <si>
    <t>004-279</t>
  </si>
  <si>
    <t>Fitting/10</t>
  </si>
  <si>
    <t>004-297</t>
  </si>
  <si>
    <t>Pulling Basket/10</t>
  </si>
  <si>
    <t>004-313</t>
  </si>
  <si>
    <t>Pull Secondary/100</t>
  </si>
  <si>
    <t>004-315</t>
  </si>
  <si>
    <t>Pull Setup/10</t>
  </si>
  <si>
    <t>004-316</t>
  </si>
  <si>
    <t>004-352</t>
  </si>
  <si>
    <t>Load/Haul Reel/10</t>
  </si>
  <si>
    <t>004-801</t>
  </si>
  <si>
    <t>Downguy Service</t>
  </si>
  <si>
    <t>Sod</t>
  </si>
  <si>
    <t>020-13700-1</t>
  </si>
  <si>
    <r>
      <t>+</t>
    </r>
    <r>
      <rPr>
        <b/>
        <sz val="10"/>
        <rFont val="Arial"/>
        <family val="2"/>
      </rPr>
      <t xml:space="preserve"> Stores Handling</t>
    </r>
  </si>
  <si>
    <t>BOLT MA 3/4X2HEX</t>
  </si>
  <si>
    <t>HANDHOLE, POLYMER CONCRETE, STREET LIGHT</t>
  </si>
  <si>
    <t>SAKRETE BLACKTOP 45LB</t>
  </si>
  <si>
    <t>TAG. INCLUDES COST FOR NUMBERS</t>
  </si>
  <si>
    <t>LUMINAIRES</t>
  </si>
  <si>
    <t>100 Watts</t>
  </si>
  <si>
    <t>Current</t>
  </si>
  <si>
    <t>Cobrahead</t>
  </si>
  <si>
    <t>Cutoff Cobrahead</t>
  </si>
  <si>
    <t>N/A</t>
  </si>
  <si>
    <t>Wood</t>
  </si>
  <si>
    <t>Fiberglass</t>
  </si>
  <si>
    <t>Concrete OH</t>
  </si>
  <si>
    <t>Concrete UG</t>
  </si>
  <si>
    <t>Wattage    (HPSV)</t>
  </si>
  <si>
    <t>Type</t>
  </si>
  <si>
    <t>Wattage (HPSV)</t>
  </si>
  <si>
    <t>CONDUCTORS</t>
  </si>
  <si>
    <t>Conductors Under Paving</t>
  </si>
  <si>
    <t>Purchase Inflation @ Mid-Year</t>
  </si>
  <si>
    <t>Labor Inflation @ to Mid-Year</t>
  </si>
  <si>
    <t>Material Inflation @ Mid-Year</t>
  </si>
  <si>
    <t>DOWN GUY, ANCHOR AND PROTECTOR</t>
  </si>
  <si>
    <t>DOWN GUY</t>
  </si>
  <si>
    <t xml:space="preserve">Engineering &amp; Other Overheads </t>
  </si>
  <si>
    <t>Labor Inflation @ Mid Year</t>
  </si>
  <si>
    <t>Engineering &amp; Other Overheads</t>
  </si>
  <si>
    <t>Labor Inflation to Mid-Year</t>
  </si>
  <si>
    <t>Material Inflation to Mid-Year</t>
  </si>
  <si>
    <t>Material Inflation to Mid Year</t>
  </si>
  <si>
    <t>Labor Inflation to Mid Year</t>
  </si>
  <si>
    <t xml:space="preserve">Conductors Not Under Paving </t>
  </si>
  <si>
    <t>Current (per foot)</t>
  </si>
  <si>
    <t xml:space="preserve"> </t>
  </si>
  <si>
    <t>(excluding trenching)</t>
  </si>
  <si>
    <t xml:space="preserve">Service </t>
  </si>
  <si>
    <t xml:space="preserve">Excluding </t>
  </si>
  <si>
    <t>Trenching</t>
  </si>
  <si>
    <t>Underground Under Parkway Service Excluding Trenching</t>
  </si>
  <si>
    <t>Under Parkway Excluding Trenching</t>
  </si>
  <si>
    <r>
      <t xml:space="preserve">Carrying Charge                                </t>
    </r>
    <r>
      <rPr>
        <b/>
        <sz val="10"/>
        <rFont val="Arial"/>
        <family val="2"/>
      </rPr>
      <t xml:space="preserve">        LUMINAIRES</t>
    </r>
    <r>
      <rPr>
        <sz val="10"/>
        <rFont val="Arial"/>
        <family val="2"/>
      </rPr>
      <t xml:space="preserve">      </t>
    </r>
  </si>
  <si>
    <t>Current Energy Only</t>
  </si>
  <si>
    <t xml:space="preserve">70 Watts </t>
  </si>
  <si>
    <t>150 Watts</t>
  </si>
  <si>
    <t>200 Watts</t>
  </si>
  <si>
    <t>400 Watts</t>
  </si>
  <si>
    <t>Lumens</t>
  </si>
  <si>
    <t>Current Relamping  /Energy</t>
  </si>
  <si>
    <t>21500L/400W</t>
  </si>
  <si>
    <t>Monthly Cost of Relamping Service @ Mid-Year</t>
  </si>
  <si>
    <t xml:space="preserve">Charge For Customer Owned  </t>
  </si>
  <si>
    <t>* These units are closed to new installations.</t>
  </si>
  <si>
    <t>1000 Watts*</t>
  </si>
  <si>
    <t>250 Watts*</t>
  </si>
  <si>
    <t>150 Watts*</t>
  </si>
  <si>
    <t>140 Watts*</t>
  </si>
  <si>
    <t>175 Watts*</t>
  </si>
  <si>
    <t>400 Watts*</t>
  </si>
  <si>
    <t>Monthly Relamping Cost of Service @ Mid-Year</t>
  </si>
  <si>
    <t xml:space="preserve">Underground Conductors  </t>
  </si>
  <si>
    <t>Wattage     (MV)</t>
  </si>
  <si>
    <t>Underground Under Parkway Excluding Trenching vs. Overhead Service For Outdoor Lighting</t>
  </si>
  <si>
    <t>Street Light Maintenance (*5)</t>
  </si>
  <si>
    <t>(*5) 1/12 of Maint. Factor  x Total Investment x Revenue Tax Factor</t>
  </si>
  <si>
    <t>Line Watts</t>
  </si>
  <si>
    <t xml:space="preserve">Line Watts </t>
  </si>
  <si>
    <t>(*1) 1/12 of Line Watts x 4240 burning hours/Yr/1000</t>
  </si>
  <si>
    <t>Total Relamping Cost @ Mid-Year</t>
  </si>
  <si>
    <t>* 1 Driven Ground per 4 Streetlight Poles</t>
  </si>
  <si>
    <t>*Pole Bond/10</t>
  </si>
  <si>
    <t>Labor Summary For 40', 45' &amp; 50'</t>
  </si>
  <si>
    <t>Labor Summary For 30' &amp; 35'</t>
  </si>
  <si>
    <t>FLEXIBLE CONDUIT, 2" PE</t>
  </si>
  <si>
    <t>164-76200-7</t>
  </si>
  <si>
    <t>CONDUIT,2" PVC,SCHEDULE 40,20'LENGTHS</t>
  </si>
  <si>
    <t>164-76330-5</t>
  </si>
  <si>
    <t>COUPLING -2" ELOC FOR PE TO SCH 40</t>
  </si>
  <si>
    <t>Dbor 2" pe conduit</t>
  </si>
  <si>
    <t>004-525</t>
  </si>
  <si>
    <t>Dbor eqp set up</t>
  </si>
  <si>
    <t>004-812</t>
  </si>
  <si>
    <t>Dbor receiving pit</t>
  </si>
  <si>
    <t>004-813</t>
  </si>
  <si>
    <t>Dbor pit backfill</t>
  </si>
  <si>
    <t>004-815</t>
  </si>
  <si>
    <t>Flexible conduit, 2" pe</t>
  </si>
  <si>
    <t>Coupling, pe to sch 40</t>
  </si>
  <si>
    <t>Wattage (MV)</t>
  </si>
  <si>
    <t>140 Watts**</t>
  </si>
  <si>
    <t>175 Watts**</t>
  </si>
  <si>
    <t>400 Watts**</t>
  </si>
  <si>
    <t xml:space="preserve">    They will then be replaced with the appropriate HPSV luminaire.</t>
  </si>
  <si>
    <t>POLE, WOOD, CCA, LENGTH 50', CLASS 2, PER 1-8</t>
  </si>
  <si>
    <t>151-20000-5</t>
  </si>
  <si>
    <t>Material Summary for 50/2</t>
  </si>
  <si>
    <t>50'/2</t>
  </si>
  <si>
    <t>Labor Summary For 45' &amp; 50'</t>
  </si>
  <si>
    <t>Material Summary for 45' III A</t>
  </si>
  <si>
    <t>Material Summary for 50' III A</t>
  </si>
  <si>
    <t>45' IIIA</t>
  </si>
  <si>
    <t>50' IIIA</t>
  </si>
  <si>
    <t>Labor Summary For 30', 35' , 40', 45' &amp; 50'</t>
  </si>
  <si>
    <t>Material Summary for 40' III A</t>
  </si>
  <si>
    <t>% Difference</t>
  </si>
  <si>
    <t>OL-1</t>
  </si>
  <si>
    <t>152-35300-0</t>
  </si>
  <si>
    <t>COST OF SERVICE</t>
  </si>
  <si>
    <t>STREET LIGHTS</t>
  </si>
  <si>
    <t>OUTDOOR LIGHTS</t>
  </si>
  <si>
    <t>Unit by contract</t>
  </si>
  <si>
    <t xml:space="preserve">Cost </t>
  </si>
  <si>
    <t>2008 Average</t>
  </si>
  <si>
    <t>Non-Fuel Energy Charge  FOR SL-1</t>
  </si>
  <si>
    <t>Non-Fuel Energy Charge  FOR OL-1</t>
  </si>
  <si>
    <t>Provided by</t>
  </si>
  <si>
    <t>Assumptions and definitions</t>
  </si>
  <si>
    <t>Same as OH labor cost</t>
  </si>
  <si>
    <t>cost to FPL for disposing of lamps in a safe manner due to their mercury content</t>
  </si>
  <si>
    <t>Florida base sales tax</t>
  </si>
  <si>
    <t>Lorie Yanoshik - Rates group</t>
  </si>
  <si>
    <t>Current approved depreciation rate for account 371 (Installation on Customer Premises) -  provided by Don Moss in Accounting</t>
  </si>
  <si>
    <t xml:space="preserve">     Cost of Capital</t>
  </si>
  <si>
    <t xml:space="preserve">     Depreciation Rate</t>
  </si>
  <si>
    <t xml:space="preserve">     Property Tax Rate</t>
  </si>
  <si>
    <t xml:space="preserve">     Property Insurance</t>
  </si>
  <si>
    <t>Lamp disposal for HPS/MV/MH</t>
  </si>
  <si>
    <t>Lamp disposal for incandescent lamps</t>
  </si>
  <si>
    <t>Fixture charge</t>
  </si>
  <si>
    <t>Relamping only Charge</t>
  </si>
  <si>
    <r>
      <t xml:space="preserve">LUMINAIRES </t>
    </r>
    <r>
      <rPr>
        <b/>
        <sz val="8"/>
        <rFont val="Arial"/>
        <family val="2"/>
      </rPr>
      <t>(total charge for FPL owned unit)</t>
    </r>
  </si>
  <si>
    <r>
      <t xml:space="preserve">Maintenance Charge </t>
    </r>
    <r>
      <rPr>
        <b/>
        <sz val="8"/>
        <rFont val="Arial"/>
        <family val="2"/>
      </rPr>
      <t>(includes relamping charge plus maintenance charge- use for fully maintained lights only)</t>
    </r>
  </si>
  <si>
    <t>Fixture Charge</t>
  </si>
  <si>
    <t>Non-fuel Energy Charge</t>
  </si>
  <si>
    <r>
      <t>Relamping Charge</t>
    </r>
    <r>
      <rPr>
        <b/>
        <sz val="8"/>
        <rFont val="Arial"/>
        <family val="2"/>
      </rPr>
      <t xml:space="preserve"> (Does not include non-fuel energy charge)</t>
    </r>
  </si>
  <si>
    <t>Relamping plus non-fuel energy charge</t>
  </si>
  <si>
    <t>KWH/Mo</t>
  </si>
  <si>
    <t>Mercury Vapor</t>
  </si>
  <si>
    <t>Fluorescent</t>
  </si>
  <si>
    <t>700 Watts*</t>
  </si>
  <si>
    <t xml:space="preserve">140 Watts* </t>
  </si>
  <si>
    <t>103 Watts *</t>
  </si>
  <si>
    <t>202 Watts*</t>
  </si>
  <si>
    <t>327 Watts*</t>
  </si>
  <si>
    <t>448 Watts*</t>
  </si>
  <si>
    <t>690 Watts*</t>
  </si>
  <si>
    <t>Wattage</t>
  </si>
  <si>
    <t xml:space="preserve">FPL owned total </t>
  </si>
  <si>
    <t xml:space="preserve">Relamping plus non-fuel energy </t>
  </si>
  <si>
    <t>Current energy only</t>
  </si>
  <si>
    <t xml:space="preserve">    These luminaires will be relamped until luminaire fails.  </t>
  </si>
  <si>
    <t xml:space="preserve">** Current COS will apply. These luminaires are no longer purchased. </t>
  </si>
  <si>
    <t>Based on year ending 2009 analysis developed from Cost of Service - Lorie Yanoshik and Ivette Montero, Regulatory Affairs</t>
  </si>
  <si>
    <t>Lorie Yanoshik and Ivette Montero, Regulatory Affairs-Rates group</t>
  </si>
  <si>
    <t>The Pretax Cost of Capital as of 9/30/10 Is 9.265% (based on 13 month average with 10.00% after tax common equity cost rate)</t>
  </si>
  <si>
    <t>2010 Average</t>
  </si>
  <si>
    <t>Richard Lee - ISC</t>
  </si>
  <si>
    <t>Cost to install</t>
  </si>
  <si>
    <t xml:space="preserve">Carrying Charge - LUMINAIRES      </t>
  </si>
  <si>
    <t xml:space="preserve">Carrying Charge - POLES      </t>
  </si>
  <si>
    <t>Labor Cost - OH</t>
  </si>
  <si>
    <t>Labor Cost - UG</t>
  </si>
  <si>
    <t>Differential Cost for Service Between Overhead, Underground Under Parkway, and Underground Under Pavement;</t>
  </si>
  <si>
    <t>1/12 =</t>
  </si>
  <si>
    <t xml:space="preserve">The current approved depreciation rate for account 373 (Street Lighting and Signal Systems) </t>
  </si>
  <si>
    <t>12ME June 2011 FPL Payroll Rates for Job Type 79GSL.  These rates are for Labor only and exclude EO, Pension and Welfare, vehicle, Equipment and contractor charges.  The source data is WMS and the file used to calculate the rates is 12ME June 2011 Labor Effective Rate.</t>
  </si>
  <si>
    <t>Notes</t>
  </si>
  <si>
    <t>no change</t>
  </si>
  <si>
    <t>Cost of Photocell</t>
  </si>
  <si>
    <t>PE Cost</t>
  </si>
  <si>
    <t>PE</t>
  </si>
  <si>
    <t>Cost of PE</t>
  </si>
  <si>
    <t>Average</t>
  </si>
  <si>
    <t>why is this not 1 +   ?</t>
  </si>
  <si>
    <t xml:space="preserve">   =ROUND(+$H$36*0.083333*G14*$H$37,2)</t>
  </si>
  <si>
    <t>Street Light Material Costs</t>
  </si>
  <si>
    <t xml:space="preserve"> Average</t>
  </si>
  <si>
    <t>Energy only Proposed</t>
  </si>
  <si>
    <t xml:space="preserve">Current FPL owned total </t>
  </si>
  <si>
    <t xml:space="preserve">FPL owned total Proposed </t>
  </si>
  <si>
    <t xml:space="preserve">300 Watts* </t>
  </si>
  <si>
    <t>FPL owned total Current</t>
  </si>
  <si>
    <t>Proposed (per foot)</t>
  </si>
  <si>
    <t>Relamping  /Energy Proposed</t>
  </si>
  <si>
    <t>Energy Only Proposed</t>
  </si>
  <si>
    <t>Renae Deaton</t>
  </si>
  <si>
    <t>Sys Avg. Price</t>
  </si>
  <si>
    <t>$ Change</t>
  </si>
  <si>
    <t>% Change</t>
  </si>
  <si>
    <t>100-302-005</t>
  </si>
  <si>
    <t>100-406-005</t>
  </si>
  <si>
    <t>100-587-000</t>
  </si>
  <si>
    <t>103-070-211</t>
  </si>
  <si>
    <t>110-104-001</t>
  </si>
  <si>
    <t>112-308-003</t>
  </si>
  <si>
    <t>112-309-000</t>
  </si>
  <si>
    <t>115-090-009</t>
  </si>
  <si>
    <t>120-036-106</t>
  </si>
  <si>
    <t>120-111-001</t>
  </si>
  <si>
    <t>130-405-104</t>
  </si>
  <si>
    <t>130-614-005</t>
  </si>
  <si>
    <t>140-492-000</t>
  </si>
  <si>
    <t>140-588-007</t>
  </si>
  <si>
    <t>140-590-001</t>
  </si>
  <si>
    <t>141-707-000</t>
  </si>
  <si>
    <t>142-631-007</t>
  </si>
  <si>
    <t>144-304-003</t>
  </si>
  <si>
    <t>144-405-004</t>
  </si>
  <si>
    <t>144-505-009</t>
  </si>
  <si>
    <t>145-360-004</t>
  </si>
  <si>
    <t>145-361-001</t>
  </si>
  <si>
    <t>145-362-007</t>
  </si>
  <si>
    <t>145-374-005</t>
  </si>
  <si>
    <t>145-383-004</t>
  </si>
  <si>
    <t>145-395-002</t>
  </si>
  <si>
    <t>151-175-001</t>
  </si>
  <si>
    <t>151-179-006</t>
  </si>
  <si>
    <t>151-187-009</t>
  </si>
  <si>
    <t>151-192-002</t>
  </si>
  <si>
    <t>151-200-005</t>
  </si>
  <si>
    <t>152-220-000</t>
  </si>
  <si>
    <t>152-234-001</t>
  </si>
  <si>
    <t>152-239-002</t>
  </si>
  <si>
    <t>152-241-007</t>
  </si>
  <si>
    <t>152-351-007</t>
  </si>
  <si>
    <t>152-352-003</t>
  </si>
  <si>
    <t>152-353-000</t>
  </si>
  <si>
    <t>154-119-004</t>
  </si>
  <si>
    <t>162-304-001</t>
  </si>
  <si>
    <t>163-659-008</t>
  </si>
  <si>
    <t>164-238-006</t>
  </si>
  <si>
    <t>164-331-008</t>
  </si>
  <si>
    <t>164-470-006</t>
  </si>
  <si>
    <t>164-762-007</t>
  </si>
  <si>
    <t>164-763-305</t>
  </si>
  <si>
    <t>170-831-007</t>
  </si>
  <si>
    <t>170-831-015</t>
  </si>
  <si>
    <t>170-831-023</t>
  </si>
  <si>
    <t>170-834-006</t>
  </si>
  <si>
    <t>170-834-014</t>
  </si>
  <si>
    <t>170-834-022</t>
  </si>
  <si>
    <t>170-861-003</t>
  </si>
  <si>
    <t>170-861-011</t>
  </si>
  <si>
    <t>170-861-020</t>
  </si>
  <si>
    <t>170-863-006</t>
  </si>
  <si>
    <t>170-863-014</t>
  </si>
  <si>
    <t>170-863-022</t>
  </si>
  <si>
    <t>170-900-009</t>
  </si>
  <si>
    <t>170-910-004</t>
  </si>
  <si>
    <t>170-920-000</t>
  </si>
  <si>
    <t>170-922-011</t>
  </si>
  <si>
    <t>170-922-029</t>
  </si>
  <si>
    <t>170-922-045</t>
  </si>
  <si>
    <t>170-924-005</t>
  </si>
  <si>
    <t>170-924-013</t>
  </si>
  <si>
    <t>170-924-021</t>
  </si>
  <si>
    <t>170-940-001</t>
  </si>
  <si>
    <t>170-942-003</t>
  </si>
  <si>
    <t>170-960-001</t>
  </si>
  <si>
    <t>170-970-007</t>
  </si>
  <si>
    <t>170-970-023</t>
  </si>
  <si>
    <t>170-971-003</t>
  </si>
  <si>
    <t>171-401-006</t>
  </si>
  <si>
    <t>171-402-002</t>
  </si>
  <si>
    <t>171-404-005</t>
  </si>
  <si>
    <t>171-405-001</t>
  </si>
  <si>
    <t>171-406-008</t>
  </si>
  <si>
    <t>171-407-004</t>
  </si>
  <si>
    <t>171-407-021</t>
  </si>
  <si>
    <t>171-408-001</t>
  </si>
  <si>
    <t>171-486-001</t>
  </si>
  <si>
    <t>171-493-008</t>
  </si>
  <si>
    <t>171-651-053</t>
  </si>
  <si>
    <t>172-201-019</t>
  </si>
  <si>
    <t>172-205-006</t>
  </si>
  <si>
    <t>172-257-006</t>
  </si>
  <si>
    <t>174-605-001</t>
  </si>
  <si>
    <t>503-104-011</t>
  </si>
  <si>
    <t>522-116-002</t>
  </si>
  <si>
    <t>522-120-000</t>
  </si>
  <si>
    <t>522-141-007</t>
  </si>
  <si>
    <t>548-800-083</t>
  </si>
  <si>
    <t>170-930-005</t>
  </si>
  <si>
    <t>171-488-004</t>
  </si>
  <si>
    <t>171-413-004</t>
  </si>
  <si>
    <t>171-408-507</t>
  </si>
  <si>
    <t>171-409-007</t>
  </si>
  <si>
    <t>171-410-005</t>
  </si>
  <si>
    <t>142-224-002</t>
  </si>
  <si>
    <t>141-804-005</t>
  </si>
  <si>
    <t>140-051-003</t>
  </si>
  <si>
    <r>
      <t>From:</t>
    </r>
    <r>
      <rPr>
        <sz val="10"/>
        <rFont val="Tahoma"/>
        <family val="2"/>
      </rPr>
      <t xml:space="preserve"> Hancock, Joe</t>
    </r>
  </si>
  <si>
    <r>
      <t>Sent:</t>
    </r>
    <r>
      <rPr>
        <sz val="10"/>
        <rFont val="Tahoma"/>
        <family val="2"/>
      </rPr>
      <t xml:space="preserve"> Monday, January 09, 2012 3:03 PM</t>
    </r>
  </si>
  <si>
    <r>
      <t>To:</t>
    </r>
    <r>
      <rPr>
        <sz val="10"/>
        <rFont val="Tahoma"/>
        <family val="2"/>
      </rPr>
      <t xml:space="preserve"> Lee, Richard A</t>
    </r>
  </si>
  <si>
    <r>
      <t>Subject:</t>
    </r>
    <r>
      <rPr>
        <sz val="10"/>
        <rFont val="Tahoma"/>
        <family val="2"/>
      </rPr>
      <t xml:space="preserve"> COS</t>
    </r>
  </si>
  <si>
    <t>141-70700-0</t>
  </si>
  <si>
    <t>142-63100-7</t>
  </si>
  <si>
    <t>144-30400-3</t>
  </si>
  <si>
    <t>144-40500-4</t>
  </si>
  <si>
    <t>144-50500-9</t>
  </si>
  <si>
    <t>145-36000-4</t>
  </si>
  <si>
    <t>145-36100-1</t>
  </si>
  <si>
    <t>145-36200-7</t>
  </si>
  <si>
    <t>145-37400-5</t>
  </si>
  <si>
    <t>145-38300-4</t>
  </si>
  <si>
    <t>145-39500-2</t>
  </si>
  <si>
    <t>151-17500-1</t>
  </si>
  <si>
    <t>151-17900-6</t>
  </si>
  <si>
    <t>151-18700-9</t>
  </si>
  <si>
    <t>151-19200-2</t>
  </si>
  <si>
    <t>152-22000-0</t>
  </si>
  <si>
    <t>152-23400-1</t>
  </si>
  <si>
    <t>152-23900-2</t>
  </si>
  <si>
    <t>152-24100-7</t>
  </si>
  <si>
    <t>152-35100-7</t>
  </si>
  <si>
    <t>152-35200-3</t>
  </si>
  <si>
    <t>154-11900-4</t>
  </si>
  <si>
    <t>162-30400-1</t>
  </si>
  <si>
    <t>163-65900-8</t>
  </si>
  <si>
    <t>164-23800-6</t>
  </si>
  <si>
    <t>164-33100-8</t>
  </si>
  <si>
    <t>164-47000-6</t>
  </si>
  <si>
    <t>170-83100-7</t>
  </si>
  <si>
    <t>170-83101-5</t>
  </si>
  <si>
    <t>170-83102-3</t>
  </si>
  <si>
    <t>170-83400-6</t>
  </si>
  <si>
    <t>170-83401-4</t>
  </si>
  <si>
    <t>170-83402-2</t>
  </si>
  <si>
    <t>170-86100-3</t>
  </si>
  <si>
    <t>170-86101-1</t>
  </si>
  <si>
    <t>170-86102-0</t>
  </si>
  <si>
    <t>170-86300-6</t>
  </si>
  <si>
    <t>170-86301-4</t>
  </si>
  <si>
    <t>170-86302-2</t>
  </si>
  <si>
    <t>170-90000-9</t>
  </si>
  <si>
    <t>170-91000-4</t>
  </si>
  <si>
    <t>170-92000-0</t>
  </si>
  <si>
    <t>170-92201-1</t>
  </si>
  <si>
    <t>170-92202-9</t>
  </si>
  <si>
    <t>170-92204-5</t>
  </si>
  <si>
    <t>170-92400-5</t>
  </si>
  <si>
    <t>170-92401-3</t>
  </si>
  <si>
    <t>170-92402-1</t>
  </si>
  <si>
    <t>170-94000-1</t>
  </si>
  <si>
    <t>170-94200-3</t>
  </si>
  <si>
    <t>170-96000-1</t>
  </si>
  <si>
    <t>170-97000-7</t>
  </si>
  <si>
    <t>170-97002-3</t>
  </si>
  <si>
    <t>170-97100-3</t>
  </si>
  <si>
    <t>171-40100-6</t>
  </si>
  <si>
    <t>171-40200-2</t>
  </si>
  <si>
    <t>171-40400-5</t>
  </si>
  <si>
    <t>171-40500-1</t>
  </si>
  <si>
    <t>171-40600-8</t>
  </si>
  <si>
    <t>171-40700-4</t>
  </si>
  <si>
    <t>171-40702-1</t>
  </si>
  <si>
    <t>171-40800-1</t>
  </si>
  <si>
    <t>171-48600-1</t>
  </si>
  <si>
    <t>171-49300-8</t>
  </si>
  <si>
    <t>171-65105-3</t>
  </si>
  <si>
    <t>172-20101-9</t>
  </si>
  <si>
    <t>172-20500-6</t>
  </si>
  <si>
    <t>172-25700-6</t>
  </si>
  <si>
    <t>174-60500-1</t>
  </si>
  <si>
    <t>503-10401-1</t>
  </si>
  <si>
    <t>522-11600-2</t>
  </si>
  <si>
    <t>522-12000-0</t>
  </si>
  <si>
    <t>522-14100-7</t>
  </si>
  <si>
    <t>548-80008-3</t>
  </si>
  <si>
    <t>171-40850-7</t>
  </si>
  <si>
    <t>171-40900-7</t>
  </si>
  <si>
    <t>171-41000-5</t>
  </si>
  <si>
    <t>142-22400-2</t>
  </si>
  <si>
    <t>141-80400-5</t>
  </si>
  <si>
    <t>140-05100-3</t>
  </si>
  <si>
    <t>From Rich Lee</t>
  </si>
  <si>
    <t>System average material cost</t>
  </si>
  <si>
    <t>(per foot) Proposed</t>
  </si>
  <si>
    <t>2012 11_SL-1 and OL-1 2012_lighting_coss_input_summary jch v1.xls</t>
  </si>
  <si>
    <t>2013 11_SL-1 and OL-1 2012_lighting_coss_input_summary jch v1.xls</t>
  </si>
  <si>
    <t>2014 11_SL-1 and OL-1 2012_lighting_coss_input_summary jch v1.xls</t>
  </si>
  <si>
    <t>2015 11_SL-1 and OL-1 2012_lighting_coss_input_summary jch v1.xls</t>
  </si>
  <si>
    <t>2016 11_SL-1 and OL-1 2012_lighting_coss_input_summary jch v1.xls</t>
  </si>
  <si>
    <t>2017 11_SL-1 and OL-1 2012_lighting_coss_input_summary jch v1.xls</t>
  </si>
  <si>
    <t>2018 11_SL-1 and OL-1 2012_lighting_coss_input_summary jch v1.xls</t>
  </si>
  <si>
    <t>2019 11_SL-1 and OL-1 2012_lighting_coss_input_summary jch v1.xls</t>
  </si>
  <si>
    <t>2020 11_SL-1 and OL-1 2012_lighting_coss_input_summary jch v1.xls</t>
  </si>
  <si>
    <t>2021 11_SL-1 and OL-1 2012_lighting_coss_input_summary jch v1.xls</t>
  </si>
  <si>
    <t>Feldman, Richard</t>
  </si>
  <si>
    <t>Provided by Rich Lee - ISC</t>
  </si>
  <si>
    <t xml:space="preserve">Based on Finance Dept - Global insight - 2011 Producer Price Index - Finished producer goods </t>
  </si>
  <si>
    <t>Based on Finance Dept. - Global insight - 2011 Hourly Compensation % in NonFarm Business</t>
  </si>
  <si>
    <r>
      <t xml:space="preserve">This is the 12 month ending dec 2011 effective labor rate for job type 79 GSL and  FPL crew type from WMS </t>
    </r>
    <r>
      <rPr>
        <b/>
        <sz val="10"/>
        <rFont val="Arial"/>
        <family val="2"/>
      </rPr>
      <t>minus</t>
    </r>
    <r>
      <rPr>
        <sz val="10"/>
        <rFont val="Arial"/>
        <family val="2"/>
      </rPr>
      <t xml:space="preserve"> any overhead (EO/CO) and vehicle and equipment costs</t>
    </r>
  </si>
  <si>
    <t xml:space="preserve">This charge includes cost of capital + depreciation rate + property tax rate + property insurance </t>
  </si>
  <si>
    <t>Finance Dept. - Economic Evaluation Book</t>
  </si>
  <si>
    <t xml:space="preserve">This charge includes cost of capital, depreciation rate, property tax  rate and property insurance </t>
  </si>
  <si>
    <t>This is an FPSC regulatory assessment rate obtained from schedule c-44</t>
  </si>
  <si>
    <t>Year of C.O.S. Study</t>
  </si>
  <si>
    <t xml:space="preserve">Street Light and Outdoor Light </t>
  </si>
  <si>
    <t>Assume the current rates that were effective 1/1/12. OL1= 2.934</t>
  </si>
  <si>
    <t>Assume the current rates that were effective 1/1/12.  SL 1= 2.721</t>
  </si>
  <si>
    <t>Jennifer Richards / Elizabeth (Liz) Fuentes 552-4629</t>
  </si>
  <si>
    <t xml:space="preserve">Distribution E.O. rate - the specific EO rate for 9/2010 is 36.68%, and 12 month average from 7/1/10 thru 6/30/11 is 36.83%.  </t>
  </si>
  <si>
    <t>mins</t>
  </si>
  <si>
    <t xml:space="preserve">Reduction </t>
  </si>
  <si>
    <t>Days</t>
  </si>
  <si>
    <t>Hours</t>
  </si>
  <si>
    <t>Progress</t>
  </si>
  <si>
    <t>year</t>
  </si>
  <si>
    <t>month</t>
  </si>
  <si>
    <t>SmartNode</t>
  </si>
  <si>
    <t>2016 Lighting Cost of Service Study</t>
  </si>
  <si>
    <t>2015 Power system rate - Actual adjusted charge to BU</t>
  </si>
  <si>
    <t>Terry Kitchener</t>
  </si>
  <si>
    <t>Fixtures only cost</t>
  </si>
  <si>
    <t>Data Input</t>
  </si>
  <si>
    <t>2008 Study</t>
  </si>
  <si>
    <t>No.</t>
  </si>
  <si>
    <t>Item</t>
  </si>
  <si>
    <t>Value</t>
  </si>
  <si>
    <t>Source</t>
  </si>
  <si>
    <t>as-of</t>
  </si>
  <si>
    <t>Carrying Charge for Luminaires</t>
  </si>
  <si>
    <t>Property Insurance rate based on Finance Dept. - Econommic Evaluation Book</t>
  </si>
  <si>
    <t xml:space="preserve">Property tax rate based on Finance Dept. - Economic Evaluation Book </t>
  </si>
  <si>
    <t>Carrying Charge for Poles</t>
  </si>
  <si>
    <t>Revenue taxes - .072052% Regulatory Assessment Fee</t>
  </si>
  <si>
    <t>Maintenance Factor for Street Lighting - ANNUAL</t>
  </si>
  <si>
    <r>
      <t xml:space="preserve">Provided by Amy Zamora - </t>
    </r>
    <r>
      <rPr>
        <sz val="10"/>
        <color rgb="FFFF0000"/>
        <rFont val="Arial"/>
        <family val="2"/>
      </rPr>
      <t>Data on Maint Factor Tab</t>
    </r>
  </si>
  <si>
    <t>Maintenance Factor for Outdoor Lighting  - ANNUAL</t>
  </si>
  <si>
    <t>Non-Fuel Energy Charge for SL-1</t>
  </si>
  <si>
    <t>From Tariff 8.717 - dated 4-1-14</t>
  </si>
  <si>
    <t>Non-Fuel Energy Charge for OL-1</t>
  </si>
  <si>
    <t>From Tariff 8.726 - dated 4-1-14</t>
  </si>
  <si>
    <t xml:space="preserve">• The specific EO rate for 9/15 is 33.11% (this is a catch-up for having too low of a rate in early months)
• 12 month average from 10/1/14 thru 9/30/15 is 25.42%
</t>
  </si>
  <si>
    <t>Based on Finance Dept - Global insight - 2011 Producer Price Index - Finished producer goods - Richard Feldman, Resource Planning</t>
  </si>
  <si>
    <t>Based on Finance Dept. - Global insight - 2011 Hourly Compensation % in NonFarm Business - Richard Feldman, Resource Planning</t>
  </si>
  <si>
    <t>From rich Lee</t>
  </si>
  <si>
    <t>Labor Cost OH</t>
  </si>
  <si>
    <r>
      <t xml:space="preserve">This is the 12 month ending dec 2010 effective labor rate for job type 79 GSL and  FPL crew type from WMS </t>
    </r>
    <r>
      <rPr>
        <b/>
        <sz val="10"/>
        <rFont val="Arial"/>
        <family val="2"/>
      </rPr>
      <t>minus</t>
    </r>
    <r>
      <rPr>
        <sz val="10"/>
        <rFont val="Arial"/>
        <family val="2"/>
      </rPr>
      <t xml:space="preserve"> any overhead (EO/CO) and vehicle and equipment costs</t>
    </r>
  </si>
  <si>
    <t>Labor Cost UG</t>
  </si>
  <si>
    <t xml:space="preserve">cost to FPL for disposing of lamps in a safe manner </t>
  </si>
  <si>
    <t>Lighting Cost of Service Study</t>
  </si>
  <si>
    <t>Carrying Charge Documentation</t>
  </si>
  <si>
    <t>Luminaires - Based on a 15 year life cycle</t>
  </si>
  <si>
    <t>Component</t>
  </si>
  <si>
    <t>Charge</t>
  </si>
  <si>
    <t>Cost of Capital</t>
  </si>
  <si>
    <t>The Pretax Cost of Capital as of 09/30/2015, based on a 13-month average with 10.50% after tax common equity cost rate (mid-point last allowed), is 9.392%. Per Amy Zamora</t>
  </si>
  <si>
    <t>Depreciation Rate</t>
  </si>
  <si>
    <r>
      <t xml:space="preserve">The current approved depreciation rate for account </t>
    </r>
    <r>
      <rPr>
        <b/>
        <sz val="10"/>
        <color rgb="FFFF0000"/>
        <rFont val="Arial"/>
        <family val="2"/>
      </rPr>
      <t>373</t>
    </r>
    <r>
      <rPr>
        <sz val="10"/>
        <rFont val="Arial"/>
        <family val="2"/>
      </rPr>
      <t xml:space="preserve"> (Street Lighting and Signal Systems) -  provided by Don Moss in Accounting</t>
    </r>
  </si>
  <si>
    <t>Property Tax Rate</t>
  </si>
  <si>
    <t>Property Insurance</t>
  </si>
  <si>
    <t xml:space="preserve">  Total</t>
  </si>
  <si>
    <t>Poles - Based on a 20 year life cycle</t>
  </si>
  <si>
    <t>The Pretax cost of Capital as of 10/31/2011 based on a 13 month average with 10.00% after tax common equity cost rate (mid-point last allowed)  is 9.416 - provided by Don Moss in accounting</t>
  </si>
  <si>
    <r>
      <t xml:space="preserve">Current approved depreciation rate for account </t>
    </r>
    <r>
      <rPr>
        <b/>
        <sz val="10"/>
        <color rgb="FFFF0000"/>
        <rFont val="Arial"/>
        <family val="2"/>
      </rPr>
      <t xml:space="preserve">371 </t>
    </r>
    <r>
      <rPr>
        <sz val="10"/>
        <rFont val="Arial"/>
        <family val="2"/>
      </rPr>
      <t>(Installation on Customer Premises) -  provided by Don Moss in Accounting</t>
    </r>
  </si>
  <si>
    <t>http://eweb.fpl.com/bunit/finance/FunctGroups/BgtFcst/Fin_Mod_Resources.shtml</t>
  </si>
  <si>
    <t xml:space="preserve">9.416%. </t>
  </si>
  <si>
    <t>Rates &amp; Tariffs</t>
  </si>
  <si>
    <t>Lighting Maintenance Factor Calculation</t>
  </si>
  <si>
    <t>Factor Description</t>
  </si>
  <si>
    <t>Premium Lighting</t>
  </si>
  <si>
    <t>SL-1</t>
  </si>
  <si>
    <t>Maintenance Factor **</t>
  </si>
  <si>
    <t>Property Tax Rate *</t>
  </si>
  <si>
    <t>Property Insurance Rate *</t>
  </si>
  <si>
    <r>
      <t xml:space="preserve">     Total </t>
    </r>
    <r>
      <rPr>
        <b/>
        <i/>
        <sz val="10"/>
        <rFont val="Arial"/>
        <family val="2"/>
      </rPr>
      <t>Annual</t>
    </r>
    <r>
      <rPr>
        <b/>
        <sz val="10"/>
        <rFont val="Arial"/>
        <family val="2"/>
      </rPr>
      <t xml:space="preserve"> Maintenance Factor</t>
    </r>
  </si>
  <si>
    <t>Number of months</t>
  </si>
  <si>
    <r>
      <t xml:space="preserve">     Total </t>
    </r>
    <r>
      <rPr>
        <b/>
        <i/>
        <sz val="11"/>
        <rFont val="Arial"/>
        <family val="2"/>
      </rPr>
      <t>Monthly</t>
    </r>
    <r>
      <rPr>
        <b/>
        <sz val="11"/>
        <rFont val="Arial"/>
        <family val="2"/>
      </rPr>
      <t xml:space="preserve"> Maintenance Factor</t>
    </r>
  </si>
  <si>
    <t xml:space="preserve">* From FPL's 20011 Economic Evaluation Book </t>
  </si>
  <si>
    <t>From Amy Zamora</t>
  </si>
  <si>
    <t>Change Analysis</t>
  </si>
  <si>
    <t>Recreational</t>
  </si>
  <si>
    <t>Lighting</t>
  </si>
  <si>
    <t>Maintenance Factor</t>
  </si>
  <si>
    <t>2005 vs. 2004</t>
  </si>
  <si>
    <t>% difference</t>
  </si>
  <si>
    <t>2005 Total O&amp;M</t>
  </si>
  <si>
    <t>2004 Total O&amp;M</t>
  </si>
  <si>
    <t>Total O&amp;M decrease $</t>
  </si>
  <si>
    <t>Total O&amp;M decrease %</t>
  </si>
  <si>
    <t>2005 Total Investment</t>
  </si>
  <si>
    <t>2004 Total Investment</t>
  </si>
  <si>
    <t>GENERAL  ASSUMPTIONS</t>
  </si>
  <si>
    <t>PROJECT TITLE:</t>
  </si>
  <si>
    <t>TITLE</t>
  </si>
  <si>
    <t>CPVRR:</t>
  </si>
  <si>
    <t>Avg. Rate Base</t>
  </si>
  <si>
    <t>1 = Average, 0 = Beg, End of Period</t>
  </si>
  <si>
    <t>NPV:</t>
  </si>
  <si>
    <t>I)</t>
  </si>
  <si>
    <t>COMPOSITE INCOME TAX RATE</t>
  </si>
  <si>
    <t xml:space="preserve">   STATE INCOME TAX RATE</t>
  </si>
  <si>
    <t xml:space="preserve">   FEDERAL INCOME TAX RATE</t>
  </si>
  <si>
    <t>II)</t>
  </si>
  <si>
    <t>COST OF CAPITAL AS OF:</t>
  </si>
  <si>
    <t>LONG LIVED</t>
  </si>
  <si>
    <t>ASSETS</t>
  </si>
  <si>
    <t xml:space="preserve">WTD COST </t>
  </si>
  <si>
    <t>UNWTD AFTER</t>
  </si>
  <si>
    <t>WTD AFTER</t>
  </si>
  <si>
    <t>WTD PRE</t>
  </si>
  <si>
    <t>SOURCE</t>
  </si>
  <si>
    <t>WEIGHT</t>
  </si>
  <si>
    <t>COST</t>
  </si>
  <si>
    <t>RATE</t>
  </si>
  <si>
    <t>TAX RATE</t>
  </si>
  <si>
    <t>DEBT</t>
  </si>
  <si>
    <t>PREFERRED</t>
  </si>
  <si>
    <t>COMMON</t>
  </si>
  <si>
    <t>TOTAL</t>
  </si>
  <si>
    <t>DISCOUNT RATE ("WACC"):</t>
  </si>
  <si>
    <t>III)</t>
  </si>
  <si>
    <t>PROPERTY TAXES</t>
  </si>
  <si>
    <t xml:space="preserve">PROPERTY INSURANCE </t>
  </si>
  <si>
    <t>AFUDC</t>
  </si>
  <si>
    <t>Debt</t>
  </si>
  <si>
    <t>Equity</t>
  </si>
  <si>
    <t>Combine into line 39</t>
  </si>
  <si>
    <t>Remove all</t>
  </si>
  <si>
    <t>Remove</t>
  </si>
  <si>
    <t>For Year Ending 2009</t>
  </si>
  <si>
    <t>OPC 015259</t>
  </si>
  <si>
    <t>FPL RC-16</t>
  </si>
  <si>
    <t>OPC 015260</t>
  </si>
  <si>
    <t>OPC 015261</t>
  </si>
  <si>
    <t>OPC 015262</t>
  </si>
  <si>
    <t>OPC 015263</t>
  </si>
  <si>
    <t>OPC 015264</t>
  </si>
  <si>
    <t>OPC 015265</t>
  </si>
  <si>
    <t>OPC 015266</t>
  </si>
  <si>
    <t>OPC 015267</t>
  </si>
  <si>
    <t>OPC 015268</t>
  </si>
  <si>
    <t>OPC 015269</t>
  </si>
  <si>
    <t>OPC 015270</t>
  </si>
  <si>
    <t>OPC 015271</t>
  </si>
  <si>
    <t>OPC 015272</t>
  </si>
  <si>
    <t>OPC 015273</t>
  </si>
  <si>
    <t>OPC 015274</t>
  </si>
  <si>
    <t>OPC 015275</t>
  </si>
  <si>
    <t>OPC 015276</t>
  </si>
  <si>
    <t>OPC 015277</t>
  </si>
  <si>
    <t>OPC 015278</t>
  </si>
  <si>
    <t>OPC 015279</t>
  </si>
  <si>
    <t>OPC 015280</t>
  </si>
  <si>
    <t>OPC 015282</t>
  </si>
  <si>
    <t>OPC 015281</t>
  </si>
  <si>
    <t>OPC 015283</t>
  </si>
  <si>
    <t>OPC 015284</t>
  </si>
  <si>
    <t>OPC 015285</t>
  </si>
  <si>
    <t>OPC 015286</t>
  </si>
  <si>
    <t>OPC 015287</t>
  </si>
  <si>
    <t>OPC 015288</t>
  </si>
  <si>
    <t>OPC 015289</t>
  </si>
  <si>
    <t>OPC 015290</t>
  </si>
  <si>
    <t>OPC 015291</t>
  </si>
  <si>
    <t>OPC 015292</t>
  </si>
  <si>
    <t>OPC 015293</t>
  </si>
  <si>
    <t>OPC 015294</t>
  </si>
  <si>
    <t>OPC 015295</t>
  </si>
  <si>
    <t>OPC 015296</t>
  </si>
  <si>
    <t>OPC 015298</t>
  </si>
  <si>
    <t>OPC 015299</t>
  </si>
  <si>
    <t>OPC 015300</t>
  </si>
  <si>
    <t>OPC 015301</t>
  </si>
  <si>
    <t>OPC 015302</t>
  </si>
  <si>
    <t>OPC 015303</t>
  </si>
  <si>
    <t>OPC 015304</t>
  </si>
  <si>
    <t>OPC 015305</t>
  </si>
  <si>
    <t>OPC 015306</t>
  </si>
  <si>
    <t>OPC 015307</t>
  </si>
  <si>
    <t>OPC 015308</t>
  </si>
  <si>
    <t>OPC 015309</t>
  </si>
  <si>
    <t>OPC 015310</t>
  </si>
  <si>
    <t>OPC 015311</t>
  </si>
  <si>
    <t>OPC 015312</t>
  </si>
  <si>
    <t>OPC 015313</t>
  </si>
  <si>
    <t>OPC 015314</t>
  </si>
  <si>
    <t>OPC 015315</t>
  </si>
  <si>
    <t>OPC 015316</t>
  </si>
  <si>
    <t>OPC 015317</t>
  </si>
  <si>
    <t>OPC 015318</t>
  </si>
  <si>
    <t>OPC 015319</t>
  </si>
  <si>
    <t>OPC 015320</t>
  </si>
  <si>
    <t>OPC 015321</t>
  </si>
  <si>
    <t>OPC 015322</t>
  </si>
  <si>
    <t>OPC 015323</t>
  </si>
  <si>
    <t>OPC 015324</t>
  </si>
  <si>
    <t>OPC 015325</t>
  </si>
  <si>
    <t>OPC 015326</t>
  </si>
  <si>
    <t>OPC 015327</t>
  </si>
  <si>
    <t>OPC 015328</t>
  </si>
  <si>
    <t>OPC 015329</t>
  </si>
  <si>
    <t>OPC 015330</t>
  </si>
  <si>
    <t>OPC 015331</t>
  </si>
  <si>
    <t>OPC 015332</t>
  </si>
  <si>
    <t>OPC 015333</t>
  </si>
  <si>
    <t>OPC 015334</t>
  </si>
  <si>
    <t>OPC 015335</t>
  </si>
  <si>
    <t>OPC 015336</t>
  </si>
  <si>
    <t>OPC 015337</t>
  </si>
  <si>
    <t>OPC 015338</t>
  </si>
  <si>
    <t>OPC 015339</t>
  </si>
  <si>
    <t>OPC 015297</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</si>
</sst>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00_);\(&quot;$&quot;#,##0.00\)"/>
    <numFmt numFmtId="165" formatCode="###\-#####\-#"/>
    <numFmt numFmtId="166" formatCode="##\-#####\-#"/>
    <numFmt numFmtId="167" formatCode="&quot;$&quot;#,##0.00"/>
    <numFmt numFmtId="168" formatCode="&quot;$&quot;#,##0.000"/>
    <numFmt numFmtId="169" formatCode="&quot;$&quot;#,##0.0000_);\(&quot;$&quot;#,##0.0000\)"/>
    <numFmt numFmtId="170" formatCode="&quot;$&quot;#,##0.0000"/>
    <numFmt numFmtId="171" formatCode="&quot;$&quot;#,##0.000_);\(&quot;$&quot;#,##0.000\)"/>
    <numFmt numFmtId="172" formatCode="0.0000"/>
    <numFmt numFmtId="173" formatCode="#,##0.0000"/>
    <numFmt numFmtId="174" formatCode="&quot;$&quot;###,##0.00000_);\(&quot;$&quot;#,##0.000\)"/>
    <numFmt numFmtId="175" formatCode="0.000%"/>
    <numFmt numFmtId="176" formatCode="0.0%"/>
    <numFmt numFmtId="177" formatCode="[h]:mm:ss;@"/>
    <numFmt numFmtId="178" formatCode="0.00000000"/>
    <numFmt numFmtId="179" formatCode="&quot;$&quot;#,##0.00000;[Red]&quot;$&quot;#,##0.00000"/>
    <numFmt numFmtId="180" formatCode="&quot;$&quot;#,##0.00;[Red]&quot;$&quot;#,##0.00"/>
    <numFmt numFmtId="181" formatCode="_(* #,##0_);_(* \(#,##0\);_(* &quot;-&quot;??_);_(@_)"/>
    <numFmt numFmtId="182" formatCode="_(&quot;$&quot;* #,##0_);_(&quot;$&quot;* \(#,##0\);_(&quot;$&quot;* &quot;-&quot;??_);_(@_)"/>
    <numFmt numFmtId="183" formatCode="&quot;ESTIMATES STATED IN  &quot;0&quot; DOLLARS&quot;"/>
    <numFmt numFmtId="184" formatCode="[$-409]mmmm\ d\,\ yyyy;@"/>
    <numFmt numFmtId="185" formatCode="General_)"/>
    <numFmt numFmtId="186" formatCode="0.00000"/>
  </numFmts>
  <fonts count="69" x14ac:knownFonts="1">
    <font>
      <sz val="10"/>
      <name val="Arial"/>
    </font>
    <font>
      <b/>
      <sz val="10"/>
      <name val="Arial"/>
      <family val="2"/>
    </font>
    <font>
      <i/>
      <sz val="10"/>
      <name val="Arial"/>
      <family val="2"/>
    </font>
    <font>
      <b/>
      <i/>
      <sz val="10"/>
      <name val="Arial"/>
      <family val="2"/>
    </font>
    <font>
      <sz val="10"/>
      <name val="Arial"/>
      <family val="2"/>
    </font>
    <font>
      <b/>
      <sz val="14"/>
      <name val="Arial"/>
      <family val="2"/>
    </font>
    <font>
      <b/>
      <u val="double"/>
      <sz val="10"/>
      <name val="Arial"/>
      <family val="2"/>
    </font>
    <font>
      <b/>
      <sz val="8"/>
      <name val="Arial"/>
      <family val="2"/>
    </font>
    <font>
      <sz val="8"/>
      <name val="Arial"/>
      <family val="2"/>
    </font>
    <font>
      <i/>
      <sz val="8"/>
      <name val="Arial"/>
      <family val="2"/>
    </font>
    <font>
      <sz val="10"/>
      <name val="Arial"/>
      <family val="2"/>
    </font>
    <font>
      <b/>
      <sz val="10"/>
      <name val="Arial"/>
      <family val="2"/>
    </font>
    <font>
      <u/>
      <sz val="10"/>
      <name val="Arial"/>
      <family val="2"/>
    </font>
    <font>
      <b/>
      <u/>
      <sz val="10"/>
      <name val="Arial"/>
      <family val="2"/>
    </font>
    <font>
      <i/>
      <sz val="8"/>
      <name val="Arial"/>
      <family val="2"/>
    </font>
    <font>
      <b/>
      <u/>
      <sz val="10"/>
      <name val="Arial"/>
      <family val="2"/>
    </font>
    <font>
      <u val="double"/>
      <sz val="10"/>
      <name val="Arial"/>
      <family val="2"/>
    </font>
    <font>
      <b/>
      <sz val="16"/>
      <name val="Arial"/>
      <family val="2"/>
    </font>
    <font>
      <b/>
      <vertAlign val="superscript"/>
      <sz val="16"/>
      <name val="Arial"/>
      <family val="2"/>
    </font>
    <font>
      <b/>
      <i/>
      <sz val="12"/>
      <name val="Arial"/>
      <family val="2"/>
    </font>
    <font>
      <b/>
      <sz val="10"/>
      <color indexed="12"/>
      <name val="Arial"/>
      <family val="2"/>
    </font>
    <font>
      <b/>
      <sz val="10"/>
      <color indexed="12"/>
      <name val="Arial"/>
      <family val="2"/>
    </font>
    <font>
      <i/>
      <sz val="7"/>
      <name val="Arial"/>
      <family val="2"/>
    </font>
    <font>
      <b/>
      <sz val="6"/>
      <name val="Arial"/>
      <family val="2"/>
    </font>
    <font>
      <b/>
      <u/>
      <sz val="14"/>
      <name val="Arial"/>
      <family val="2"/>
    </font>
    <font>
      <b/>
      <sz val="12"/>
      <name val="Arial"/>
      <family val="2"/>
    </font>
    <font>
      <sz val="10"/>
      <color indexed="22"/>
      <name val="Arial"/>
      <family val="2"/>
    </font>
    <font>
      <b/>
      <sz val="12"/>
      <color indexed="55"/>
      <name val="Arial"/>
      <family val="2"/>
    </font>
    <font>
      <sz val="8"/>
      <name val="Arial"/>
      <family val="2"/>
    </font>
    <font>
      <b/>
      <sz val="8"/>
      <color indexed="81"/>
      <name val="Tahoma"/>
      <family val="2"/>
    </font>
    <font>
      <b/>
      <sz val="10"/>
      <color indexed="10"/>
      <name val="Arial"/>
      <family val="2"/>
    </font>
    <font>
      <b/>
      <sz val="8"/>
      <color indexed="10"/>
      <name val="Arial"/>
      <family val="2"/>
    </font>
    <font>
      <sz val="8"/>
      <color indexed="81"/>
      <name val="Tahoma"/>
      <family val="2"/>
    </font>
    <font>
      <b/>
      <sz val="36"/>
      <name val="Arial"/>
      <family val="2"/>
    </font>
    <font>
      <b/>
      <sz val="22"/>
      <name val="Arial"/>
      <family val="2"/>
    </font>
    <font>
      <sz val="36"/>
      <name val="Arial"/>
      <family val="2"/>
    </font>
    <font>
      <b/>
      <sz val="48"/>
      <name val="Arial"/>
      <family val="2"/>
    </font>
    <font>
      <sz val="10"/>
      <color indexed="10"/>
      <name val="Arial"/>
      <family val="2"/>
    </font>
    <font>
      <sz val="10"/>
      <color rgb="FFFF0000"/>
      <name val="Arial"/>
      <family val="2"/>
    </font>
    <font>
      <sz val="10"/>
      <color indexed="12"/>
      <name val="Arial"/>
      <family val="2"/>
    </font>
    <font>
      <sz val="10"/>
      <color indexed="8"/>
      <name val="Arial"/>
      <family val="2"/>
    </font>
    <font>
      <b/>
      <sz val="10"/>
      <color rgb="FFFF0000"/>
      <name val="Arial"/>
      <family val="2"/>
    </font>
    <font>
      <strike/>
      <sz val="10"/>
      <name val="Arial"/>
      <family val="2"/>
    </font>
    <font>
      <sz val="11"/>
      <name val="Calibri"/>
      <family val="2"/>
    </font>
    <font>
      <sz val="11"/>
      <color rgb="FF1F497D"/>
      <name val="Calibri"/>
      <family val="2"/>
    </font>
    <font>
      <b/>
      <u/>
      <sz val="14"/>
      <color rgb="FF000000"/>
      <name val="Arial"/>
      <family val="2"/>
    </font>
    <font>
      <sz val="11"/>
      <color rgb="FF000000"/>
      <name val="Calibri"/>
      <family val="2"/>
    </font>
    <font>
      <b/>
      <vertAlign val="superscript"/>
      <sz val="16"/>
      <color rgb="FF000000"/>
      <name val="Arial"/>
      <family val="2"/>
    </font>
    <font>
      <sz val="10"/>
      <color rgb="FF000000"/>
      <name val="Arial"/>
      <family val="2"/>
    </font>
    <font>
      <b/>
      <sz val="10"/>
      <color rgb="FF0000FF"/>
      <name val="Arial"/>
      <family val="2"/>
    </font>
    <font>
      <b/>
      <sz val="10"/>
      <name val="Tahoma"/>
      <family val="2"/>
    </font>
    <font>
      <sz val="10"/>
      <name val="Tahoma"/>
      <family val="2"/>
    </font>
    <font>
      <b/>
      <i/>
      <sz val="11"/>
      <color rgb="FF1F497D"/>
      <name val="Calibri"/>
      <family val="2"/>
    </font>
    <font>
      <b/>
      <sz val="6"/>
      <color rgb="FFFF0000"/>
      <name val="Arial"/>
      <family val="2"/>
    </font>
    <font>
      <i/>
      <sz val="7"/>
      <color rgb="FFFF0000"/>
      <name val="Arial"/>
      <family val="2"/>
    </font>
    <font>
      <b/>
      <sz val="10"/>
      <color theme="1"/>
      <name val="Arial"/>
      <family val="2"/>
    </font>
    <font>
      <b/>
      <strike/>
      <sz val="14"/>
      <name val="Arial"/>
      <family val="2"/>
    </font>
    <font>
      <b/>
      <strike/>
      <sz val="10"/>
      <name val="Arial"/>
      <family val="2"/>
    </font>
    <font>
      <sz val="10"/>
      <name val="Arial"/>
      <family val="2"/>
    </font>
    <font>
      <b/>
      <sz val="11"/>
      <name val="Arial"/>
      <family val="2"/>
    </font>
    <font>
      <sz val="12"/>
      <name val="Arial"/>
      <family val="2"/>
    </font>
    <font>
      <b/>
      <sz val="9"/>
      <color indexed="81"/>
      <name val="Tahoma"/>
      <family val="2"/>
    </font>
    <font>
      <sz val="9"/>
      <color indexed="81"/>
      <name val="Tahoma"/>
      <family val="2"/>
    </font>
    <font>
      <u/>
      <sz val="10"/>
      <color indexed="12"/>
      <name val="Arial"/>
      <family val="2"/>
    </font>
    <font>
      <b/>
      <i/>
      <sz val="11"/>
      <name val="Arial"/>
      <family val="2"/>
    </font>
    <font>
      <sz val="10"/>
      <name val="MS Sans Serif"/>
      <family val="2"/>
    </font>
    <font>
      <sz val="10"/>
      <color rgb="FF0000FF"/>
      <name val="Arial"/>
      <family val="2"/>
    </font>
    <font>
      <b/>
      <sz val="12"/>
      <color theme="1" tint="0.24994659260841701"/>
      <name val="Arial"/>
      <family val="2"/>
    </font>
    <font>
      <u/>
      <sz val="14"/>
      <name val="Arial"/>
      <family val="2"/>
    </font>
  </fonts>
  <fills count="24">
    <fill>
      <patternFill patternType="none"/>
    </fill>
    <fill>
      <patternFill patternType="gray125"/>
    </fill>
    <fill>
      <patternFill patternType="darkDown">
        <bgColor indexed="22"/>
      </patternFill>
    </fill>
    <fill>
      <patternFill patternType="solid">
        <fgColor indexed="22"/>
        <bgColor indexed="64"/>
      </patternFill>
    </fill>
    <fill>
      <patternFill patternType="solid">
        <fgColor indexed="22"/>
        <bgColor indexed="55"/>
      </patternFill>
    </fill>
    <fill>
      <patternFill patternType="solid">
        <fgColor indexed="13"/>
        <bgColor indexed="64"/>
      </patternFill>
    </fill>
    <fill>
      <patternFill patternType="solid">
        <fgColor indexed="43"/>
        <bgColor indexed="64"/>
      </patternFill>
    </fill>
    <fill>
      <patternFill patternType="solid">
        <fgColor indexed="15"/>
        <bgColor indexed="64"/>
      </patternFill>
    </fill>
    <fill>
      <patternFill patternType="solid">
        <fgColor indexed="40"/>
      </patternFill>
    </fill>
    <fill>
      <patternFill patternType="solid">
        <fgColor indexed="41"/>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00FFFF"/>
        <bgColor indexed="64"/>
      </patternFill>
    </fill>
    <fill>
      <patternFill patternType="solid">
        <fgColor rgb="FFC0C0C0"/>
        <bgColor indexed="64"/>
      </patternFill>
    </fill>
    <fill>
      <patternFill patternType="solid">
        <fgColor rgb="FF92D050"/>
        <bgColor indexed="64"/>
      </patternFill>
    </fill>
    <fill>
      <patternFill patternType="solid">
        <fgColor rgb="FFFF0000"/>
        <bgColor indexed="64"/>
      </patternFill>
    </fill>
    <fill>
      <patternFill patternType="solid">
        <fgColor theme="2"/>
        <bgColor indexed="64"/>
      </patternFill>
    </fill>
    <fill>
      <patternFill patternType="solid">
        <fgColor theme="0" tint="-0.14999847407452621"/>
        <bgColor indexed="64"/>
      </patternFill>
    </fill>
    <fill>
      <patternFill patternType="solid">
        <fgColor indexed="9"/>
        <bgColor indexed="64"/>
      </patternFill>
    </fill>
    <fill>
      <patternFill patternType="solid">
        <fgColor indexed="46"/>
        <bgColor indexed="64"/>
      </patternFill>
    </fill>
    <fill>
      <patternFill patternType="solid">
        <fgColor rgb="FFFFFF99"/>
        <bgColor indexed="64"/>
      </patternFill>
    </fill>
    <fill>
      <patternFill patternType="solid">
        <fgColor theme="6" tint="0.39997558519241921"/>
        <bgColor indexed="64"/>
      </patternFill>
    </fill>
    <fill>
      <patternFill patternType="solid">
        <fgColor indexed="65"/>
        <bgColor indexed="8"/>
      </patternFill>
    </fill>
  </fills>
  <borders count="7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top style="medium">
        <color indexed="64"/>
      </top>
      <bottom/>
      <diagonal/>
    </border>
    <border>
      <left/>
      <right style="medium">
        <color rgb="FF000000"/>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style="thin">
        <color indexed="8"/>
      </right>
      <top style="thin">
        <color indexed="8"/>
      </top>
      <bottom style="thin">
        <color indexed="8"/>
      </bottom>
      <diagonal/>
    </border>
  </borders>
  <cellStyleXfs count="12">
    <xf numFmtId="0" fontId="0" fillId="0" borderId="0"/>
    <xf numFmtId="44" fontId="4" fillId="0" borderId="0" applyFont="0" applyFill="0" applyBorder="0" applyAlignment="0" applyProtection="0"/>
    <xf numFmtId="9" fontId="4" fillId="0" borderId="0" applyFont="0" applyFill="0" applyBorder="0" applyAlignment="0" applyProtection="0"/>
    <xf numFmtId="4" fontId="40" fillId="8" borderId="64" applyNumberFormat="0" applyProtection="0">
      <alignment horizontal="left" vertical="center" indent="1"/>
    </xf>
    <xf numFmtId="4" fontId="40" fillId="9" borderId="64" applyNumberFormat="0" applyProtection="0">
      <alignment horizontal="right" vertical="center"/>
    </xf>
    <xf numFmtId="0" fontId="4" fillId="0" borderId="0"/>
    <xf numFmtId="43" fontId="58" fillId="0" borderId="0" applyFont="0" applyFill="0" applyBorder="0" applyAlignment="0" applyProtection="0"/>
    <xf numFmtId="9" fontId="58" fillId="0" borderId="0" applyFont="0" applyFill="0" applyBorder="0" applyAlignment="0" applyProtection="0"/>
    <xf numFmtId="44" fontId="58" fillId="0" borderId="0" applyFont="0" applyFill="0" applyBorder="0" applyAlignment="0" applyProtection="0"/>
    <xf numFmtId="0" fontId="63" fillId="0" borderId="0" applyNumberFormat="0" applyFill="0" applyBorder="0" applyAlignment="0" applyProtection="0">
      <alignment vertical="top"/>
      <protection locked="0"/>
    </xf>
    <xf numFmtId="0" fontId="65" fillId="0" borderId="0"/>
    <xf numFmtId="9" fontId="65" fillId="0" borderId="0" applyFont="0" applyFill="0" applyBorder="0" applyAlignment="0" applyProtection="0"/>
  </cellStyleXfs>
  <cellXfs count="774">
    <xf numFmtId="0" fontId="0" fillId="0" borderId="0" xfId="0"/>
    <xf numFmtId="0" fontId="1" fillId="0" borderId="0" xfId="0" applyFont="1"/>
    <xf numFmtId="0" fontId="5" fillId="0" borderId="0" xfId="0" applyFont="1"/>
    <xf numFmtId="7" fontId="0" fillId="0" borderId="0" xfId="0" applyNumberFormat="1"/>
    <xf numFmtId="0" fontId="7" fillId="0" borderId="0" xfId="0" applyFont="1"/>
    <xf numFmtId="0" fontId="9" fillId="0" borderId="0" xfId="0" applyFont="1"/>
    <xf numFmtId="0" fontId="8" fillId="0" borderId="0" xfId="0" applyFont="1" applyBorder="1"/>
    <xf numFmtId="0" fontId="0" fillId="0" borderId="1" xfId="0" applyBorder="1"/>
    <xf numFmtId="0" fontId="0" fillId="0" borderId="2" xfId="0" applyBorder="1"/>
    <xf numFmtId="0" fontId="10" fillId="0" borderId="3" xfId="0" applyFont="1" applyBorder="1"/>
    <xf numFmtId="0" fontId="10" fillId="0" borderId="4" xfId="0" applyFont="1" applyBorder="1"/>
    <xf numFmtId="0" fontId="10" fillId="0" borderId="5" xfId="0" applyFont="1" applyBorder="1"/>
    <xf numFmtId="0" fontId="11" fillId="0" borderId="0" xfId="0" applyFont="1"/>
    <xf numFmtId="0" fontId="10" fillId="0" borderId="0" xfId="0" applyFont="1"/>
    <xf numFmtId="0" fontId="11" fillId="0" borderId="0" xfId="0" applyFont="1" applyAlignment="1">
      <alignment horizontal="center"/>
    </xf>
    <xf numFmtId="0" fontId="11" fillId="0" borderId="1" xfId="0" applyFont="1" applyBorder="1" applyAlignment="1">
      <alignment horizontal="center"/>
    </xf>
    <xf numFmtId="0" fontId="10" fillId="0" borderId="0" xfId="0" applyFont="1" applyBorder="1" applyAlignment="1">
      <alignment horizontal="center"/>
    </xf>
    <xf numFmtId="1" fontId="10" fillId="0" borderId="0" xfId="0" applyNumberFormat="1" applyFont="1" applyBorder="1" applyAlignment="1">
      <alignment horizontal="center"/>
    </xf>
    <xf numFmtId="0" fontId="10" fillId="0" borderId="0" xfId="0" applyFont="1" applyBorder="1"/>
    <xf numFmtId="7" fontId="10" fillId="0" borderId="0" xfId="0" applyNumberFormat="1" applyFont="1" applyBorder="1" applyAlignment="1">
      <alignment horizontal="center"/>
    </xf>
    <xf numFmtId="7" fontId="10" fillId="0" borderId="1" xfId="0" applyNumberFormat="1" applyFont="1" applyBorder="1" applyAlignment="1">
      <alignment horizontal="center"/>
    </xf>
    <xf numFmtId="7" fontId="11" fillId="0" borderId="0" xfId="0" applyNumberFormat="1" applyFont="1" applyBorder="1" applyAlignment="1">
      <alignment horizontal="center"/>
    </xf>
    <xf numFmtId="7" fontId="6" fillId="0" borderId="0" xfId="0" applyNumberFormat="1" applyFont="1" applyBorder="1" applyAlignment="1">
      <alignment horizontal="center"/>
    </xf>
    <xf numFmtId="10" fontId="11" fillId="0" borderId="6" xfId="0" applyNumberFormat="1"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10" fontId="11" fillId="0" borderId="8" xfId="0" applyNumberFormat="1" applyFont="1" applyBorder="1" applyAlignment="1">
      <alignment horizontal="center"/>
    </xf>
    <xf numFmtId="10" fontId="11" fillId="0" borderId="7" xfId="0" applyNumberFormat="1" applyFont="1" applyBorder="1" applyAlignment="1">
      <alignment horizontal="center"/>
    </xf>
    <xf numFmtId="164" fontId="11" fillId="0" borderId="7" xfId="0" applyNumberFormat="1" applyFont="1" applyBorder="1" applyAlignment="1">
      <alignment horizontal="center"/>
    </xf>
    <xf numFmtId="7" fontId="11" fillId="0" borderId="7" xfId="0" applyNumberFormat="1" applyFont="1" applyBorder="1" applyAlignment="1">
      <alignment horizontal="center"/>
    </xf>
    <xf numFmtId="0" fontId="11" fillId="0" borderId="0" xfId="0" applyFont="1" applyBorder="1" applyAlignment="1">
      <alignment horizontal="center"/>
    </xf>
    <xf numFmtId="7" fontId="10" fillId="2" borderId="0" xfId="0" applyNumberFormat="1" applyFont="1" applyFill="1" applyBorder="1" applyAlignment="1">
      <alignment horizontal="center"/>
    </xf>
    <xf numFmtId="0" fontId="13" fillId="0" borderId="0" xfId="0" applyFont="1"/>
    <xf numFmtId="0" fontId="0" fillId="0" borderId="0" xfId="0" applyBorder="1"/>
    <xf numFmtId="0" fontId="9" fillId="0" borderId="0" xfId="0" applyFont="1" applyBorder="1"/>
    <xf numFmtId="164" fontId="11" fillId="0" borderId="0" xfId="0" applyNumberFormat="1" applyFont="1" applyBorder="1" applyAlignment="1">
      <alignment horizontal="center"/>
    </xf>
    <xf numFmtId="0" fontId="1" fillId="0" borderId="0" xfId="0" applyFont="1" applyBorder="1"/>
    <xf numFmtId="0" fontId="14" fillId="0" borderId="0" xfId="0" applyFont="1" applyBorder="1"/>
    <xf numFmtId="0" fontId="3" fillId="0" borderId="0" xfId="0" applyFont="1" applyBorder="1"/>
    <xf numFmtId="0" fontId="2" fillId="0" borderId="0" xfId="0" applyFont="1" applyBorder="1"/>
    <xf numFmtId="0" fontId="1" fillId="0" borderId="0" xfId="0" applyFont="1" applyAlignment="1">
      <alignment horizontal="centerContinuous"/>
    </xf>
    <xf numFmtId="0" fontId="11" fillId="0" borderId="0" xfId="0" applyFont="1" applyAlignment="1">
      <alignment horizontal="centerContinuous"/>
    </xf>
    <xf numFmtId="0" fontId="15" fillId="0" borderId="0" xfId="0" applyFont="1"/>
    <xf numFmtId="0" fontId="1" fillId="0" borderId="1" xfId="0" applyFont="1" applyBorder="1" applyAlignment="1">
      <alignment horizontal="centerContinuous"/>
    </xf>
    <xf numFmtId="0" fontId="11" fillId="0" borderId="1" xfId="0" applyFont="1" applyBorder="1" applyAlignment="1">
      <alignment horizontal="centerContinuous"/>
    </xf>
    <xf numFmtId="7" fontId="10" fillId="2" borderId="1" xfId="0" applyNumberFormat="1" applyFont="1" applyFill="1" applyBorder="1" applyAlignment="1">
      <alignment horizontal="center"/>
    </xf>
    <xf numFmtId="165" fontId="0" fillId="0" borderId="0" xfId="0" applyNumberFormat="1"/>
    <xf numFmtId="0" fontId="0" fillId="0" borderId="0" xfId="0" applyAlignment="1">
      <alignment horizontal="center"/>
    </xf>
    <xf numFmtId="165" fontId="0" fillId="0" borderId="0" xfId="0" applyNumberFormat="1" applyAlignment="1">
      <alignment horizontal="center"/>
    </xf>
    <xf numFmtId="165" fontId="13" fillId="0" borderId="0" xfId="0" applyNumberFormat="1" applyFont="1"/>
    <xf numFmtId="0" fontId="13" fillId="0" borderId="0" xfId="0" quotePrefix="1" applyFont="1"/>
    <xf numFmtId="7" fontId="12" fillId="0" borderId="0" xfId="0" applyNumberFormat="1" applyFont="1"/>
    <xf numFmtId="7" fontId="16" fillId="0" borderId="0" xfId="0" applyNumberFormat="1" applyFont="1"/>
    <xf numFmtId="49" fontId="17" fillId="0" borderId="0" xfId="0" quotePrefix="1" applyNumberFormat="1" applyFont="1"/>
    <xf numFmtId="0" fontId="17" fillId="0" borderId="0" xfId="0" quotePrefix="1" applyFont="1"/>
    <xf numFmtId="0" fontId="17" fillId="0" borderId="0" xfId="0" quotePrefix="1" applyFont="1" applyAlignment="1">
      <alignment horizontal="center"/>
    </xf>
    <xf numFmtId="165" fontId="11" fillId="0" borderId="0" xfId="0" applyNumberFormat="1" applyFont="1" applyAlignment="1">
      <alignment horizontal="centerContinuous"/>
    </xf>
    <xf numFmtId="165" fontId="0" fillId="0" borderId="0" xfId="0" applyNumberFormat="1" applyAlignment="1">
      <alignment horizontal="centerContinuous"/>
    </xf>
    <xf numFmtId="2" fontId="0" fillId="0" borderId="0" xfId="0" applyNumberFormat="1" applyAlignment="1">
      <alignment horizontal="centerContinuous"/>
    </xf>
    <xf numFmtId="2" fontId="12" fillId="0" borderId="0" xfId="0" applyNumberFormat="1" applyFont="1" applyAlignment="1">
      <alignment horizontal="centerContinuous"/>
    </xf>
    <xf numFmtId="7" fontId="0" fillId="0" borderId="0" xfId="0" applyNumberFormat="1" applyAlignment="1">
      <alignment horizontal="centerContinuous"/>
    </xf>
    <xf numFmtId="0" fontId="0" fillId="0" borderId="0" xfId="0" applyAlignment="1">
      <alignment horizontal="centerContinuous"/>
    </xf>
    <xf numFmtId="165" fontId="0" fillId="0" borderId="0" xfId="0" quotePrefix="1" applyNumberFormat="1"/>
    <xf numFmtId="0" fontId="0" fillId="0" borderId="0" xfId="0" applyAlignment="1">
      <alignment horizontal="right"/>
    </xf>
    <xf numFmtId="0" fontId="22" fillId="0" borderId="0" xfId="0" applyFont="1"/>
    <xf numFmtId="7" fontId="21" fillId="3" borderId="9" xfId="0" applyNumberFormat="1" applyFont="1" applyFill="1" applyBorder="1"/>
    <xf numFmtId="0" fontId="1" fillId="0" borderId="3" xfId="0" applyFont="1" applyBorder="1" applyAlignment="1">
      <alignment horizontal="centerContinuous"/>
    </xf>
    <xf numFmtId="0" fontId="0" fillId="0" borderId="10" xfId="0" applyBorder="1"/>
    <xf numFmtId="7" fontId="11" fillId="0" borderId="10" xfId="0" applyNumberFormat="1" applyFont="1" applyBorder="1" applyAlignment="1">
      <alignment horizontal="center"/>
    </xf>
    <xf numFmtId="0" fontId="0" fillId="0" borderId="4" xfId="0" applyBorder="1"/>
    <xf numFmtId="7" fontId="11" fillId="0" borderId="10" xfId="0" applyNumberFormat="1" applyFont="1" applyBorder="1" applyAlignment="1">
      <alignment horizontal="centerContinuous"/>
    </xf>
    <xf numFmtId="165" fontId="13" fillId="0" borderId="0" xfId="0" applyNumberFormat="1" applyFont="1" applyAlignment="1">
      <alignment horizontal="centerContinuous"/>
    </xf>
    <xf numFmtId="0" fontId="3" fillId="0" borderId="0" xfId="0" applyFont="1"/>
    <xf numFmtId="0" fontId="1" fillId="0" borderId="0" xfId="0" applyFont="1" applyAlignment="1">
      <alignment horizontal="center"/>
    </xf>
    <xf numFmtId="0" fontId="20" fillId="3" borderId="10" xfId="0" applyFont="1" applyFill="1" applyBorder="1" applyAlignment="1">
      <alignment horizontal="center"/>
    </xf>
    <xf numFmtId="7" fontId="21" fillId="3" borderId="9" xfId="0" applyNumberFormat="1" applyFont="1" applyFill="1" applyBorder="1" applyAlignment="1">
      <alignment horizontal="center" vertical="center"/>
    </xf>
    <xf numFmtId="7" fontId="20" fillId="3" borderId="9" xfId="0" applyNumberFormat="1" applyFont="1" applyFill="1" applyBorder="1" applyAlignment="1">
      <alignment horizontal="center" vertical="center"/>
    </xf>
    <xf numFmtId="7" fontId="1" fillId="0" borderId="7" xfId="0" applyNumberFormat="1" applyFont="1" applyBorder="1" applyAlignment="1">
      <alignment horizontal="center"/>
    </xf>
    <xf numFmtId="49" fontId="10" fillId="0" borderId="4" xfId="0" applyNumberFormat="1" applyFont="1" applyBorder="1" applyAlignment="1">
      <alignment horizontal="left"/>
    </xf>
    <xf numFmtId="0" fontId="23" fillId="0" borderId="0" xfId="0" applyFont="1" applyAlignment="1">
      <alignment horizontal="centerContinuous"/>
    </xf>
    <xf numFmtId="166" fontId="5" fillId="0" borderId="0" xfId="0" applyNumberFormat="1" applyFont="1" applyAlignment="1">
      <alignment horizontal="centerContinuous" vertical="center"/>
    </xf>
    <xf numFmtId="7" fontId="5" fillId="0" borderId="0" xfId="0" applyNumberFormat="1" applyFont="1" applyAlignment="1">
      <alignment horizontal="centerContinuous" vertical="center"/>
    </xf>
    <xf numFmtId="0" fontId="5" fillId="0" borderId="0" xfId="0" applyFont="1" applyAlignment="1">
      <alignment horizontal="centerContinuous" vertical="center"/>
    </xf>
    <xf numFmtId="0" fontId="19" fillId="0" borderId="11" xfId="0" applyFont="1" applyBorder="1" applyAlignment="1">
      <alignment horizontal="centerContinuous"/>
    </xf>
    <xf numFmtId="165" fontId="0" fillId="0" borderId="12" xfId="0" applyNumberFormat="1" applyBorder="1" applyAlignment="1">
      <alignment horizontal="centerContinuous"/>
    </xf>
    <xf numFmtId="0" fontId="0" fillId="0" borderId="12" xfId="0" applyBorder="1" applyAlignment="1">
      <alignment horizontal="centerContinuous"/>
    </xf>
    <xf numFmtId="0" fontId="0" fillId="0" borderId="13" xfId="0" applyBorder="1" applyAlignment="1">
      <alignment horizontal="centerContinuous"/>
    </xf>
    <xf numFmtId="0" fontId="19" fillId="0" borderId="14" xfId="0" applyFont="1" applyBorder="1" applyAlignment="1">
      <alignment horizontal="centerContinuous"/>
    </xf>
    <xf numFmtId="165" fontId="0" fillId="0" borderId="15" xfId="0" applyNumberFormat="1"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165" fontId="1" fillId="0" borderId="0" xfId="0" applyNumberFormat="1" applyFont="1"/>
    <xf numFmtId="165" fontId="13" fillId="0" borderId="0" xfId="0" applyNumberFormat="1" applyFont="1" applyAlignment="1">
      <alignment horizontal="center"/>
    </xf>
    <xf numFmtId="0" fontId="13" fillId="0" borderId="0" xfId="0" applyFont="1" applyAlignment="1">
      <alignment horizontal="center"/>
    </xf>
    <xf numFmtId="0" fontId="15" fillId="0" borderId="0" xfId="0" applyFont="1" applyAlignment="1">
      <alignment horizontal="center"/>
    </xf>
    <xf numFmtId="165" fontId="1" fillId="0" borderId="0" xfId="0" applyNumberFormat="1" applyFont="1" applyAlignment="1">
      <alignment horizontal="center"/>
    </xf>
    <xf numFmtId="0" fontId="12" fillId="0" borderId="5" xfId="0" applyFont="1" applyBorder="1"/>
    <xf numFmtId="0" fontId="0" fillId="0" borderId="8" xfId="0" applyBorder="1" applyAlignment="1">
      <alignment horizontal="centerContinuous"/>
    </xf>
    <xf numFmtId="0" fontId="23" fillId="0" borderId="8" xfId="0" applyFont="1" applyBorder="1" applyAlignment="1">
      <alignment horizontal="centerContinuous"/>
    </xf>
    <xf numFmtId="0" fontId="15" fillId="0" borderId="0" xfId="0" applyFont="1" applyAlignment="1">
      <alignment horizontal="centerContinuous"/>
    </xf>
    <xf numFmtId="0" fontId="18" fillId="0" borderId="4" xfId="0" applyFont="1" applyBorder="1" applyAlignment="1">
      <alignment horizontal="center" vertical="center"/>
    </xf>
    <xf numFmtId="166" fontId="18" fillId="0" borderId="1" xfId="0" applyNumberFormat="1" applyFont="1" applyBorder="1" applyAlignment="1">
      <alignment horizontal="center" vertical="center"/>
    </xf>
    <xf numFmtId="0" fontId="18" fillId="0" borderId="7" xfId="0" applyFont="1" applyBorder="1" applyAlignment="1">
      <alignment horizontal="center" vertical="center"/>
    </xf>
    <xf numFmtId="0" fontId="0" fillId="0" borderId="9" xfId="0" applyBorder="1"/>
    <xf numFmtId="166" fontId="0" fillId="0" borderId="9" xfId="0" applyNumberFormat="1" applyBorder="1" applyAlignment="1">
      <alignment horizontal="center" vertical="center"/>
    </xf>
    <xf numFmtId="0" fontId="0" fillId="0" borderId="9" xfId="0" applyBorder="1" applyAlignment="1">
      <alignment horizontal="center" vertical="center"/>
    </xf>
    <xf numFmtId="0" fontId="0" fillId="0" borderId="9" xfId="0" quotePrefix="1" applyBorder="1" applyAlignment="1">
      <alignment horizontal="left"/>
    </xf>
    <xf numFmtId="0" fontId="0" fillId="0" borderId="9" xfId="0" applyBorder="1" applyAlignment="1">
      <alignment horizontal="left"/>
    </xf>
    <xf numFmtId="0" fontId="0" fillId="0" borderId="17" xfId="0" applyBorder="1" applyAlignment="1">
      <alignment horizontal="centerContinuous"/>
    </xf>
    <xf numFmtId="7" fontId="18" fillId="0" borderId="17" xfId="0" quotePrefix="1" applyNumberFormat="1" applyFont="1" applyBorder="1" applyAlignment="1">
      <alignment horizontal="centerContinuous" vertical="center"/>
    </xf>
    <xf numFmtId="0" fontId="0" fillId="0" borderId="18" xfId="0" applyBorder="1" applyAlignment="1">
      <alignment horizontal="centerContinuous"/>
    </xf>
    <xf numFmtId="0" fontId="24" fillId="0" borderId="19" xfId="0" applyFont="1" applyBorder="1" applyAlignment="1">
      <alignment horizontal="centerContinuous"/>
    </xf>
    <xf numFmtId="0" fontId="0" fillId="0" borderId="0" xfId="0" applyAlignment="1">
      <alignment horizontal="left"/>
    </xf>
    <xf numFmtId="165" fontId="0" fillId="0" borderId="0" xfId="0" applyNumberFormat="1" applyAlignment="1">
      <alignment horizontal="right"/>
    </xf>
    <xf numFmtId="2" fontId="0" fillId="0" borderId="0" xfId="0" applyNumberFormat="1" applyAlignment="1">
      <alignment horizontal="center"/>
    </xf>
    <xf numFmtId="165" fontId="0" fillId="0" borderId="9" xfId="0" applyNumberFormat="1" applyBorder="1" applyAlignment="1">
      <alignment horizontal="right"/>
    </xf>
    <xf numFmtId="7" fontId="12" fillId="0" borderId="0" xfId="0" applyNumberFormat="1" applyFont="1" applyBorder="1" applyAlignment="1">
      <alignment horizontal="center"/>
    </xf>
    <xf numFmtId="7" fontId="1" fillId="0" borderId="0" xfId="0" applyNumberFormat="1" applyFont="1" applyAlignment="1">
      <alignment horizontal="center"/>
    </xf>
    <xf numFmtId="167" fontId="0" fillId="0" borderId="0" xfId="0" applyNumberFormat="1" applyAlignment="1">
      <alignment horizontal="center"/>
    </xf>
    <xf numFmtId="0" fontId="0" fillId="0" borderId="0" xfId="0" applyBorder="1" applyAlignment="1">
      <alignment horizontal="center"/>
    </xf>
    <xf numFmtId="7" fontId="0" fillId="0" borderId="0" xfId="0" applyNumberFormat="1" applyBorder="1" applyAlignment="1">
      <alignment horizontal="center"/>
    </xf>
    <xf numFmtId="167" fontId="0" fillId="0" borderId="15" xfId="0" applyNumberFormat="1" applyBorder="1" applyAlignment="1">
      <alignment horizontal="center"/>
    </xf>
    <xf numFmtId="0" fontId="0" fillId="0" borderId="15" xfId="0" applyBorder="1" applyAlignment="1">
      <alignment horizontal="center"/>
    </xf>
    <xf numFmtId="7" fontId="0" fillId="0" borderId="2" xfId="0" applyNumberFormat="1" applyBorder="1" applyAlignment="1">
      <alignment horizontal="center"/>
    </xf>
    <xf numFmtId="0" fontId="0" fillId="0" borderId="2" xfId="0" applyBorder="1" applyAlignment="1">
      <alignment horizontal="center"/>
    </xf>
    <xf numFmtId="167" fontId="0" fillId="0" borderId="9" xfId="0" applyNumberFormat="1" applyBorder="1" applyAlignment="1">
      <alignment horizontal="center"/>
    </xf>
    <xf numFmtId="167" fontId="0" fillId="0" borderId="20" xfId="0" applyNumberFormat="1" applyBorder="1" applyAlignment="1">
      <alignment horizontal="center"/>
    </xf>
    <xf numFmtId="7" fontId="0" fillId="0" borderId="9" xfId="0" applyNumberFormat="1" applyBorder="1" applyAlignment="1">
      <alignment horizontal="center"/>
    </xf>
    <xf numFmtId="7" fontId="0" fillId="0" borderId="20" xfId="0" applyNumberFormat="1" applyBorder="1" applyAlignment="1">
      <alignment horizontal="center"/>
    </xf>
    <xf numFmtId="0" fontId="0" fillId="0" borderId="9" xfId="0" applyBorder="1" applyAlignment="1">
      <alignment horizontal="center"/>
    </xf>
    <xf numFmtId="0" fontId="0" fillId="0" borderId="20" xfId="0" applyBorder="1" applyAlignment="1">
      <alignment horizontal="center"/>
    </xf>
    <xf numFmtId="167" fontId="0" fillId="0" borderId="21" xfId="0" applyNumberFormat="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14" xfId="0" applyBorder="1" applyAlignment="1">
      <alignment horizontal="center"/>
    </xf>
    <xf numFmtId="0" fontId="0" fillId="0" borderId="24" xfId="0" applyBorder="1" applyAlignment="1">
      <alignment horizontal="center"/>
    </xf>
    <xf numFmtId="0" fontId="0" fillId="0" borderId="11" xfId="0" applyBorder="1" applyAlignment="1">
      <alignment horizontal="center"/>
    </xf>
    <xf numFmtId="0" fontId="0" fillId="3" borderId="25" xfId="0" applyFill="1" applyBorder="1" applyAlignment="1">
      <alignment horizontal="center" vertical="center" wrapText="1"/>
    </xf>
    <xf numFmtId="167" fontId="0" fillId="3" borderId="26" xfId="0" applyNumberFormat="1" applyFill="1" applyBorder="1" applyAlignment="1">
      <alignment horizontal="center" vertical="center"/>
    </xf>
    <xf numFmtId="0" fontId="0" fillId="3" borderId="27"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wrapText="1"/>
    </xf>
    <xf numFmtId="0" fontId="0" fillId="3" borderId="26" xfId="0" applyFill="1" applyBorder="1" applyAlignment="1">
      <alignment horizontal="center" vertical="center" wrapText="1"/>
    </xf>
    <xf numFmtId="0" fontId="0" fillId="0" borderId="0" xfId="0" applyAlignment="1">
      <alignment vertical="center"/>
    </xf>
    <xf numFmtId="0" fontId="0" fillId="3" borderId="25" xfId="0" applyFill="1" applyBorder="1" applyAlignment="1">
      <alignment horizontal="center" vertical="center"/>
    </xf>
    <xf numFmtId="7" fontId="0" fillId="0" borderId="21" xfId="0" applyNumberFormat="1" applyBorder="1" applyAlignment="1">
      <alignment horizontal="center"/>
    </xf>
    <xf numFmtId="0" fontId="0" fillId="0" borderId="14" xfId="0" applyBorder="1" applyAlignment="1">
      <alignment horizontal="left"/>
    </xf>
    <xf numFmtId="0" fontId="25" fillId="0" borderId="0" xfId="0" applyFont="1" applyAlignment="1">
      <alignment horizontal="center"/>
    </xf>
    <xf numFmtId="0" fontId="0" fillId="0" borderId="0" xfId="0" applyBorder="1" applyAlignment="1">
      <alignment horizontal="left"/>
    </xf>
    <xf numFmtId="167" fontId="0" fillId="0" borderId="0" xfId="0" applyNumberFormat="1" applyBorder="1" applyAlignment="1">
      <alignment horizontal="center"/>
    </xf>
    <xf numFmtId="0" fontId="26" fillId="0" borderId="0" xfId="0" applyFont="1"/>
    <xf numFmtId="0" fontId="24" fillId="0" borderId="0" xfId="0" applyFont="1" applyAlignment="1">
      <alignment horizontal="center"/>
    </xf>
    <xf numFmtId="169" fontId="10" fillId="0" borderId="0" xfId="0" applyNumberFormat="1" applyFont="1" applyBorder="1" applyAlignment="1">
      <alignment horizontal="center"/>
    </xf>
    <xf numFmtId="0" fontId="0" fillId="3" borderId="26" xfId="0" applyFill="1" applyBorder="1" applyAlignment="1">
      <alignment horizontal="center" wrapText="1"/>
    </xf>
    <xf numFmtId="0" fontId="0" fillId="0" borderId="22" xfId="0" applyFill="1" applyBorder="1" applyAlignment="1">
      <alignment horizontal="center" vertical="center" wrapText="1"/>
    </xf>
    <xf numFmtId="167" fontId="0" fillId="0" borderId="20" xfId="0" applyNumberFormat="1" applyFill="1" applyBorder="1" applyAlignment="1">
      <alignment horizontal="center" vertical="center" wrapText="1"/>
    </xf>
    <xf numFmtId="167" fontId="0" fillId="0" borderId="0" xfId="0" applyNumberFormat="1" applyFill="1" applyBorder="1" applyAlignment="1">
      <alignment horizontal="center" vertical="center" wrapText="1"/>
    </xf>
    <xf numFmtId="0" fontId="0" fillId="0" borderId="23" xfId="0" applyBorder="1" applyAlignment="1">
      <alignment horizontal="center" vertical="center" wrapText="1"/>
    </xf>
    <xf numFmtId="0" fontId="0" fillId="0" borderId="28" xfId="0" applyBorder="1" applyAlignment="1">
      <alignment horizontal="center" vertical="center" wrapText="1"/>
    </xf>
    <xf numFmtId="0" fontId="11" fillId="0" borderId="0" xfId="0" applyFont="1" applyAlignment="1">
      <alignment horizontal="left"/>
    </xf>
    <xf numFmtId="0" fontId="11" fillId="0" borderId="0" xfId="0" applyFont="1" applyBorder="1"/>
    <xf numFmtId="7" fontId="11" fillId="0" borderId="0" xfId="0" applyNumberFormat="1" applyFont="1" applyAlignment="1">
      <alignment horizontal="center"/>
    </xf>
    <xf numFmtId="169" fontId="11" fillId="0" borderId="0" xfId="0" applyNumberFormat="1" applyFont="1" applyAlignment="1">
      <alignment horizontal="center"/>
    </xf>
    <xf numFmtId="166" fontId="0" fillId="0" borderId="0" xfId="0" applyNumberFormat="1" applyBorder="1" applyAlignment="1">
      <alignment horizontal="right" vertical="center"/>
    </xf>
    <xf numFmtId="0" fontId="0" fillId="0" borderId="31" xfId="0" applyBorder="1" applyAlignment="1">
      <alignment horizontal="center"/>
    </xf>
    <xf numFmtId="167" fontId="0" fillId="0" borderId="32" xfId="0" applyNumberFormat="1" applyBorder="1" applyAlignment="1">
      <alignment horizontal="center"/>
    </xf>
    <xf numFmtId="7" fontId="0" fillId="0" borderId="33" xfId="0" applyNumberFormat="1" applyBorder="1" applyAlignment="1">
      <alignment horizontal="center"/>
    </xf>
    <xf numFmtId="7" fontId="0" fillId="0" borderId="32" xfId="0" applyNumberFormat="1" applyBorder="1" applyAlignment="1">
      <alignment horizontal="center"/>
    </xf>
    <xf numFmtId="0" fontId="0" fillId="0" borderId="28" xfId="0" applyBorder="1" applyAlignment="1">
      <alignment horizontal="center"/>
    </xf>
    <xf numFmtId="167" fontId="0" fillId="0" borderId="29" xfId="0" applyNumberFormat="1" applyBorder="1" applyAlignment="1">
      <alignment horizontal="center"/>
    </xf>
    <xf numFmtId="0" fontId="0" fillId="0" borderId="30" xfId="0" applyBorder="1" applyAlignment="1">
      <alignment horizontal="center"/>
    </xf>
    <xf numFmtId="7" fontId="0" fillId="0" borderId="29" xfId="0" applyNumberFormat="1" applyBorder="1" applyAlignment="1">
      <alignment horizontal="center"/>
    </xf>
    <xf numFmtId="7" fontId="0" fillId="0" borderId="30" xfId="0" applyNumberFormat="1" applyBorder="1" applyAlignment="1">
      <alignment horizontal="center"/>
    </xf>
    <xf numFmtId="0" fontId="0" fillId="0" borderId="29" xfId="0" applyBorder="1" applyAlignment="1">
      <alignment horizontal="center"/>
    </xf>
    <xf numFmtId="0" fontId="0" fillId="3" borderId="34" xfId="0" applyFill="1" applyBorder="1" applyAlignment="1">
      <alignment horizontal="center" vertical="center"/>
    </xf>
    <xf numFmtId="3" fontId="0" fillId="0" borderId="35" xfId="0" applyNumberFormat="1" applyBorder="1" applyAlignment="1">
      <alignment horizontal="center" vertical="center"/>
    </xf>
    <xf numFmtId="9" fontId="0" fillId="0" borderId="36" xfId="2" applyFont="1" applyBorder="1" applyAlignment="1">
      <alignment horizontal="center"/>
    </xf>
    <xf numFmtId="3" fontId="0" fillId="0" borderId="37" xfId="0" applyNumberFormat="1" applyBorder="1" applyAlignment="1">
      <alignment horizontal="center" vertical="center"/>
    </xf>
    <xf numFmtId="3" fontId="0" fillId="0" borderId="38" xfId="0" applyNumberFormat="1" applyBorder="1" applyAlignment="1">
      <alignment horizontal="center" vertical="center"/>
    </xf>
    <xf numFmtId="9" fontId="0" fillId="0" borderId="39" xfId="2" applyFont="1" applyBorder="1" applyAlignment="1">
      <alignment horizontal="center"/>
    </xf>
    <xf numFmtId="3" fontId="0" fillId="0" borderId="40" xfId="0" applyNumberFormat="1" applyBorder="1" applyAlignment="1">
      <alignment horizontal="center" vertical="center"/>
    </xf>
    <xf numFmtId="9" fontId="0" fillId="0" borderId="16" xfId="2" applyFont="1" applyBorder="1" applyAlignment="1">
      <alignment horizontal="center"/>
    </xf>
    <xf numFmtId="3" fontId="0" fillId="0" borderId="41" xfId="0" applyNumberFormat="1" applyBorder="1" applyAlignment="1">
      <alignment horizontal="center" vertical="center"/>
    </xf>
    <xf numFmtId="9" fontId="0" fillId="0" borderId="42" xfId="2" applyFont="1" applyBorder="1" applyAlignment="1">
      <alignment horizontal="center"/>
    </xf>
    <xf numFmtId="167" fontId="0" fillId="3" borderId="34" xfId="0" applyNumberFormat="1" applyFill="1" applyBorder="1" applyAlignment="1">
      <alignment horizontal="center" vertical="center"/>
    </xf>
    <xf numFmtId="167" fontId="0" fillId="0" borderId="37" xfId="0" applyNumberFormat="1" applyBorder="1" applyAlignment="1">
      <alignment horizontal="center"/>
    </xf>
    <xf numFmtId="9" fontId="0" fillId="0" borderId="43" xfId="2" applyFont="1" applyBorder="1" applyAlignment="1">
      <alignment horizontal="center"/>
    </xf>
    <xf numFmtId="167" fontId="0" fillId="0" borderId="40" xfId="0" applyNumberFormat="1" applyBorder="1" applyAlignment="1">
      <alignment horizontal="center"/>
    </xf>
    <xf numFmtId="167" fontId="0" fillId="0" borderId="14" xfId="0" applyNumberFormat="1" applyBorder="1" applyAlignment="1">
      <alignment horizontal="center"/>
    </xf>
    <xf numFmtId="167" fontId="0" fillId="0" borderId="24" xfId="0" applyNumberFormat="1" applyBorder="1" applyAlignment="1">
      <alignment horizontal="center"/>
    </xf>
    <xf numFmtId="3" fontId="0" fillId="0" borderId="37" xfId="0" applyNumberFormat="1" applyBorder="1" applyAlignment="1">
      <alignment horizontal="center"/>
    </xf>
    <xf numFmtId="9" fontId="0" fillId="0" borderId="0" xfId="2" applyFont="1" applyBorder="1" applyAlignment="1">
      <alignment horizontal="center"/>
    </xf>
    <xf numFmtId="3" fontId="0" fillId="0" borderId="38" xfId="0" applyNumberFormat="1" applyBorder="1" applyAlignment="1">
      <alignment horizontal="center"/>
    </xf>
    <xf numFmtId="9" fontId="0" fillId="0" borderId="9" xfId="2" applyFont="1" applyBorder="1" applyAlignment="1">
      <alignment horizontal="center"/>
    </xf>
    <xf numFmtId="0" fontId="0" fillId="3" borderId="44" xfId="0" applyNumberFormat="1" applyFill="1" applyBorder="1" applyAlignment="1">
      <alignment horizontal="center" vertical="center"/>
    </xf>
    <xf numFmtId="3" fontId="0" fillId="0" borderId="37" xfId="0" applyNumberFormat="1" applyFill="1" applyBorder="1" applyAlignment="1">
      <alignment horizontal="center" vertical="center"/>
    </xf>
    <xf numFmtId="9" fontId="0" fillId="0" borderId="45" xfId="2" applyFont="1" applyBorder="1" applyAlignment="1">
      <alignment horizontal="center"/>
    </xf>
    <xf numFmtId="3" fontId="0" fillId="0" borderId="46" xfId="0" applyNumberFormat="1" applyBorder="1" applyAlignment="1">
      <alignment horizontal="center" vertical="center"/>
    </xf>
    <xf numFmtId="167" fontId="0" fillId="0" borderId="41" xfId="0" applyNumberFormat="1" applyBorder="1" applyAlignment="1">
      <alignment horizontal="center"/>
    </xf>
    <xf numFmtId="9" fontId="0" fillId="0" borderId="47" xfId="2" applyFont="1" applyBorder="1" applyAlignment="1">
      <alignment horizontal="center"/>
    </xf>
    <xf numFmtId="0" fontId="0" fillId="3" borderId="25" xfId="0" applyFill="1" applyBorder="1" applyAlignment="1">
      <alignment horizontal="center"/>
    </xf>
    <xf numFmtId="167" fontId="0" fillId="3" borderId="27" xfId="0" applyNumberFormat="1" applyFill="1" applyBorder="1" applyAlignment="1">
      <alignment horizontal="center"/>
    </xf>
    <xf numFmtId="0" fontId="0" fillId="0" borderId="11" xfId="0" applyBorder="1" applyAlignment="1">
      <alignment horizontal="left"/>
    </xf>
    <xf numFmtId="167" fontId="0" fillId="0" borderId="12" xfId="0" applyNumberFormat="1" applyBorder="1" applyAlignment="1">
      <alignment horizontal="center"/>
    </xf>
    <xf numFmtId="9" fontId="0" fillId="0" borderId="13" xfId="2" applyFont="1" applyBorder="1" applyAlignment="1">
      <alignment horizontal="center"/>
    </xf>
    <xf numFmtId="0" fontId="0" fillId="0" borderId="16" xfId="0" applyBorder="1"/>
    <xf numFmtId="0" fontId="0" fillId="3" borderId="26" xfId="0" applyNumberFormat="1" applyFill="1" applyBorder="1" applyAlignment="1">
      <alignment horizontal="center" vertical="center"/>
    </xf>
    <xf numFmtId="7" fontId="0" fillId="0" borderId="26" xfId="0" applyNumberFormat="1" applyBorder="1" applyAlignment="1">
      <alignment horizontal="center"/>
    </xf>
    <xf numFmtId="9" fontId="0" fillId="0" borderId="49" xfId="2" applyFont="1" applyBorder="1" applyAlignment="1">
      <alignment horizontal="center"/>
    </xf>
    <xf numFmtId="9" fontId="0" fillId="0" borderId="21" xfId="2" applyFont="1" applyBorder="1" applyAlignment="1">
      <alignment horizontal="center"/>
    </xf>
    <xf numFmtId="9" fontId="0" fillId="0" borderId="20" xfId="2" applyFont="1" applyBorder="1" applyAlignment="1">
      <alignment horizontal="center"/>
    </xf>
    <xf numFmtId="0" fontId="0" fillId="0" borderId="24" xfId="0" applyBorder="1" applyAlignment="1">
      <alignment horizontal="left"/>
    </xf>
    <xf numFmtId="9" fontId="0" fillId="0" borderId="50" xfId="2" applyFont="1" applyBorder="1" applyAlignment="1">
      <alignment horizontal="center"/>
    </xf>
    <xf numFmtId="167" fontId="0" fillId="3" borderId="51" xfId="0" applyNumberFormat="1" applyFill="1" applyBorder="1" applyAlignment="1">
      <alignment horizontal="center" vertical="center"/>
    </xf>
    <xf numFmtId="0" fontId="27" fillId="4" borderId="52" xfId="0" applyFont="1" applyFill="1" applyBorder="1" applyAlignment="1">
      <alignment horizontal="center"/>
    </xf>
    <xf numFmtId="0" fontId="0" fillId="0" borderId="52" xfId="0" applyBorder="1" applyAlignment="1">
      <alignment horizontal="center"/>
    </xf>
    <xf numFmtId="0" fontId="0" fillId="3" borderId="51" xfId="0" applyFill="1" applyBorder="1" applyAlignment="1">
      <alignment horizontal="center" wrapText="1"/>
    </xf>
    <xf numFmtId="0" fontId="0" fillId="3" borderId="49" xfId="0" applyFill="1" applyBorder="1" applyAlignment="1">
      <alignment horizontal="center"/>
    </xf>
    <xf numFmtId="0" fontId="0" fillId="0" borderId="54" xfId="0" applyBorder="1" applyAlignment="1">
      <alignment horizontal="center"/>
    </xf>
    <xf numFmtId="0" fontId="0" fillId="0" borderId="16" xfId="0" applyBorder="1" applyAlignment="1">
      <alignment horizontal="center"/>
    </xf>
    <xf numFmtId="168" fontId="0" fillId="0" borderId="55" xfId="0" applyNumberFormat="1" applyBorder="1" applyAlignment="1">
      <alignment horizontal="center"/>
    </xf>
    <xf numFmtId="167" fontId="0" fillId="0" borderId="53" xfId="0" applyNumberFormat="1" applyBorder="1" applyAlignment="1">
      <alignment horizontal="center"/>
    </xf>
    <xf numFmtId="0" fontId="0" fillId="0" borderId="13" xfId="0" applyBorder="1" applyAlignment="1">
      <alignment horizontal="center"/>
    </xf>
    <xf numFmtId="3" fontId="0" fillId="0" borderId="0" xfId="0" applyNumberFormat="1" applyBorder="1" applyAlignment="1">
      <alignment horizontal="center" vertical="center"/>
    </xf>
    <xf numFmtId="167" fontId="0" fillId="0" borderId="56" xfId="0" applyNumberFormat="1" applyBorder="1" applyAlignment="1">
      <alignment horizontal="center"/>
    </xf>
    <xf numFmtId="167" fontId="0" fillId="0" borderId="5" xfId="0" applyNumberFormat="1" applyBorder="1" applyAlignment="1">
      <alignment horizontal="center"/>
    </xf>
    <xf numFmtId="167" fontId="0" fillId="0" borderId="57" xfId="0" applyNumberFormat="1" applyBorder="1" applyAlignment="1">
      <alignment horizontal="center"/>
    </xf>
    <xf numFmtId="0" fontId="0" fillId="3" borderId="49" xfId="0" applyFill="1" applyBorder="1" applyAlignment="1">
      <alignment horizontal="center" vertical="center" wrapText="1"/>
    </xf>
    <xf numFmtId="0" fontId="0" fillId="3" borderId="58" xfId="0" applyFill="1" applyBorder="1" applyAlignment="1">
      <alignment horizontal="center" vertical="center" wrapText="1"/>
    </xf>
    <xf numFmtId="9" fontId="0" fillId="0" borderId="59" xfId="2" applyFont="1" applyBorder="1" applyAlignment="1">
      <alignment horizontal="center"/>
    </xf>
    <xf numFmtId="9" fontId="0" fillId="0" borderId="60" xfId="2" applyFont="1" applyBorder="1" applyAlignment="1">
      <alignment horizontal="center"/>
    </xf>
    <xf numFmtId="7" fontId="10" fillId="5" borderId="1" xfId="0" applyNumberFormat="1" applyFont="1" applyFill="1" applyBorder="1" applyAlignment="1">
      <alignment horizontal="center"/>
    </xf>
    <xf numFmtId="172" fontId="10" fillId="0" borderId="0" xfId="0" applyNumberFormat="1" applyFont="1" applyBorder="1" applyAlignment="1">
      <alignment horizontal="center"/>
    </xf>
    <xf numFmtId="173" fontId="0" fillId="0" borderId="0" xfId="0" applyNumberFormat="1"/>
    <xf numFmtId="1" fontId="10" fillId="5" borderId="0" xfId="0" applyNumberFormat="1" applyFont="1" applyFill="1" applyBorder="1" applyAlignment="1">
      <alignment horizontal="center"/>
    </xf>
    <xf numFmtId="0" fontId="0" fillId="5" borderId="0" xfId="0" applyFill="1" applyAlignment="1">
      <alignment horizontal="center"/>
    </xf>
    <xf numFmtId="174" fontId="11" fillId="0" borderId="7" xfId="0" applyNumberFormat="1" applyFont="1" applyBorder="1" applyAlignment="1">
      <alignment horizontal="center"/>
    </xf>
    <xf numFmtId="174" fontId="11" fillId="5" borderId="7" xfId="0" applyNumberFormat="1" applyFont="1" applyFill="1" applyBorder="1" applyAlignment="1">
      <alignment horizontal="center"/>
    </xf>
    <xf numFmtId="7" fontId="10" fillId="5" borderId="0" xfId="0" applyNumberFormat="1" applyFont="1" applyFill="1" applyBorder="1" applyAlignment="1">
      <alignment horizontal="center"/>
    </xf>
    <xf numFmtId="165" fontId="0" fillId="5" borderId="0" xfId="0" applyNumberFormat="1" applyFill="1" applyAlignment="1">
      <alignment horizontal="right"/>
    </xf>
    <xf numFmtId="7" fontId="10" fillId="0" borderId="0" xfId="0" applyNumberFormat="1" applyFont="1" applyFill="1" applyBorder="1" applyAlignment="1">
      <alignment horizontal="center"/>
    </xf>
    <xf numFmtId="7" fontId="12" fillId="5" borderId="0" xfId="0" applyNumberFormat="1" applyFont="1" applyFill="1" applyBorder="1" applyAlignment="1">
      <alignment horizontal="center"/>
    </xf>
    <xf numFmtId="7" fontId="12" fillId="0" borderId="0" xfId="0" applyNumberFormat="1" applyFont="1" applyFill="1" applyBorder="1" applyAlignment="1">
      <alignment horizontal="center"/>
    </xf>
    <xf numFmtId="165" fontId="0" fillId="0" borderId="0" xfId="0" applyNumberFormat="1" applyFill="1"/>
    <xf numFmtId="7" fontId="16" fillId="0" borderId="0" xfId="0" applyNumberFormat="1" applyFont="1" applyFill="1"/>
    <xf numFmtId="0" fontId="31" fillId="0" borderId="0" xfId="0" applyFont="1"/>
    <xf numFmtId="10" fontId="30" fillId="3" borderId="10" xfId="0" applyNumberFormat="1" applyFont="1" applyFill="1" applyBorder="1" applyAlignment="1">
      <alignment horizontal="center"/>
    </xf>
    <xf numFmtId="44" fontId="0" fillId="0" borderId="0" xfId="1" applyFont="1"/>
    <xf numFmtId="44" fontId="0" fillId="6" borderId="0" xfId="1" applyFont="1" applyFill="1"/>
    <xf numFmtId="0" fontId="0" fillId="6" borderId="0" xfId="0" applyFill="1"/>
    <xf numFmtId="0" fontId="0" fillId="0" borderId="0" xfId="0" applyAlignment="1">
      <alignment wrapText="1"/>
    </xf>
    <xf numFmtId="9" fontId="0" fillId="0" borderId="0" xfId="2" applyFont="1"/>
    <xf numFmtId="0" fontId="4" fillId="0" borderId="9" xfId="0" applyFont="1" applyBorder="1"/>
    <xf numFmtId="0" fontId="11" fillId="0" borderId="9" xfId="0" applyFont="1" applyBorder="1"/>
    <xf numFmtId="0" fontId="11" fillId="0" borderId="9" xfId="0" applyFont="1" applyFill="1" applyBorder="1"/>
    <xf numFmtId="167" fontId="0" fillId="0" borderId="0" xfId="0" applyNumberFormat="1"/>
    <xf numFmtId="1" fontId="0" fillId="0" borderId="20" xfId="1" applyNumberFormat="1" applyFont="1" applyBorder="1" applyAlignment="1">
      <alignment horizontal="center"/>
    </xf>
    <xf numFmtId="1" fontId="0" fillId="0" borderId="9" xfId="1" applyNumberFormat="1" applyFont="1" applyBorder="1" applyAlignment="1">
      <alignment horizontal="center"/>
    </xf>
    <xf numFmtId="167" fontId="0" fillId="0" borderId="3" xfId="0" applyNumberFormat="1" applyBorder="1" applyAlignment="1">
      <alignment horizontal="center"/>
    </xf>
    <xf numFmtId="0" fontId="0" fillId="0" borderId="0" xfId="0" applyAlignment="1">
      <alignment horizontal="center" wrapText="1"/>
    </xf>
    <xf numFmtId="0" fontId="35" fillId="0" borderId="0" xfId="0" applyFont="1"/>
    <xf numFmtId="0" fontId="33" fillId="0" borderId="0" xfId="0" applyFont="1" applyAlignment="1"/>
    <xf numFmtId="0" fontId="10" fillId="7" borderId="4" xfId="0" applyFont="1" applyFill="1" applyBorder="1"/>
    <xf numFmtId="0" fontId="15" fillId="0" borderId="9" xfId="0" applyFont="1" applyFill="1" applyBorder="1"/>
    <xf numFmtId="0" fontId="4" fillId="0" borderId="9" xfId="0" applyFont="1" applyFill="1" applyBorder="1"/>
    <xf numFmtId="0" fontId="19" fillId="0" borderId="9" xfId="0" applyFont="1" applyFill="1" applyBorder="1" applyAlignment="1">
      <alignment horizontal="left"/>
    </xf>
    <xf numFmtId="0" fontId="19" fillId="0" borderId="9" xfId="0" applyFont="1" applyFill="1" applyBorder="1" applyAlignment="1">
      <alignment horizontal="left" wrapText="1"/>
    </xf>
    <xf numFmtId="0" fontId="10" fillId="0" borderId="4" xfId="0" applyFont="1" applyFill="1" applyBorder="1"/>
    <xf numFmtId="0" fontId="1" fillId="7" borderId="3" xfId="0" applyFont="1" applyFill="1" applyBorder="1" applyAlignment="1">
      <alignment horizontal="centerContinuous"/>
    </xf>
    <xf numFmtId="7" fontId="18" fillId="7" borderId="1" xfId="0" applyNumberFormat="1" applyFont="1" applyFill="1" applyBorder="1" applyAlignment="1">
      <alignment horizontal="center" vertical="center"/>
    </xf>
    <xf numFmtId="0" fontId="0" fillId="7" borderId="0" xfId="0" applyFill="1"/>
    <xf numFmtId="0" fontId="11" fillId="5" borderId="0" xfId="0" applyFont="1" applyFill="1" applyAlignment="1">
      <alignment horizontal="left"/>
    </xf>
    <xf numFmtId="0" fontId="0" fillId="5" borderId="0" xfId="0" applyFill="1"/>
    <xf numFmtId="0" fontId="37" fillId="0" borderId="0" xfId="0" applyFont="1" applyFill="1" applyAlignment="1">
      <alignment horizontal="left"/>
    </xf>
    <xf numFmtId="0" fontId="0" fillId="0" borderId="0" xfId="0" applyFill="1"/>
    <xf numFmtId="0" fontId="10" fillId="0" borderId="2" xfId="0" applyFont="1" applyBorder="1"/>
    <xf numFmtId="0" fontId="4" fillId="0" borderId="0" xfId="0" applyFont="1"/>
    <xf numFmtId="7" fontId="1" fillId="0" borderId="52" xfId="0" applyNumberFormat="1" applyFont="1" applyBorder="1"/>
    <xf numFmtId="0" fontId="38" fillId="0" borderId="0" xfId="0" quotePrefix="1" applyFont="1"/>
    <xf numFmtId="0" fontId="13" fillId="0" borderId="9" xfId="0" applyFont="1" applyFill="1" applyBorder="1"/>
    <xf numFmtId="0" fontId="1" fillId="0" borderId="9" xfId="0" applyFont="1" applyFill="1" applyBorder="1"/>
    <xf numFmtId="0" fontId="38" fillId="7" borderId="0" xfId="0" applyFont="1" applyFill="1"/>
    <xf numFmtId="10" fontId="39" fillId="7" borderId="10" xfId="0" applyNumberFormat="1" applyFont="1" applyFill="1" applyBorder="1" applyAlignment="1">
      <alignment horizontal="center"/>
    </xf>
    <xf numFmtId="0" fontId="0" fillId="0" borderId="9" xfId="0" applyNumberFormat="1" applyBorder="1" applyAlignment="1">
      <alignment horizontal="center" vertical="center"/>
    </xf>
    <xf numFmtId="0" fontId="0" fillId="10" borderId="0" xfId="0" applyFill="1"/>
    <xf numFmtId="1" fontId="0" fillId="0" borderId="0" xfId="0" applyNumberFormat="1" applyAlignment="1">
      <alignment horizontal="center"/>
    </xf>
    <xf numFmtId="0" fontId="0" fillId="10" borderId="9" xfId="0" applyFill="1" applyBorder="1" applyAlignment="1">
      <alignment wrapText="1"/>
    </xf>
    <xf numFmtId="0" fontId="10" fillId="11" borderId="3" xfId="0" applyFont="1" applyFill="1" applyBorder="1" applyAlignment="1">
      <alignment wrapText="1"/>
    </xf>
    <xf numFmtId="0" fontId="0" fillId="11" borderId="9" xfId="0" applyFill="1" applyBorder="1" applyAlignment="1">
      <alignment wrapText="1"/>
    </xf>
    <xf numFmtId="175" fontId="37" fillId="3" borderId="10" xfId="0" applyNumberFormat="1" applyFont="1" applyFill="1" applyBorder="1" applyAlignment="1">
      <alignment horizontal="center"/>
    </xf>
    <xf numFmtId="0" fontId="0" fillId="11" borderId="2" xfId="0" applyFill="1" applyBorder="1" applyAlignment="1">
      <alignment wrapText="1"/>
    </xf>
    <xf numFmtId="0" fontId="12" fillId="11" borderId="9" xfId="0" applyFont="1" applyFill="1" applyBorder="1" applyAlignment="1">
      <alignment wrapText="1"/>
    </xf>
    <xf numFmtId="0" fontId="0" fillId="11" borderId="0" xfId="0" applyFill="1"/>
    <xf numFmtId="0" fontId="4" fillId="11" borderId="3" xfId="0" applyFont="1" applyFill="1" applyBorder="1" applyAlignment="1">
      <alignment wrapText="1"/>
    </xf>
    <xf numFmtId="0" fontId="4" fillId="11" borderId="9" xfId="0" applyFont="1" applyFill="1" applyBorder="1" applyAlignment="1">
      <alignment wrapText="1"/>
    </xf>
    <xf numFmtId="0" fontId="41" fillId="10" borderId="0" xfId="0" applyFont="1" applyFill="1"/>
    <xf numFmtId="0" fontId="10" fillId="0" borderId="1" xfId="0" applyFont="1" applyBorder="1"/>
    <xf numFmtId="0" fontId="23" fillId="0" borderId="22" xfId="0" applyFont="1" applyBorder="1"/>
    <xf numFmtId="0" fontId="22" fillId="0" borderId="0" xfId="0" applyFont="1" applyBorder="1"/>
    <xf numFmtId="0" fontId="22" fillId="0" borderId="39" xfId="0" applyFont="1" applyBorder="1"/>
    <xf numFmtId="0" fontId="0" fillId="0" borderId="14" xfId="0" applyBorder="1"/>
    <xf numFmtId="0" fontId="0" fillId="0" borderId="15" xfId="0" applyBorder="1"/>
    <xf numFmtId="0" fontId="0" fillId="0" borderId="11" xfId="0" applyBorder="1"/>
    <xf numFmtId="0" fontId="0" fillId="0" borderId="13" xfId="0" applyBorder="1"/>
    <xf numFmtId="0" fontId="0" fillId="0" borderId="12" xfId="0" applyBorder="1"/>
    <xf numFmtId="0" fontId="4" fillId="0" borderId="0" xfId="0" quotePrefix="1" applyFont="1" applyAlignment="1">
      <alignment horizontal="right"/>
    </xf>
    <xf numFmtId="0" fontId="4" fillId="0" borderId="0" xfId="0" applyFont="1" applyAlignment="1">
      <alignment horizontal="right"/>
    </xf>
    <xf numFmtId="0" fontId="37" fillId="3" borderId="10" xfId="0" applyFont="1" applyFill="1" applyBorder="1" applyAlignment="1">
      <alignment horizontal="center"/>
    </xf>
    <xf numFmtId="7" fontId="39" fillId="7" borderId="10" xfId="0" applyNumberFormat="1" applyFont="1" applyFill="1" applyBorder="1" applyAlignment="1">
      <alignment horizontal="center"/>
    </xf>
    <xf numFmtId="7" fontId="39" fillId="3" borderId="10" xfId="0" applyNumberFormat="1" applyFont="1" applyFill="1" applyBorder="1" applyAlignment="1">
      <alignment horizontal="center"/>
    </xf>
    <xf numFmtId="7" fontId="39" fillId="7" borderId="9" xfId="0" applyNumberFormat="1" applyFont="1" applyFill="1" applyBorder="1"/>
    <xf numFmtId="10" fontId="37" fillId="3" borderId="10" xfId="0" applyNumberFormat="1" applyFont="1" applyFill="1" applyBorder="1" applyAlignment="1">
      <alignment horizontal="center"/>
    </xf>
    <xf numFmtId="0" fontId="0" fillId="11" borderId="3" xfId="0" applyFill="1" applyBorder="1" applyAlignment="1">
      <alignment wrapText="1"/>
    </xf>
    <xf numFmtId="174" fontId="37" fillId="5" borderId="10" xfId="0" applyNumberFormat="1" applyFont="1" applyFill="1" applyBorder="1" applyAlignment="1">
      <alignment horizontal="center"/>
    </xf>
    <xf numFmtId="2" fontId="4" fillId="11" borderId="20" xfId="0" applyNumberFormat="1" applyFont="1" applyFill="1" applyBorder="1" applyAlignment="1">
      <alignment wrapText="1"/>
    </xf>
    <xf numFmtId="2" fontId="4" fillId="11" borderId="9" xfId="0" applyNumberFormat="1" applyFont="1" applyFill="1" applyBorder="1" applyAlignment="1">
      <alignment wrapText="1"/>
    </xf>
    <xf numFmtId="0" fontId="4" fillId="11" borderId="2" xfId="0" applyFont="1" applyFill="1" applyBorder="1" applyAlignment="1">
      <alignment wrapText="1"/>
    </xf>
    <xf numFmtId="0" fontId="0" fillId="10" borderId="9" xfId="0" applyFill="1" applyBorder="1"/>
    <xf numFmtId="0" fontId="4" fillId="0" borderId="4" xfId="0" applyFont="1" applyBorder="1"/>
    <xf numFmtId="49" fontId="4" fillId="0" borderId="4" xfId="0" applyNumberFormat="1" applyFont="1" applyBorder="1" applyAlignment="1">
      <alignment horizontal="left"/>
    </xf>
    <xf numFmtId="0" fontId="10" fillId="10" borderId="0" xfId="0" applyFont="1" applyFill="1"/>
    <xf numFmtId="0" fontId="4" fillId="3" borderId="26" xfId="0" applyFont="1" applyFill="1" applyBorder="1" applyAlignment="1">
      <alignment horizontal="center" vertical="center" wrapText="1"/>
    </xf>
    <xf numFmtId="0" fontId="4" fillId="3" borderId="26" xfId="0" applyFont="1" applyFill="1" applyBorder="1" applyAlignment="1">
      <alignment horizontal="center" wrapText="1"/>
    </xf>
    <xf numFmtId="2" fontId="0" fillId="10" borderId="0" xfId="0" applyNumberFormat="1" applyFill="1" applyAlignment="1">
      <alignment horizontal="centerContinuous"/>
    </xf>
    <xf numFmtId="7" fontId="10" fillId="10" borderId="0" xfId="0" applyNumberFormat="1" applyFont="1" applyFill="1" applyBorder="1" applyAlignment="1">
      <alignment horizontal="center"/>
    </xf>
    <xf numFmtId="7" fontId="10" fillId="11" borderId="1" xfId="0" applyNumberFormat="1" applyFont="1" applyFill="1" applyBorder="1" applyAlignment="1">
      <alignment horizontal="center"/>
    </xf>
    <xf numFmtId="0" fontId="9" fillId="10" borderId="0" xfId="0" applyFont="1" applyFill="1"/>
    <xf numFmtId="0" fontId="4" fillId="10" borderId="0" xfId="0" applyFont="1" applyFill="1"/>
    <xf numFmtId="0" fontId="4" fillId="0" borderId="0" xfId="0" quotePrefix="1" applyFont="1"/>
    <xf numFmtId="0" fontId="1" fillId="11" borderId="9" xfId="0" applyFont="1" applyFill="1" applyBorder="1"/>
    <xf numFmtId="10" fontId="0" fillId="11" borderId="9" xfId="0" applyNumberFormat="1" applyFill="1" applyBorder="1" applyAlignment="1">
      <alignment wrapText="1"/>
    </xf>
    <xf numFmtId="167" fontId="0" fillId="12" borderId="61" xfId="0" applyNumberFormat="1" applyFill="1" applyBorder="1" applyAlignment="1">
      <alignment horizontal="center"/>
    </xf>
    <xf numFmtId="167" fontId="0" fillId="12" borderId="36" xfId="0" applyNumberFormat="1" applyFill="1" applyBorder="1" applyAlignment="1">
      <alignment horizontal="center"/>
    </xf>
    <xf numFmtId="7" fontId="0" fillId="12" borderId="0" xfId="0" applyNumberFormat="1" applyFill="1" applyBorder="1" applyAlignment="1">
      <alignment horizontal="center"/>
    </xf>
    <xf numFmtId="7" fontId="0" fillId="12" borderId="20" xfId="0" applyNumberFormat="1" applyFill="1" applyBorder="1" applyAlignment="1">
      <alignment horizontal="center"/>
    </xf>
    <xf numFmtId="7" fontId="0" fillId="12" borderId="2" xfId="0" applyNumberFormat="1" applyFill="1" applyBorder="1" applyAlignment="1">
      <alignment horizontal="center"/>
    </xf>
    <xf numFmtId="7" fontId="0" fillId="12" borderId="9" xfId="0" applyNumberFormat="1" applyFill="1" applyBorder="1" applyAlignment="1">
      <alignment horizontal="center"/>
    </xf>
    <xf numFmtId="0" fontId="0" fillId="12" borderId="20" xfId="0" applyFill="1" applyBorder="1" applyAlignment="1">
      <alignment horizontal="center"/>
    </xf>
    <xf numFmtId="0" fontId="0" fillId="12" borderId="2" xfId="0" applyFill="1" applyBorder="1" applyAlignment="1">
      <alignment horizontal="center"/>
    </xf>
    <xf numFmtId="0" fontId="0" fillId="12" borderId="9" xfId="0" applyFill="1" applyBorder="1" applyAlignment="1">
      <alignment horizontal="center"/>
    </xf>
    <xf numFmtId="0" fontId="0" fillId="12" borderId="15" xfId="0" applyFill="1" applyBorder="1" applyAlignment="1">
      <alignment horizontal="center"/>
    </xf>
    <xf numFmtId="7" fontId="0" fillId="12" borderId="21" xfId="0" applyNumberFormat="1" applyFill="1" applyBorder="1" applyAlignment="1">
      <alignment horizontal="center"/>
    </xf>
    <xf numFmtId="0" fontId="0" fillId="12" borderId="21" xfId="0" applyFill="1" applyBorder="1" applyAlignment="1">
      <alignment horizontal="center"/>
    </xf>
    <xf numFmtId="7" fontId="0" fillId="12" borderId="29" xfId="0" applyNumberFormat="1" applyFill="1" applyBorder="1" applyAlignment="1">
      <alignment horizontal="center"/>
    </xf>
    <xf numFmtId="0" fontId="0" fillId="12" borderId="0" xfId="0" applyFill="1" applyBorder="1" applyAlignment="1">
      <alignment horizontal="center"/>
    </xf>
    <xf numFmtId="7" fontId="0" fillId="12" borderId="15" xfId="0" applyNumberFormat="1" applyFill="1" applyBorder="1" applyAlignment="1">
      <alignment horizontal="center"/>
    </xf>
    <xf numFmtId="0" fontId="0" fillId="3" borderId="57" xfId="0" applyFill="1" applyBorder="1" applyAlignment="1">
      <alignment horizontal="center" vertical="center" wrapText="1"/>
    </xf>
    <xf numFmtId="0" fontId="0" fillId="3" borderId="46" xfId="0" applyFill="1" applyBorder="1" applyAlignment="1">
      <alignment horizontal="center" vertical="center" wrapText="1"/>
    </xf>
    <xf numFmtId="167" fontId="0" fillId="3" borderId="29" xfId="0" applyNumberFormat="1" applyFill="1" applyBorder="1" applyAlignment="1">
      <alignment horizontal="center" vertical="center" wrapText="1"/>
    </xf>
    <xf numFmtId="167" fontId="0" fillId="3" borderId="57" xfId="0" applyNumberFormat="1" applyFill="1" applyBorder="1" applyAlignment="1">
      <alignment horizontal="center" vertical="center" wrapText="1"/>
    </xf>
    <xf numFmtId="0" fontId="4" fillId="3" borderId="62" xfId="0" applyFont="1" applyFill="1" applyBorder="1" applyAlignment="1">
      <alignment horizontal="center" vertical="center" wrapText="1"/>
    </xf>
    <xf numFmtId="0" fontId="0" fillId="0" borderId="65" xfId="0" applyBorder="1" applyAlignment="1">
      <alignment horizontal="center"/>
    </xf>
    <xf numFmtId="0" fontId="0" fillId="0" borderId="3" xfId="0" applyBorder="1" applyAlignment="1">
      <alignment horizontal="center"/>
    </xf>
    <xf numFmtId="167" fontId="0" fillId="0" borderId="4" xfId="0" applyNumberFormat="1" applyBorder="1" applyAlignment="1">
      <alignment horizontal="center"/>
    </xf>
    <xf numFmtId="167" fontId="1" fillId="12" borderId="20" xfId="0" applyNumberFormat="1" applyFont="1" applyFill="1" applyBorder="1" applyAlignment="1">
      <alignment horizontal="center"/>
    </xf>
    <xf numFmtId="7" fontId="1" fillId="12" borderId="9" xfId="0" applyNumberFormat="1" applyFont="1" applyFill="1" applyBorder="1" applyAlignment="1">
      <alignment horizontal="center"/>
    </xf>
    <xf numFmtId="7" fontId="1" fillId="12" borderId="20" xfId="0" applyNumberFormat="1" applyFont="1" applyFill="1" applyBorder="1" applyAlignment="1">
      <alignment horizontal="center"/>
    </xf>
    <xf numFmtId="7" fontId="1" fillId="12" borderId="29" xfId="0" applyNumberFormat="1" applyFont="1" applyFill="1" applyBorder="1" applyAlignment="1">
      <alignment horizontal="center"/>
    </xf>
    <xf numFmtId="167" fontId="1" fillId="12" borderId="21" xfId="0" applyNumberFormat="1" applyFont="1" applyFill="1" applyBorder="1" applyAlignment="1">
      <alignment horizontal="center"/>
    </xf>
    <xf numFmtId="167" fontId="1" fillId="12" borderId="61" xfId="0" applyNumberFormat="1" applyFont="1" applyFill="1" applyBorder="1" applyAlignment="1">
      <alignment horizontal="center"/>
    </xf>
    <xf numFmtId="167" fontId="1" fillId="12" borderId="36" xfId="0" applyNumberFormat="1" applyFont="1" applyFill="1" applyBorder="1" applyAlignment="1">
      <alignment horizontal="center"/>
    </xf>
    <xf numFmtId="7" fontId="0" fillId="12" borderId="33" xfId="0" applyNumberFormat="1" applyFill="1" applyBorder="1" applyAlignment="1">
      <alignment horizontal="center"/>
    </xf>
    <xf numFmtId="7" fontId="0" fillId="12" borderId="32" xfId="0" applyNumberFormat="1" applyFill="1" applyBorder="1" applyAlignment="1">
      <alignment horizontal="center"/>
    </xf>
    <xf numFmtId="0" fontId="0" fillId="12" borderId="30" xfId="0" applyFill="1" applyBorder="1" applyAlignment="1">
      <alignment horizontal="center"/>
    </xf>
    <xf numFmtId="7" fontId="0" fillId="12" borderId="30" xfId="0" applyNumberFormat="1" applyFill="1" applyBorder="1" applyAlignment="1">
      <alignment horizontal="center"/>
    </xf>
    <xf numFmtId="0" fontId="0" fillId="12" borderId="29" xfId="0" applyFill="1" applyBorder="1" applyAlignment="1">
      <alignment horizontal="center"/>
    </xf>
    <xf numFmtId="9" fontId="1" fillId="0" borderId="45" xfId="2" applyFont="1" applyBorder="1" applyAlignment="1">
      <alignment horizontal="center"/>
    </xf>
    <xf numFmtId="9" fontId="1" fillId="0" borderId="43" xfId="2" applyFont="1" applyBorder="1" applyAlignment="1">
      <alignment horizontal="center"/>
    </xf>
    <xf numFmtId="9" fontId="1" fillId="0" borderId="39" xfId="2" applyFont="1" applyBorder="1" applyAlignment="1">
      <alignment horizontal="center"/>
    </xf>
    <xf numFmtId="9" fontId="1" fillId="0" borderId="16" xfId="2" applyFont="1" applyBorder="1" applyAlignment="1">
      <alignment horizontal="center"/>
    </xf>
    <xf numFmtId="0" fontId="0" fillId="12" borderId="1" xfId="0" applyFill="1" applyBorder="1" applyAlignment="1">
      <alignment horizontal="center"/>
    </xf>
    <xf numFmtId="7" fontId="0" fillId="12" borderId="10" xfId="0" applyNumberFormat="1" applyFill="1" applyBorder="1" applyAlignment="1">
      <alignment horizontal="center"/>
    </xf>
    <xf numFmtId="7" fontId="0" fillId="12" borderId="1" xfId="0" applyNumberFormat="1" applyFill="1" applyBorder="1" applyAlignment="1">
      <alignment horizontal="center"/>
    </xf>
    <xf numFmtId="7" fontId="1" fillId="12" borderId="10" xfId="0" applyNumberFormat="1" applyFont="1" applyFill="1" applyBorder="1" applyAlignment="1">
      <alignment horizontal="center"/>
    </xf>
    <xf numFmtId="7" fontId="1" fillId="12" borderId="32" xfId="0" applyNumberFormat="1" applyFont="1" applyFill="1" applyBorder="1" applyAlignment="1">
      <alignment horizontal="center"/>
    </xf>
    <xf numFmtId="167" fontId="4" fillId="3" borderId="57" xfId="0" applyNumberFormat="1" applyFont="1" applyFill="1" applyBorder="1" applyAlignment="1">
      <alignment horizontal="center" vertical="center" wrapText="1"/>
    </xf>
    <xf numFmtId="167" fontId="1" fillId="12" borderId="9" xfId="0" applyNumberFormat="1" applyFont="1" applyFill="1" applyBorder="1" applyAlignment="1">
      <alignment horizontal="center"/>
    </xf>
    <xf numFmtId="167" fontId="1" fillId="12" borderId="10" xfId="0" applyNumberFormat="1" applyFont="1" applyFill="1" applyBorder="1" applyAlignment="1">
      <alignment horizontal="center"/>
    </xf>
    <xf numFmtId="167" fontId="0" fillId="12" borderId="5" xfId="0" applyNumberFormat="1" applyFill="1" applyBorder="1" applyAlignment="1">
      <alignment horizontal="center"/>
    </xf>
    <xf numFmtId="167" fontId="0" fillId="12" borderId="3" xfId="0" applyNumberFormat="1" applyFill="1" applyBorder="1" applyAlignment="1">
      <alignment horizontal="center"/>
    </xf>
    <xf numFmtId="167" fontId="0" fillId="12" borderId="38" xfId="0" applyNumberFormat="1" applyFill="1" applyBorder="1" applyAlignment="1">
      <alignment horizontal="center"/>
    </xf>
    <xf numFmtId="167" fontId="0" fillId="11" borderId="37" xfId="0" applyNumberFormat="1" applyFill="1" applyBorder="1" applyAlignment="1">
      <alignment horizontal="center"/>
    </xf>
    <xf numFmtId="167" fontId="0" fillId="11" borderId="38" xfId="0" applyNumberFormat="1" applyFill="1" applyBorder="1" applyAlignment="1">
      <alignment horizontal="center"/>
    </xf>
    <xf numFmtId="167" fontId="0" fillId="11" borderId="40" xfId="0" applyNumberFormat="1" applyFill="1" applyBorder="1" applyAlignment="1">
      <alignment horizontal="center"/>
    </xf>
    <xf numFmtId="0" fontId="0" fillId="11" borderId="23" xfId="0" applyFill="1" applyBorder="1" applyAlignment="1">
      <alignment horizontal="center"/>
    </xf>
    <xf numFmtId="7" fontId="1" fillId="12" borderId="26" xfId="0" applyNumberFormat="1" applyFont="1" applyFill="1" applyBorder="1" applyAlignment="1">
      <alignment horizontal="center"/>
    </xf>
    <xf numFmtId="7" fontId="1" fillId="12" borderId="20" xfId="0" applyNumberFormat="1" applyFont="1" applyFill="1" applyBorder="1" applyAlignment="1">
      <alignment horizontal="center" vertical="center"/>
    </xf>
    <xf numFmtId="7" fontId="1" fillId="12" borderId="9" xfId="0" applyNumberFormat="1" applyFont="1" applyFill="1" applyBorder="1" applyAlignment="1">
      <alignment horizontal="center" vertical="center"/>
    </xf>
    <xf numFmtId="7" fontId="1" fillId="12" borderId="29" xfId="0" applyNumberFormat="1" applyFont="1" applyFill="1" applyBorder="1" applyAlignment="1">
      <alignment horizontal="center" vertical="center"/>
    </xf>
    <xf numFmtId="0" fontId="44" fillId="0" borderId="0" xfId="0" applyFont="1"/>
    <xf numFmtId="10" fontId="37" fillId="3" borderId="9" xfId="0" applyNumberFormat="1" applyFont="1" applyFill="1" applyBorder="1"/>
    <xf numFmtId="44" fontId="21" fillId="3" borderId="9" xfId="0" applyNumberFormat="1" applyFont="1" applyFill="1" applyBorder="1"/>
    <xf numFmtId="0" fontId="43" fillId="0" borderId="0" xfId="0" applyFont="1"/>
    <xf numFmtId="0" fontId="46" fillId="0" borderId="12" xfId="0" applyFont="1" applyBorder="1"/>
    <xf numFmtId="0" fontId="46" fillId="0" borderId="13" xfId="0" applyFont="1" applyBorder="1"/>
    <xf numFmtId="0" fontId="47" fillId="0" borderId="14" xfId="0" applyFont="1" applyBorder="1" applyAlignment="1">
      <alignment horizontal="center"/>
    </xf>
    <xf numFmtId="0" fontId="47" fillId="0" borderId="15" xfId="0" applyFont="1" applyBorder="1" applyAlignment="1">
      <alignment horizontal="center"/>
    </xf>
    <xf numFmtId="0" fontId="47" fillId="13" borderId="15" xfId="0" applyFont="1" applyFill="1" applyBorder="1" applyAlignment="1">
      <alignment horizontal="center"/>
    </xf>
    <xf numFmtId="0" fontId="47" fillId="0" borderId="16" xfId="0" applyFont="1" applyBorder="1" applyAlignment="1">
      <alignment horizontal="center"/>
    </xf>
    <xf numFmtId="0" fontId="47" fillId="10" borderId="15" xfId="0" applyFont="1" applyFill="1" applyBorder="1" applyAlignment="1">
      <alignment horizontal="center"/>
    </xf>
    <xf numFmtId="0" fontId="48" fillId="0" borderId="67" xfId="0" applyFont="1" applyBorder="1"/>
    <xf numFmtId="0" fontId="48" fillId="0" borderId="16" xfId="0" applyFont="1" applyBorder="1" applyAlignment="1">
      <alignment horizontal="center"/>
    </xf>
    <xf numFmtId="8" fontId="49" fillId="14" borderId="16" xfId="0" applyNumberFormat="1" applyFont="1" applyFill="1" applyBorder="1" applyAlignment="1">
      <alignment horizontal="center"/>
    </xf>
    <xf numFmtId="8" fontId="48" fillId="0" borderId="16" xfId="0" applyNumberFormat="1" applyFont="1" applyBorder="1" applyAlignment="1">
      <alignment horizontal="center"/>
    </xf>
    <xf numFmtId="10" fontId="48" fillId="0" borderId="16" xfId="0" applyNumberFormat="1" applyFont="1" applyBorder="1" applyAlignment="1">
      <alignment horizontal="center"/>
    </xf>
    <xf numFmtId="0" fontId="48" fillId="10" borderId="67" xfId="0" applyFont="1" applyFill="1" applyBorder="1"/>
    <xf numFmtId="0" fontId="48" fillId="0" borderId="16" xfId="0" applyFont="1" applyBorder="1" applyAlignment="1">
      <alignment horizontal="right"/>
    </xf>
    <xf numFmtId="0" fontId="50" fillId="0" borderId="0" xfId="0" applyFont="1"/>
    <xf numFmtId="0" fontId="18" fillId="0" borderId="14" xfId="0" applyFont="1" applyBorder="1" applyAlignment="1">
      <alignment horizontal="center"/>
    </xf>
    <xf numFmtId="0" fontId="18" fillId="0" borderId="15" xfId="0" applyFont="1" applyBorder="1" applyAlignment="1">
      <alignment horizontal="center"/>
    </xf>
    <xf numFmtId="0" fontId="18" fillId="13" borderId="15" xfId="0" applyFont="1" applyFill="1" applyBorder="1" applyAlignment="1">
      <alignment horizontal="center"/>
    </xf>
    <xf numFmtId="0" fontId="18" fillId="0" borderId="16" xfId="0" applyFont="1" applyBorder="1" applyAlignment="1">
      <alignment horizontal="center"/>
    </xf>
    <xf numFmtId="0" fontId="4" fillId="0" borderId="67" xfId="0" applyFont="1" applyBorder="1"/>
    <xf numFmtId="0" fontId="4" fillId="0" borderId="16" xfId="0" applyFont="1" applyBorder="1" applyAlignment="1">
      <alignment horizontal="center"/>
    </xf>
    <xf numFmtId="0" fontId="4" fillId="10" borderId="67" xfId="0" applyFont="1" applyFill="1" applyBorder="1"/>
    <xf numFmtId="0" fontId="4" fillId="0" borderId="16" xfId="0" applyFont="1" applyBorder="1" applyAlignment="1">
      <alignment horizontal="right"/>
    </xf>
    <xf numFmtId="0" fontId="38" fillId="10" borderId="67" xfId="0" applyFont="1" applyFill="1" applyBorder="1"/>
    <xf numFmtId="0" fontId="38" fillId="10" borderId="16" xfId="0" applyFont="1" applyFill="1" applyBorder="1" applyAlignment="1">
      <alignment horizontal="center"/>
    </xf>
    <xf numFmtId="8" fontId="41" fillId="10" borderId="16" xfId="0" applyNumberFormat="1" applyFont="1" applyFill="1" applyBorder="1" applyAlignment="1">
      <alignment horizontal="center"/>
    </xf>
    <xf numFmtId="0" fontId="41" fillId="10" borderId="16" xfId="0" applyFont="1" applyFill="1" applyBorder="1" applyAlignment="1">
      <alignment horizontal="center"/>
    </xf>
    <xf numFmtId="0" fontId="38" fillId="10" borderId="9" xfId="0" applyFont="1" applyFill="1" applyBorder="1" applyAlignment="1">
      <alignment horizontal="center"/>
    </xf>
    <xf numFmtId="0" fontId="38" fillId="10" borderId="9" xfId="0" applyFont="1" applyFill="1" applyBorder="1"/>
    <xf numFmtId="166" fontId="38" fillId="10" borderId="9" xfId="0" applyNumberFormat="1" applyFont="1" applyFill="1" applyBorder="1" applyAlignment="1">
      <alignment horizontal="center" vertical="center"/>
    </xf>
    <xf numFmtId="7" fontId="41" fillId="10" borderId="9" xfId="0" applyNumberFormat="1" applyFont="1" applyFill="1" applyBorder="1" applyAlignment="1">
      <alignment horizontal="center" vertical="center"/>
    </xf>
    <xf numFmtId="0" fontId="38" fillId="10" borderId="9" xfId="0" applyFont="1" applyFill="1" applyBorder="1" applyAlignment="1">
      <alignment horizontal="center" vertical="center"/>
    </xf>
    <xf numFmtId="169" fontId="1" fillId="12" borderId="10" xfId="0" applyNumberFormat="1" applyFont="1" applyFill="1" applyBorder="1" applyAlignment="1">
      <alignment horizontal="center"/>
    </xf>
    <xf numFmtId="169" fontId="1" fillId="12" borderId="29" xfId="0" applyNumberFormat="1" applyFont="1" applyFill="1" applyBorder="1" applyAlignment="1">
      <alignment horizontal="center"/>
    </xf>
    <xf numFmtId="170" fontId="0" fillId="11" borderId="7" xfId="0" applyNumberFormat="1" applyFill="1" applyBorder="1" applyAlignment="1">
      <alignment horizontal="center"/>
    </xf>
    <xf numFmtId="170" fontId="0" fillId="11" borderId="53" xfId="0" applyNumberFormat="1" applyFill="1" applyBorder="1" applyAlignment="1">
      <alignment horizontal="center"/>
    </xf>
    <xf numFmtId="7" fontId="2" fillId="0" borderId="0" xfId="0" applyNumberFormat="1" applyFont="1" applyBorder="1" applyAlignment="1">
      <alignment horizontal="center"/>
    </xf>
    <xf numFmtId="8" fontId="38" fillId="10" borderId="16" xfId="0" applyNumberFormat="1" applyFont="1" applyFill="1" applyBorder="1" applyAlignment="1">
      <alignment horizontal="center"/>
    </xf>
    <xf numFmtId="0" fontId="4" fillId="0" borderId="3" xfId="0" applyFont="1" applyBorder="1"/>
    <xf numFmtId="0" fontId="52" fillId="0" borderId="0" xfId="0" applyFont="1"/>
    <xf numFmtId="0" fontId="10" fillId="11" borderId="0" xfId="0" applyFont="1" applyFill="1" applyBorder="1" applyAlignment="1">
      <alignment horizontal="center"/>
    </xf>
    <xf numFmtId="0" fontId="10" fillId="11" borderId="0" xfId="0" applyFont="1" applyFill="1" applyBorder="1"/>
    <xf numFmtId="7" fontId="10" fillId="11" borderId="9" xfId="0" applyNumberFormat="1" applyFont="1" applyFill="1" applyBorder="1" applyAlignment="1">
      <alignment horizontal="center"/>
    </xf>
    <xf numFmtId="7" fontId="10" fillId="11" borderId="0" xfId="0" applyNumberFormat="1" applyFont="1" applyFill="1" applyBorder="1" applyAlignment="1">
      <alignment horizontal="center"/>
    </xf>
    <xf numFmtId="7" fontId="6" fillId="11" borderId="0" xfId="0" applyNumberFormat="1" applyFont="1" applyFill="1" applyBorder="1" applyAlignment="1">
      <alignment horizontal="center"/>
    </xf>
    <xf numFmtId="7" fontId="10" fillId="11" borderId="2" xfId="0" applyNumberFormat="1" applyFont="1" applyFill="1" applyBorder="1" applyAlignment="1">
      <alignment horizontal="center"/>
    </xf>
    <xf numFmtId="7" fontId="10" fillId="11" borderId="6" xfId="0" applyNumberFormat="1" applyFont="1" applyFill="1" applyBorder="1" applyAlignment="1">
      <alignment horizontal="center"/>
    </xf>
    <xf numFmtId="7" fontId="10" fillId="15" borderId="0" xfId="0" applyNumberFormat="1" applyFont="1" applyFill="1" applyBorder="1" applyAlignment="1">
      <alignment horizontal="center"/>
    </xf>
    <xf numFmtId="167" fontId="0" fillId="16" borderId="29" xfId="0" applyNumberFormat="1" applyFill="1" applyBorder="1" applyAlignment="1">
      <alignment horizontal="center"/>
    </xf>
    <xf numFmtId="171" fontId="1" fillId="16" borderId="48" xfId="0" applyNumberFormat="1" applyFont="1" applyFill="1" applyBorder="1" applyAlignment="1">
      <alignment horizontal="center"/>
    </xf>
    <xf numFmtId="7" fontId="0" fillId="0" borderId="21" xfId="0" applyNumberFormat="1" applyFill="1" applyBorder="1" applyAlignment="1">
      <alignment horizontal="center"/>
    </xf>
    <xf numFmtId="167" fontId="0" fillId="0" borderId="20" xfId="0" applyNumberFormat="1" applyFill="1" applyBorder="1" applyAlignment="1">
      <alignment horizontal="center"/>
    </xf>
    <xf numFmtId="167" fontId="0" fillId="0" borderId="9" xfId="0" applyNumberFormat="1" applyFill="1" applyBorder="1" applyAlignment="1">
      <alignment horizontal="center"/>
    </xf>
    <xf numFmtId="167" fontId="0" fillId="0" borderId="21" xfId="0" applyNumberFormat="1" applyFill="1" applyBorder="1" applyAlignment="1">
      <alignment horizontal="center"/>
    </xf>
    <xf numFmtId="167" fontId="0" fillId="0" borderId="20" xfId="1" applyNumberFormat="1" applyFont="1" applyFill="1" applyBorder="1" applyAlignment="1">
      <alignment horizontal="center"/>
    </xf>
    <xf numFmtId="167" fontId="0" fillId="0" borderId="9" xfId="1" applyNumberFormat="1" applyFont="1" applyFill="1" applyBorder="1" applyAlignment="1">
      <alignment horizontal="center"/>
    </xf>
    <xf numFmtId="167" fontId="0" fillId="0" borderId="2" xfId="0" applyNumberFormat="1" applyFill="1" applyBorder="1" applyAlignment="1">
      <alignment horizontal="center" vertical="center"/>
    </xf>
    <xf numFmtId="167" fontId="0" fillId="0" borderId="30" xfId="0" applyNumberFormat="1" applyFill="1" applyBorder="1" applyAlignment="1">
      <alignment horizontal="center" vertical="center"/>
    </xf>
    <xf numFmtId="167" fontId="0" fillId="0" borderId="9" xfId="0" applyNumberFormat="1" applyFill="1" applyBorder="1" applyAlignment="1">
      <alignment horizontal="center" vertical="center"/>
    </xf>
    <xf numFmtId="167" fontId="0" fillId="0" borderId="29" xfId="0" applyNumberFormat="1" applyFill="1" applyBorder="1" applyAlignment="1">
      <alignment horizontal="center" vertical="center"/>
    </xf>
    <xf numFmtId="167" fontId="0" fillId="0" borderId="32" xfId="0" applyNumberFormat="1" applyFill="1" applyBorder="1" applyAlignment="1">
      <alignment horizontal="center"/>
    </xf>
    <xf numFmtId="167" fontId="0" fillId="0" borderId="29" xfId="0" applyNumberFormat="1" applyFill="1" applyBorder="1" applyAlignment="1">
      <alignment horizontal="center"/>
    </xf>
    <xf numFmtId="167" fontId="0" fillId="0" borderId="5" xfId="0" applyNumberFormat="1" applyFill="1" applyBorder="1" applyAlignment="1">
      <alignment horizontal="center"/>
    </xf>
    <xf numFmtId="167" fontId="0" fillId="0" borderId="3" xfId="0" applyNumberFormat="1" applyFill="1" applyBorder="1" applyAlignment="1">
      <alignment horizontal="center"/>
    </xf>
    <xf numFmtId="7" fontId="10" fillId="0" borderId="68" xfId="0" applyNumberFormat="1" applyFont="1" applyBorder="1" applyAlignment="1">
      <alignment horizontal="center"/>
    </xf>
    <xf numFmtId="7" fontId="12" fillId="0" borderId="67" xfId="0" applyNumberFormat="1" applyFont="1" applyBorder="1" applyAlignment="1">
      <alignment horizontal="center"/>
    </xf>
    <xf numFmtId="169" fontId="11" fillId="10" borderId="0" xfId="0" applyNumberFormat="1" applyFont="1" applyFill="1" applyAlignment="1">
      <alignment horizontal="center"/>
    </xf>
    <xf numFmtId="0" fontId="4" fillId="0" borderId="0" xfId="0" applyFont="1" applyAlignment="1">
      <alignment horizontal="left"/>
    </xf>
    <xf numFmtId="7" fontId="11" fillId="0" borderId="52" xfId="0" applyNumberFormat="1" applyFont="1" applyBorder="1" applyAlignment="1">
      <alignment horizontal="center"/>
    </xf>
    <xf numFmtId="7" fontId="10" fillId="0" borderId="52" xfId="0" applyNumberFormat="1" applyFont="1" applyBorder="1" applyAlignment="1">
      <alignment horizontal="center"/>
    </xf>
    <xf numFmtId="0" fontId="10" fillId="10" borderId="0" xfId="0" applyFont="1" applyFill="1" applyBorder="1"/>
    <xf numFmtId="0" fontId="9" fillId="10" borderId="0" xfId="0" applyFont="1" applyFill="1" applyBorder="1"/>
    <xf numFmtId="9" fontId="1" fillId="0" borderId="42" xfId="2" applyFont="1" applyBorder="1" applyAlignment="1">
      <alignment horizontal="center"/>
    </xf>
    <xf numFmtId="9" fontId="1" fillId="0" borderId="36" xfId="2" applyFont="1" applyBorder="1" applyAlignment="1">
      <alignment horizontal="center"/>
    </xf>
    <xf numFmtId="0" fontId="10" fillId="0" borderId="25" xfId="0" applyFont="1" applyBorder="1"/>
    <xf numFmtId="0" fontId="10" fillId="0" borderId="27" xfId="0" applyFont="1" applyBorder="1"/>
    <xf numFmtId="1" fontId="10" fillId="11" borderId="27" xfId="0" applyNumberFormat="1" applyFont="1" applyFill="1" applyBorder="1" applyAlignment="1">
      <alignment horizontal="center"/>
    </xf>
    <xf numFmtId="1" fontId="10" fillId="11" borderId="49" xfId="0" applyNumberFormat="1" applyFont="1" applyFill="1" applyBorder="1" applyAlignment="1">
      <alignment horizontal="center"/>
    </xf>
    <xf numFmtId="176" fontId="0" fillId="0" borderId="0" xfId="2" applyNumberFormat="1" applyFont="1"/>
    <xf numFmtId="177" fontId="0" fillId="0" borderId="0" xfId="0" applyNumberFormat="1"/>
    <xf numFmtId="0" fontId="53" fillId="0" borderId="11" xfId="0" applyFont="1" applyBorder="1"/>
    <xf numFmtId="0" fontId="54" fillId="0" borderId="12" xfId="0" applyFont="1" applyBorder="1"/>
    <xf numFmtId="0" fontId="54" fillId="0" borderId="13" xfId="0" applyFont="1" applyBorder="1"/>
    <xf numFmtId="0" fontId="0" fillId="10" borderId="14" xfId="0" applyFill="1" applyBorder="1"/>
    <xf numFmtId="0" fontId="0" fillId="10" borderId="15" xfId="0" applyFill="1" applyBorder="1"/>
    <xf numFmtId="0" fontId="0" fillId="10" borderId="16" xfId="0" applyFill="1" applyBorder="1"/>
    <xf numFmtId="7" fontId="11" fillId="0" borderId="25" xfId="0" applyNumberFormat="1" applyFont="1" applyBorder="1" applyAlignment="1">
      <alignment horizontal="center"/>
    </xf>
    <xf numFmtId="7" fontId="11" fillId="0" borderId="27" xfId="0" applyNumberFormat="1" applyFont="1" applyBorder="1" applyAlignment="1">
      <alignment horizontal="center"/>
    </xf>
    <xf numFmtId="7" fontId="11" fillId="0" borderId="49" xfId="0" applyNumberFormat="1" applyFont="1" applyBorder="1" applyAlignment="1">
      <alignment horizontal="center"/>
    </xf>
    <xf numFmtId="0" fontId="0" fillId="10" borderId="0" xfId="0" applyFill="1" applyBorder="1"/>
    <xf numFmtId="7" fontId="12" fillId="10" borderId="0" xfId="0" applyNumberFormat="1" applyFont="1" applyFill="1" applyBorder="1" applyAlignment="1">
      <alignment horizontal="center"/>
    </xf>
    <xf numFmtId="7" fontId="11" fillId="10" borderId="0" xfId="0" applyNumberFormat="1" applyFont="1" applyFill="1" applyBorder="1" applyAlignment="1">
      <alignment horizontal="center"/>
    </xf>
    <xf numFmtId="7" fontId="15" fillId="10" borderId="0" xfId="0" applyNumberFormat="1" applyFont="1" applyFill="1" applyBorder="1" applyAlignment="1">
      <alignment horizontal="center"/>
    </xf>
    <xf numFmtId="7" fontId="15" fillId="10" borderId="52" xfId="0" applyNumberFormat="1" applyFont="1" applyFill="1" applyBorder="1" applyAlignment="1">
      <alignment horizontal="center"/>
    </xf>
    <xf numFmtId="7" fontId="11" fillId="10" borderId="34" xfId="0" applyNumberFormat="1" applyFont="1" applyFill="1" applyBorder="1" applyAlignment="1">
      <alignment horizontal="center"/>
    </xf>
    <xf numFmtId="7" fontId="11" fillId="10" borderId="49" xfId="0" applyNumberFormat="1" applyFont="1" applyFill="1" applyBorder="1" applyAlignment="1">
      <alignment horizontal="center"/>
    </xf>
    <xf numFmtId="7" fontId="55" fillId="10" borderId="27" xfId="0" applyNumberFormat="1" applyFont="1" applyFill="1" applyBorder="1" applyAlignment="1">
      <alignment horizontal="center"/>
    </xf>
    <xf numFmtId="7" fontId="6" fillId="10" borderId="0" xfId="0" applyNumberFormat="1" applyFont="1" applyFill="1" applyBorder="1" applyAlignment="1">
      <alignment horizontal="center"/>
    </xf>
    <xf numFmtId="0" fontId="4" fillId="10" borderId="9" xfId="0" applyFont="1" applyFill="1" applyBorder="1" applyAlignment="1">
      <alignment wrapText="1"/>
    </xf>
    <xf numFmtId="167" fontId="0" fillId="17" borderId="20" xfId="0" applyNumberFormat="1" applyFill="1" applyBorder="1" applyAlignment="1">
      <alignment horizontal="center"/>
    </xf>
    <xf numFmtId="0" fontId="42" fillId="3" borderId="25" xfId="0" applyFont="1" applyFill="1" applyBorder="1" applyAlignment="1">
      <alignment horizontal="center" vertical="center" wrapText="1"/>
    </xf>
    <xf numFmtId="0" fontId="42" fillId="3" borderId="34" xfId="0" applyFont="1" applyFill="1" applyBorder="1" applyAlignment="1">
      <alignment horizontal="center" vertical="center" wrapText="1"/>
    </xf>
    <xf numFmtId="167" fontId="42" fillId="3" borderId="26" xfId="0" applyNumberFormat="1" applyFont="1" applyFill="1" applyBorder="1" applyAlignment="1">
      <alignment horizontal="center" vertical="center" wrapText="1"/>
    </xf>
    <xf numFmtId="167" fontId="42" fillId="3" borderId="44" xfId="0" applyNumberFormat="1" applyFont="1" applyFill="1" applyBorder="1" applyAlignment="1">
      <alignment horizontal="center" vertical="center" wrapText="1"/>
    </xf>
    <xf numFmtId="0" fontId="42" fillId="3" borderId="58" xfId="0" applyFont="1" applyFill="1" applyBorder="1" applyAlignment="1">
      <alignment horizontal="center" vertical="center" wrapText="1"/>
    </xf>
    <xf numFmtId="0" fontId="42" fillId="0" borderId="63" xfId="0" applyFont="1" applyBorder="1" applyAlignment="1">
      <alignment horizontal="center"/>
    </xf>
    <xf numFmtId="3" fontId="42" fillId="0" borderId="41" xfId="0" applyNumberFormat="1" applyFont="1" applyBorder="1" applyAlignment="1">
      <alignment horizontal="center" vertical="center"/>
    </xf>
    <xf numFmtId="1" fontId="42" fillId="0" borderId="20" xfId="1" applyNumberFormat="1" applyFont="1" applyBorder="1" applyAlignment="1">
      <alignment horizontal="center"/>
    </xf>
    <xf numFmtId="167" fontId="42" fillId="0" borderId="20" xfId="0" applyNumberFormat="1" applyFont="1" applyFill="1" applyBorder="1" applyAlignment="1">
      <alignment horizontal="center"/>
    </xf>
    <xf numFmtId="167" fontId="42" fillId="0" borderId="5" xfId="0" applyNumberFormat="1" applyFont="1" applyBorder="1" applyAlignment="1">
      <alignment horizontal="center"/>
    </xf>
    <xf numFmtId="167" fontId="57" fillId="12" borderId="61" xfId="0" applyNumberFormat="1" applyFont="1" applyFill="1" applyBorder="1" applyAlignment="1">
      <alignment horizontal="center"/>
    </xf>
    <xf numFmtId="0" fontId="42" fillId="0" borderId="14" xfId="0" applyFont="1" applyBorder="1" applyAlignment="1">
      <alignment horizontal="center"/>
    </xf>
    <xf numFmtId="3" fontId="42" fillId="0" borderId="40" xfId="0" applyNumberFormat="1" applyFont="1" applyBorder="1" applyAlignment="1">
      <alignment horizontal="center" vertical="center"/>
    </xf>
    <xf numFmtId="1" fontId="42" fillId="0" borderId="29" xfId="1" applyNumberFormat="1" applyFont="1" applyBorder="1" applyAlignment="1">
      <alignment horizontal="center"/>
    </xf>
    <xf numFmtId="167" fontId="42" fillId="0" borderId="57" xfId="0" applyNumberFormat="1" applyFont="1" applyBorder="1" applyAlignment="1">
      <alignment horizontal="center"/>
    </xf>
    <xf numFmtId="167" fontId="57" fillId="12" borderId="62" xfId="0" applyNumberFormat="1" applyFont="1" applyFill="1" applyBorder="1" applyAlignment="1">
      <alignment horizontal="center"/>
    </xf>
    <xf numFmtId="167" fontId="42" fillId="3" borderId="57" xfId="0"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3" xfId="0" applyFont="1" applyBorder="1" applyAlignment="1">
      <alignment horizontal="center"/>
    </xf>
    <xf numFmtId="3" fontId="42" fillId="0" borderId="37" xfId="0" applyNumberFormat="1" applyFont="1" applyBorder="1" applyAlignment="1">
      <alignment horizontal="center" vertical="center"/>
    </xf>
    <xf numFmtId="1" fontId="42" fillId="0" borderId="9" xfId="1" applyNumberFormat="1" applyFont="1" applyBorder="1" applyAlignment="1">
      <alignment horizontal="center"/>
    </xf>
    <xf numFmtId="167" fontId="42" fillId="0" borderId="9" xfId="0" applyNumberFormat="1" applyFont="1" applyFill="1" applyBorder="1" applyAlignment="1">
      <alignment horizontal="center"/>
    </xf>
    <xf numFmtId="167" fontId="57" fillId="12" borderId="36" xfId="0" applyNumberFormat="1" applyFont="1" applyFill="1" applyBorder="1" applyAlignment="1">
      <alignment horizontal="center"/>
    </xf>
    <xf numFmtId="0" fontId="42" fillId="0" borderId="22" xfId="0" applyFont="1" applyBorder="1" applyAlignment="1">
      <alignment horizontal="center"/>
    </xf>
    <xf numFmtId="3" fontId="42" fillId="0" borderId="38" xfId="0" applyNumberFormat="1" applyFont="1" applyBorder="1" applyAlignment="1">
      <alignment horizontal="center" vertical="center"/>
    </xf>
    <xf numFmtId="0" fontId="42" fillId="0" borderId="28" xfId="0" applyFont="1" applyBorder="1" applyAlignment="1">
      <alignment horizontal="center"/>
    </xf>
    <xf numFmtId="3" fontId="42" fillId="0" borderId="46" xfId="0" applyNumberFormat="1" applyFont="1" applyBorder="1" applyAlignment="1">
      <alignment horizontal="center" vertical="center"/>
    </xf>
    <xf numFmtId="167" fontId="42" fillId="0" borderId="20" xfId="0" applyNumberFormat="1" applyFont="1" applyBorder="1" applyAlignment="1">
      <alignment horizontal="center"/>
    </xf>
    <xf numFmtId="167" fontId="42" fillId="0" borderId="9" xfId="0" applyNumberFormat="1" applyFont="1" applyBorder="1" applyAlignment="1">
      <alignment horizontal="center"/>
    </xf>
    <xf numFmtId="167" fontId="42" fillId="3" borderId="29" xfId="0" applyNumberFormat="1" applyFont="1" applyFill="1" applyBorder="1" applyAlignment="1">
      <alignment horizontal="center" vertical="center" wrapText="1"/>
    </xf>
    <xf numFmtId="167" fontId="1" fillId="12" borderId="5" xfId="0" applyNumberFormat="1" applyFont="1" applyFill="1" applyBorder="1" applyAlignment="1">
      <alignment horizontal="center"/>
    </xf>
    <xf numFmtId="7" fontId="1" fillId="12" borderId="3" xfId="0" applyNumberFormat="1" applyFont="1" applyFill="1" applyBorder="1" applyAlignment="1">
      <alignment horizontal="center"/>
    </xf>
    <xf numFmtId="7" fontId="1" fillId="12" borderId="5" xfId="0" applyNumberFormat="1" applyFont="1" applyFill="1" applyBorder="1" applyAlignment="1">
      <alignment horizontal="center"/>
    </xf>
    <xf numFmtId="9" fontId="0" fillId="0" borderId="63" xfId="2" applyFont="1" applyBorder="1" applyAlignment="1">
      <alignment horizontal="center"/>
    </xf>
    <xf numFmtId="9" fontId="0" fillId="0" borderId="69" xfId="2" applyFont="1" applyBorder="1" applyAlignment="1">
      <alignment horizontal="center"/>
    </xf>
    <xf numFmtId="9" fontId="0" fillId="0" borderId="70" xfId="2" applyFont="1" applyBorder="1" applyAlignment="1">
      <alignment horizontal="center"/>
    </xf>
    <xf numFmtId="9" fontId="0" fillId="0" borderId="67" xfId="2" applyFont="1" applyBorder="1" applyAlignment="1">
      <alignment horizontal="center"/>
    </xf>
    <xf numFmtId="0" fontId="1" fillId="0" borderId="52" xfId="0" applyFont="1" applyBorder="1" applyAlignment="1">
      <alignment horizontal="center"/>
    </xf>
    <xf numFmtId="0" fontId="0" fillId="0" borderId="68" xfId="0" applyBorder="1"/>
    <xf numFmtId="0" fontId="59" fillId="0" borderId="68" xfId="0" applyFont="1" applyBorder="1"/>
    <xf numFmtId="0" fontId="25" fillId="0" borderId="68" xfId="0" applyFont="1" applyBorder="1" applyAlignment="1">
      <alignment horizontal="center"/>
    </xf>
    <xf numFmtId="0" fontId="0" fillId="0" borderId="13" xfId="0" applyBorder="1" applyAlignment="1">
      <alignment wrapText="1"/>
    </xf>
    <xf numFmtId="0" fontId="25" fillId="0" borderId="70" xfId="0" applyFont="1" applyBorder="1" applyAlignment="1">
      <alignment horizontal="center"/>
    </xf>
    <xf numFmtId="0" fontId="59" fillId="0" borderId="70" xfId="0" applyFont="1" applyBorder="1" applyAlignment="1">
      <alignment horizontal="center"/>
    </xf>
    <xf numFmtId="0" fontId="25" fillId="0" borderId="39" xfId="0" applyFont="1" applyBorder="1" applyAlignment="1">
      <alignment horizontal="center" wrapText="1"/>
    </xf>
    <xf numFmtId="0" fontId="4" fillId="0" borderId="0" xfId="0" applyFont="1" applyAlignment="1">
      <alignment horizontal="center"/>
    </xf>
    <xf numFmtId="14" fontId="0" fillId="0" borderId="0" xfId="0" applyNumberFormat="1"/>
    <xf numFmtId="0" fontId="0" fillId="0" borderId="70" xfId="0" applyBorder="1"/>
    <xf numFmtId="0" fontId="0" fillId="0" borderId="39" xfId="0" applyBorder="1" applyAlignment="1">
      <alignment wrapText="1"/>
    </xf>
    <xf numFmtId="0" fontId="60" fillId="0" borderId="71" xfId="0" applyFont="1" applyBorder="1" applyAlignment="1">
      <alignment horizontal="center"/>
    </xf>
    <xf numFmtId="0" fontId="60" fillId="0" borderId="71" xfId="0" applyFont="1" applyBorder="1"/>
    <xf numFmtId="10" fontId="1" fillId="0" borderId="71" xfId="0" applyNumberFormat="1" applyFont="1" applyFill="1" applyBorder="1"/>
    <xf numFmtId="10" fontId="1" fillId="17" borderId="71" xfId="0" applyNumberFormat="1" applyFont="1" applyFill="1" applyBorder="1"/>
    <xf numFmtId="2" fontId="0" fillId="0" borderId="60" xfId="0" applyNumberFormat="1" applyBorder="1" applyAlignment="1">
      <alignment wrapText="1"/>
    </xf>
    <xf numFmtId="0" fontId="60" fillId="0" borderId="70" xfId="0" applyFont="1" applyBorder="1" applyAlignment="1">
      <alignment horizontal="center"/>
    </xf>
    <xf numFmtId="0" fontId="60" fillId="0" borderId="70" xfId="0" applyFont="1" applyBorder="1"/>
    <xf numFmtId="10" fontId="4" fillId="0" borderId="70" xfId="0" applyNumberFormat="1" applyFont="1" applyFill="1" applyBorder="1"/>
    <xf numFmtId="10" fontId="0" fillId="0" borderId="70" xfId="0" applyNumberFormat="1" applyFill="1" applyBorder="1"/>
    <xf numFmtId="2" fontId="0" fillId="0" borderId="39" xfId="0" applyNumberFormat="1" applyBorder="1" applyAlignment="1">
      <alignment wrapText="1"/>
    </xf>
    <xf numFmtId="0" fontId="60" fillId="0" borderId="72" xfId="0" applyFont="1" applyBorder="1" applyAlignment="1">
      <alignment horizontal="center"/>
    </xf>
    <xf numFmtId="0" fontId="60" fillId="0" borderId="72" xfId="0" applyFont="1" applyBorder="1"/>
    <xf numFmtId="10" fontId="4" fillId="0" borderId="72" xfId="0" applyNumberFormat="1" applyFont="1" applyFill="1" applyBorder="1"/>
    <xf numFmtId="10" fontId="0" fillId="0" borderId="72" xfId="0" applyNumberFormat="1" applyFill="1" applyBorder="1"/>
    <xf numFmtId="0" fontId="0" fillId="0" borderId="54" xfId="0" applyBorder="1" applyAlignment="1">
      <alignment wrapText="1"/>
    </xf>
    <xf numFmtId="2" fontId="0" fillId="0" borderId="54" xfId="0" applyNumberFormat="1" applyBorder="1" applyAlignment="1">
      <alignment wrapText="1"/>
    </xf>
    <xf numFmtId="0" fontId="60" fillId="0" borderId="69" xfId="0" applyFont="1" applyBorder="1" applyAlignment="1">
      <alignment horizontal="center"/>
    </xf>
    <xf numFmtId="0" fontId="60" fillId="11" borderId="69" xfId="0" applyFont="1" applyFill="1" applyBorder="1"/>
    <xf numFmtId="178" fontId="1" fillId="11" borderId="69" xfId="0" applyNumberFormat="1" applyFont="1" applyFill="1" applyBorder="1"/>
    <xf numFmtId="178" fontId="1" fillId="10" borderId="69" xfId="0" applyNumberFormat="1" applyFont="1" applyFill="1" applyBorder="1"/>
    <xf numFmtId="0" fontId="0" fillId="10" borderId="43" xfId="0" applyFill="1" applyBorder="1" applyAlignment="1">
      <alignment wrapText="1"/>
    </xf>
    <xf numFmtId="0" fontId="60" fillId="0" borderId="69" xfId="0" applyFont="1" applyBorder="1"/>
    <xf numFmtId="175" fontId="1" fillId="0" borderId="69" xfId="7" applyNumberFormat="1" applyFont="1" applyFill="1" applyBorder="1"/>
    <xf numFmtId="175" fontId="1" fillId="17" borderId="69" xfId="7" applyNumberFormat="1" applyFont="1" applyFill="1" applyBorder="1"/>
    <xf numFmtId="0" fontId="4" fillId="11" borderId="43" xfId="0" applyFont="1" applyFill="1" applyBorder="1" applyAlignment="1">
      <alignment wrapText="1"/>
    </xf>
    <xf numFmtId="179" fontId="1" fillId="11" borderId="69" xfId="8" applyNumberFormat="1" applyFont="1" applyFill="1" applyBorder="1"/>
    <xf numFmtId="179" fontId="1" fillId="10" borderId="69" xfId="8" applyNumberFormat="1" applyFont="1" applyFill="1" applyBorder="1"/>
    <xf numFmtId="0" fontId="0" fillId="11" borderId="43" xfId="0" applyFill="1" applyBorder="1" applyAlignment="1">
      <alignment wrapText="1"/>
    </xf>
    <xf numFmtId="10" fontId="1" fillId="11" borderId="69" xfId="7" applyNumberFormat="1" applyFont="1" applyFill="1" applyBorder="1"/>
    <xf numFmtId="10" fontId="1" fillId="10" borderId="69" xfId="7" applyNumberFormat="1" applyFont="1" applyFill="1" applyBorder="1"/>
    <xf numFmtId="0" fontId="60" fillId="0" borderId="73" xfId="0" applyFont="1" applyBorder="1" applyAlignment="1">
      <alignment horizontal="center"/>
    </xf>
    <xf numFmtId="0" fontId="60" fillId="11" borderId="67" xfId="0" applyFont="1" applyFill="1" applyBorder="1"/>
    <xf numFmtId="10" fontId="1" fillId="11" borderId="67" xfId="7" applyNumberFormat="1" applyFont="1" applyFill="1" applyBorder="1"/>
    <xf numFmtId="10" fontId="1" fillId="10" borderId="67" xfId="7" applyNumberFormat="1" applyFont="1" applyFill="1" applyBorder="1"/>
    <xf numFmtId="0" fontId="0" fillId="11" borderId="16" xfId="0" applyFill="1" applyBorder="1" applyAlignment="1">
      <alignment wrapText="1"/>
    </xf>
    <xf numFmtId="0" fontId="60" fillId="0" borderId="63" xfId="0" applyFont="1" applyBorder="1" applyAlignment="1">
      <alignment horizontal="center"/>
    </xf>
    <xf numFmtId="0" fontId="60" fillId="0" borderId="63" xfId="0" applyFont="1" applyBorder="1"/>
    <xf numFmtId="10" fontId="1" fillId="0" borderId="63" xfId="0" applyNumberFormat="1" applyFont="1" applyFill="1" applyBorder="1" applyAlignment="1">
      <alignment horizontal="right"/>
    </xf>
    <xf numFmtId="10" fontId="1" fillId="10" borderId="63" xfId="0" applyNumberFormat="1" applyFont="1" applyFill="1" applyBorder="1" applyAlignment="1">
      <alignment horizontal="right"/>
    </xf>
    <xf numFmtId="0" fontId="4" fillId="0" borderId="63" xfId="0" applyFont="1" applyBorder="1" applyAlignment="1">
      <alignment wrapText="1"/>
    </xf>
    <xf numFmtId="7" fontId="1" fillId="0" borderId="69" xfId="0" applyNumberFormat="1" applyFont="1" applyFill="1" applyBorder="1" applyAlignment="1">
      <alignment horizontal="right"/>
    </xf>
    <xf numFmtId="180" fontId="1" fillId="10" borderId="69" xfId="8" applyNumberFormat="1" applyFont="1" applyFill="1" applyBorder="1"/>
    <xf numFmtId="0" fontId="0" fillId="0" borderId="69" xfId="0" applyFont="1" applyBorder="1" applyAlignment="1">
      <alignment wrapText="1"/>
    </xf>
    <xf numFmtId="7" fontId="1" fillId="0" borderId="69" xfId="0" applyNumberFormat="1" applyFont="1" applyFill="1" applyBorder="1"/>
    <xf numFmtId="0" fontId="58" fillId="0" borderId="69" xfId="0" applyFont="1" applyBorder="1" applyAlignment="1">
      <alignment wrapText="1"/>
    </xf>
    <xf numFmtId="7" fontId="1" fillId="11" borderId="69" xfId="0" applyNumberFormat="1" applyFont="1" applyFill="1" applyBorder="1"/>
    <xf numFmtId="7" fontId="1" fillId="10" borderId="69" xfId="0" applyNumberFormat="1" applyFont="1" applyFill="1" applyBorder="1"/>
    <xf numFmtId="0" fontId="4" fillId="0" borderId="69" xfId="0" applyFont="1" applyBorder="1" applyAlignment="1">
      <alignment wrapText="1"/>
    </xf>
    <xf numFmtId="0" fontId="60" fillId="11" borderId="73" xfId="0" applyFont="1" applyFill="1" applyBorder="1"/>
    <xf numFmtId="7" fontId="1" fillId="11" borderId="73" xfId="0" applyNumberFormat="1" applyFont="1" applyFill="1" applyBorder="1"/>
    <xf numFmtId="0" fontId="58" fillId="0" borderId="73" xfId="0" applyFont="1" applyBorder="1" applyAlignment="1">
      <alignment wrapText="1"/>
    </xf>
    <xf numFmtId="0" fontId="58" fillId="0" borderId="0" xfId="0" applyFont="1" applyAlignment="1">
      <alignment horizontal="center"/>
    </xf>
    <xf numFmtId="0" fontId="58" fillId="0" borderId="0" xfId="0" applyFont="1"/>
    <xf numFmtId="0" fontId="58" fillId="0" borderId="0" xfId="0" applyFont="1" applyBorder="1" applyAlignment="1">
      <alignment horizontal="center"/>
    </xf>
    <xf numFmtId="0" fontId="58" fillId="0" borderId="5" xfId="0" applyFont="1" applyBorder="1"/>
    <xf numFmtId="0" fontId="58" fillId="0" borderId="8" xfId="0" applyFont="1" applyBorder="1"/>
    <xf numFmtId="0" fontId="58" fillId="0" borderId="0" xfId="0" applyFont="1" applyBorder="1"/>
    <xf numFmtId="0" fontId="58" fillId="0" borderId="9" xfId="0" applyFont="1" applyBorder="1" applyAlignment="1">
      <alignment horizontal="center"/>
    </xf>
    <xf numFmtId="0" fontId="4" fillId="0" borderId="0" xfId="0" applyFont="1" applyBorder="1" applyAlignment="1">
      <alignment horizontal="center"/>
    </xf>
    <xf numFmtId="0" fontId="58" fillId="0" borderId="20" xfId="0" applyFont="1" applyBorder="1"/>
    <xf numFmtId="0" fontId="58" fillId="0" borderId="20" xfId="0" applyFont="1" applyBorder="1" applyAlignment="1">
      <alignment horizontal="center"/>
    </xf>
    <xf numFmtId="0" fontId="0" fillId="0" borderId="20" xfId="0" applyBorder="1"/>
    <xf numFmtId="10" fontId="0" fillId="10" borderId="20" xfId="0" applyNumberFormat="1" applyFill="1" applyBorder="1" applyAlignment="1">
      <alignment horizontal="center"/>
    </xf>
    <xf numFmtId="2" fontId="4" fillId="0" borderId="20" xfId="0" applyNumberFormat="1" applyFont="1" applyBorder="1" applyAlignment="1">
      <alignment wrapText="1"/>
    </xf>
    <xf numFmtId="2" fontId="0" fillId="0" borderId="0" xfId="0" applyNumberFormat="1" applyBorder="1" applyAlignment="1">
      <alignment wrapText="1"/>
    </xf>
    <xf numFmtId="10" fontId="4" fillId="10" borderId="20" xfId="7" applyNumberFormat="1" applyFont="1" applyFill="1" applyBorder="1" applyAlignment="1">
      <alignment horizontal="center"/>
    </xf>
    <xf numFmtId="2" fontId="0" fillId="0" borderId="20" xfId="0" applyNumberFormat="1" applyFont="1" applyBorder="1" applyAlignment="1">
      <alignment wrapText="1"/>
    </xf>
    <xf numFmtId="14" fontId="0" fillId="0" borderId="0" xfId="0" applyNumberFormat="1" applyFont="1" applyBorder="1" applyAlignment="1">
      <alignment wrapText="1"/>
    </xf>
    <xf numFmtId="175" fontId="58" fillId="10" borderId="20" xfId="7" applyNumberFormat="1" applyFont="1" applyFill="1" applyBorder="1" applyAlignment="1">
      <alignment horizontal="center"/>
    </xf>
    <xf numFmtId="0" fontId="1" fillId="0" borderId="10" xfId="0" applyFont="1" applyBorder="1"/>
    <xf numFmtId="10" fontId="1" fillId="12" borderId="10" xfId="0" applyNumberFormat="1" applyFont="1" applyFill="1" applyBorder="1" applyAlignment="1">
      <alignment horizontal="center"/>
    </xf>
    <xf numFmtId="2" fontId="4" fillId="0" borderId="10" xfId="0" applyNumberFormat="1" applyFont="1" applyBorder="1" applyAlignment="1">
      <alignment wrapText="1"/>
    </xf>
    <xf numFmtId="2" fontId="4" fillId="0" borderId="0" xfId="0" applyNumberFormat="1" applyFont="1" applyBorder="1" applyAlignment="1">
      <alignment wrapText="1"/>
    </xf>
    <xf numFmtId="0" fontId="4" fillId="0" borderId="5" xfId="0" applyFont="1" applyBorder="1"/>
    <xf numFmtId="0" fontId="4" fillId="0" borderId="8" xfId="0" applyFont="1" applyBorder="1"/>
    <xf numFmtId="0" fontId="4" fillId="0" borderId="0" xfId="0" applyFont="1" applyBorder="1"/>
    <xf numFmtId="0" fontId="4" fillId="0" borderId="9" xfId="0" applyFont="1" applyBorder="1" applyAlignment="1">
      <alignment horizontal="center"/>
    </xf>
    <xf numFmtId="0" fontId="4" fillId="0" borderId="20" xfId="0" applyFont="1" applyBorder="1"/>
    <xf numFmtId="0" fontId="4" fillId="0" borderId="20" xfId="0" applyFont="1" applyBorder="1" applyAlignment="1">
      <alignment horizontal="center"/>
    </xf>
    <xf numFmtId="10" fontId="0" fillId="18" borderId="20" xfId="0" applyNumberFormat="1" applyFill="1" applyBorder="1" applyAlignment="1">
      <alignment horizontal="center"/>
    </xf>
    <xf numFmtId="2" fontId="0" fillId="0" borderId="20" xfId="0" applyNumberFormat="1" applyBorder="1" applyAlignment="1">
      <alignment wrapText="1"/>
    </xf>
    <xf numFmtId="0" fontId="4" fillId="11" borderId="20" xfId="0" applyFont="1" applyFill="1" applyBorder="1"/>
    <xf numFmtId="0" fontId="4" fillId="11" borderId="20" xfId="0" applyFont="1" applyFill="1" applyBorder="1" applyAlignment="1">
      <alignment wrapText="1"/>
    </xf>
    <xf numFmtId="0" fontId="0" fillId="11" borderId="0" xfId="0" applyFill="1" applyBorder="1" applyAlignment="1">
      <alignment wrapText="1"/>
    </xf>
    <xf numFmtId="0" fontId="4" fillId="0" borderId="20" xfId="0" applyFont="1" applyBorder="1" applyAlignment="1">
      <alignment wrapText="1"/>
    </xf>
    <xf numFmtId="0" fontId="63" fillId="6" borderId="9" xfId="9" applyFill="1" applyBorder="1" applyAlignment="1" applyProtection="1">
      <alignment wrapText="1"/>
    </xf>
    <xf numFmtId="0" fontId="4" fillId="0" borderId="10" xfId="0" applyFont="1" applyBorder="1"/>
    <xf numFmtId="0" fontId="25" fillId="0" borderId="0" xfId="0" applyFont="1"/>
    <xf numFmtId="0" fontId="1" fillId="0" borderId="0" xfId="0" applyFont="1" applyBorder="1" applyAlignment="1">
      <alignment horizontal="center"/>
    </xf>
    <xf numFmtId="175" fontId="0" fillId="0" borderId="0" xfId="7" applyNumberFormat="1" applyFont="1"/>
    <xf numFmtId="175" fontId="0" fillId="0" borderId="0" xfId="7" applyNumberFormat="1" applyFont="1" applyBorder="1"/>
    <xf numFmtId="175" fontId="4" fillId="17" borderId="0" xfId="7" applyNumberFormat="1" applyFont="1" applyFill="1"/>
    <xf numFmtId="175" fontId="0" fillId="19" borderId="0" xfId="7" applyNumberFormat="1" applyFont="1" applyFill="1" applyBorder="1"/>
    <xf numFmtId="175" fontId="1" fillId="0" borderId="74" xfId="7" applyNumberFormat="1" applyFont="1" applyFill="1" applyBorder="1"/>
    <xf numFmtId="175" fontId="1" fillId="0" borderId="74" xfId="7" applyNumberFormat="1" applyFont="1" applyBorder="1"/>
    <xf numFmtId="175" fontId="1" fillId="0" borderId="0" xfId="7" applyNumberFormat="1" applyFont="1" applyBorder="1"/>
    <xf numFmtId="181" fontId="4" fillId="17" borderId="0" xfId="6" applyNumberFormat="1" applyFont="1" applyFill="1"/>
    <xf numFmtId="181" fontId="0" fillId="0" borderId="0" xfId="6" applyNumberFormat="1" applyFont="1" applyBorder="1"/>
    <xf numFmtId="0" fontId="59" fillId="0" borderId="0" xfId="0" applyFont="1"/>
    <xf numFmtId="175" fontId="59" fillId="0" borderId="74" xfId="7" applyNumberFormat="1" applyFont="1" applyBorder="1"/>
    <xf numFmtId="175" fontId="59" fillId="0" borderId="0" xfId="7" applyNumberFormat="1" applyFont="1" applyBorder="1"/>
    <xf numFmtId="0" fontId="1" fillId="20" borderId="68" xfId="0" applyFont="1" applyFill="1" applyBorder="1" applyAlignment="1">
      <alignment horizontal="center"/>
    </xf>
    <xf numFmtId="0" fontId="1" fillId="20" borderId="52" xfId="0" applyFont="1" applyFill="1" applyBorder="1" applyAlignment="1">
      <alignment horizontal="center"/>
    </xf>
    <xf numFmtId="0" fontId="1" fillId="20" borderId="67" xfId="0" applyFont="1" applyFill="1" applyBorder="1" applyAlignment="1">
      <alignment horizontal="center"/>
    </xf>
    <xf numFmtId="0" fontId="0" fillId="20" borderId="0" xfId="0" applyFill="1"/>
    <xf numFmtId="0" fontId="0" fillId="20" borderId="0" xfId="0" applyFill="1" applyAlignment="1">
      <alignment horizontal="center"/>
    </xf>
    <xf numFmtId="175" fontId="0" fillId="20" borderId="0" xfId="7" applyNumberFormat="1" applyFont="1" applyFill="1"/>
    <xf numFmtId="0" fontId="0" fillId="20" borderId="0" xfId="0" applyFill="1" applyAlignment="1">
      <alignment horizontal="right"/>
    </xf>
    <xf numFmtId="175" fontId="0" fillId="20" borderId="0" xfId="0" applyNumberFormat="1" applyFill="1"/>
    <xf numFmtId="182" fontId="0" fillId="20" borderId="0" xfId="8" applyNumberFormat="1" applyFont="1" applyFill="1"/>
    <xf numFmtId="182" fontId="0" fillId="20" borderId="1" xfId="8" applyNumberFormat="1" applyFont="1" applyFill="1" applyBorder="1"/>
    <xf numFmtId="182" fontId="0" fillId="20" borderId="17" xfId="0" applyNumberFormat="1" applyFill="1" applyBorder="1"/>
    <xf numFmtId="10" fontId="0" fillId="20" borderId="74" xfId="7" applyNumberFormat="1" applyFont="1" applyFill="1" applyBorder="1"/>
    <xf numFmtId="0" fontId="5" fillId="0" borderId="0" xfId="10" quotePrefix="1" applyFont="1" applyAlignment="1">
      <alignment horizontal="left"/>
    </xf>
    <xf numFmtId="0" fontId="4" fillId="0" borderId="0" xfId="10" applyFont="1"/>
    <xf numFmtId="0" fontId="4" fillId="0" borderId="0" xfId="10" quotePrefix="1" applyFont="1" applyAlignment="1">
      <alignment horizontal="left"/>
    </xf>
    <xf numFmtId="0" fontId="39" fillId="19" borderId="0" xfId="10" applyFont="1" applyFill="1" applyBorder="1" applyProtection="1">
      <protection locked="0"/>
    </xf>
    <xf numFmtId="0" fontId="39" fillId="19" borderId="0" xfId="10" applyFont="1" applyFill="1" applyBorder="1" applyAlignment="1" applyProtection="1">
      <alignment horizontal="left"/>
      <protection locked="0"/>
    </xf>
    <xf numFmtId="0" fontId="67" fillId="22" borderId="9" xfId="10" applyFont="1" applyFill="1" applyBorder="1" applyProtection="1"/>
    <xf numFmtId="5" fontId="67" fillId="22" borderId="9" xfId="6" applyNumberFormat="1" applyFont="1" applyFill="1" applyBorder="1" applyProtection="1"/>
    <xf numFmtId="0" fontId="4" fillId="0" borderId="0" xfId="10" applyFont="1" applyAlignment="1">
      <alignment horizontal="left"/>
    </xf>
    <xf numFmtId="175" fontId="4" fillId="19" borderId="0" xfId="10" applyNumberFormat="1" applyFont="1" applyFill="1" applyProtection="1"/>
    <xf numFmtId="10" fontId="39" fillId="19" borderId="75" xfId="10" applyNumberFormat="1" applyFont="1" applyFill="1" applyBorder="1" applyProtection="1"/>
    <xf numFmtId="10" fontId="39" fillId="19" borderId="76" xfId="10" applyNumberFormat="1" applyFont="1" applyFill="1" applyBorder="1" applyProtection="1"/>
    <xf numFmtId="184" fontId="39" fillId="0" borderId="9" xfId="0" quotePrefix="1" applyNumberFormat="1" applyFont="1" applyFill="1" applyBorder="1" applyAlignment="1" applyProtection="1">
      <alignment horizontal="right"/>
    </xf>
    <xf numFmtId="10" fontId="39" fillId="23" borderId="0" xfId="10" applyNumberFormat="1" applyFont="1" applyFill="1" applyBorder="1" applyProtection="1">
      <protection locked="0"/>
    </xf>
    <xf numFmtId="0" fontId="4" fillId="0" borderId="0" xfId="10" quotePrefix="1" applyFont="1" applyAlignment="1">
      <alignment horizontal="right"/>
    </xf>
    <xf numFmtId="0" fontId="4" fillId="0" borderId="0" xfId="10" applyFont="1" applyAlignment="1">
      <alignment horizontal="right"/>
    </xf>
    <xf numFmtId="0" fontId="4" fillId="0" borderId="77" xfId="10" applyFont="1" applyBorder="1" applyAlignment="1">
      <alignment horizontal="left"/>
    </xf>
    <xf numFmtId="0" fontId="4" fillId="0" borderId="77" xfId="10" applyFont="1" applyBorder="1" applyAlignment="1">
      <alignment horizontal="right"/>
    </xf>
    <xf numFmtId="10" fontId="39" fillId="0" borderId="0" xfId="0" applyNumberFormat="1" applyFont="1" applyFill="1" applyProtection="1"/>
    <xf numFmtId="10" fontId="4" fillId="0" borderId="0" xfId="0" applyNumberFormat="1" applyFont="1" applyProtection="1"/>
    <xf numFmtId="10" fontId="4" fillId="0" borderId="0" xfId="10" applyNumberFormat="1" applyFont="1"/>
    <xf numFmtId="176" fontId="4" fillId="0" borderId="0" xfId="0" applyNumberFormat="1" applyFont="1" applyProtection="1"/>
    <xf numFmtId="176" fontId="4" fillId="0" borderId="0" xfId="10" applyNumberFormat="1" applyFont="1"/>
    <xf numFmtId="0" fontId="4" fillId="0" borderId="0" xfId="10" applyFont="1" applyBorder="1"/>
    <xf numFmtId="185" fontId="4" fillId="0" borderId="77" xfId="10" applyNumberFormat="1" applyFont="1" applyBorder="1" applyAlignment="1" applyProtection="1">
      <alignment horizontal="left"/>
    </xf>
    <xf numFmtId="10" fontId="39" fillId="0" borderId="77" xfId="0" applyNumberFormat="1" applyFont="1" applyFill="1" applyBorder="1" applyProtection="1"/>
    <xf numFmtId="10" fontId="4" fillId="0" borderId="77" xfId="0" applyNumberFormat="1" applyFont="1" applyBorder="1" applyProtection="1"/>
    <xf numFmtId="176" fontId="4" fillId="0" borderId="77" xfId="10" applyNumberFormat="1" applyFont="1" applyBorder="1" applyProtection="1"/>
    <xf numFmtId="176" fontId="4" fillId="0" borderId="77" xfId="10" applyNumberFormat="1" applyFont="1" applyBorder="1"/>
    <xf numFmtId="10" fontId="4" fillId="0" borderId="77" xfId="10" applyNumberFormat="1" applyFont="1" applyBorder="1" applyProtection="1"/>
    <xf numFmtId="10" fontId="4" fillId="0" borderId="78" xfId="10" applyNumberFormat="1" applyFont="1" applyFill="1" applyBorder="1" applyProtection="1"/>
    <xf numFmtId="0" fontId="37" fillId="0" borderId="0" xfId="10" applyFont="1"/>
    <xf numFmtId="0" fontId="4" fillId="0" borderId="0" xfId="10" applyFont="1" applyProtection="1"/>
    <xf numFmtId="10" fontId="37" fillId="0" borderId="0" xfId="11" applyNumberFormat="1" applyFont="1"/>
    <xf numFmtId="10" fontId="39" fillId="0" borderId="78" xfId="0" applyNumberFormat="1" applyFont="1" applyFill="1" applyBorder="1" applyProtection="1"/>
    <xf numFmtId="10" fontId="4" fillId="0" borderId="0" xfId="11" applyNumberFormat="1" applyFont="1" applyAlignment="1">
      <alignment horizontal="left"/>
    </xf>
    <xf numFmtId="10" fontId="39" fillId="0" borderId="0" xfId="0" applyNumberFormat="1" applyFont="1" applyFill="1" applyBorder="1" applyProtection="1"/>
    <xf numFmtId="175" fontId="39" fillId="0" borderId="78" xfId="0" applyNumberFormat="1" applyFont="1" applyFill="1" applyBorder="1" applyProtection="1"/>
    <xf numFmtId="10" fontId="37" fillId="0" borderId="0" xfId="10" applyNumberFormat="1" applyFont="1" applyAlignment="1">
      <alignment horizontal="left"/>
    </xf>
    <xf numFmtId="186" fontId="4" fillId="0" borderId="0" xfId="10" applyNumberFormat="1" applyFont="1"/>
    <xf numFmtId="10" fontId="39" fillId="0" borderId="0" xfId="10" applyNumberFormat="1" applyFont="1" applyFill="1" applyBorder="1" applyProtection="1">
      <protection locked="0"/>
    </xf>
    <xf numFmtId="0" fontId="4" fillId="0" borderId="0" xfId="10" applyFont="1" applyAlignment="1">
      <alignment horizontal="center"/>
    </xf>
    <xf numFmtId="0" fontId="1" fillId="0" borderId="0" xfId="10" applyFont="1" applyAlignment="1">
      <alignment horizontal="center"/>
    </xf>
    <xf numFmtId="0" fontId="4" fillId="0" borderId="19" xfId="10" applyFont="1" applyBorder="1" applyAlignment="1">
      <alignment horizontal="left"/>
    </xf>
    <xf numFmtId="10" fontId="39" fillId="0" borderId="17" xfId="11" applyNumberFormat="1" applyFont="1" applyBorder="1" applyAlignment="1">
      <alignment horizontal="center"/>
    </xf>
    <xf numFmtId="10" fontId="39" fillId="0" borderId="17" xfId="11" applyNumberFormat="1" applyFont="1" applyFill="1" applyBorder="1" applyAlignment="1" applyProtection="1">
      <alignment horizontal="center"/>
      <protection locked="0"/>
    </xf>
    <xf numFmtId="10" fontId="39" fillId="0" borderId="18" xfId="11" applyNumberFormat="1" applyFont="1" applyBorder="1" applyAlignment="1">
      <alignment horizontal="center"/>
    </xf>
    <xf numFmtId="0" fontId="4" fillId="0" borderId="4" xfId="10" applyFont="1" applyBorder="1" applyAlignment="1">
      <alignment horizontal="left"/>
    </xf>
    <xf numFmtId="10" fontId="39" fillId="0" borderId="1" xfId="11" applyNumberFormat="1" applyFont="1" applyBorder="1" applyAlignment="1">
      <alignment horizontal="center"/>
    </xf>
    <xf numFmtId="10" fontId="39" fillId="0" borderId="1" xfId="11" applyNumberFormat="1" applyFont="1" applyFill="1" applyBorder="1" applyAlignment="1" applyProtection="1">
      <alignment horizontal="center"/>
      <protection locked="0"/>
    </xf>
    <xf numFmtId="10" fontId="39" fillId="0" borderId="7" xfId="11" applyNumberFormat="1" applyFont="1" applyBorder="1" applyAlignment="1">
      <alignment horizontal="center"/>
    </xf>
    <xf numFmtId="0" fontId="1" fillId="0" borderId="4" xfId="10" applyFont="1" applyBorder="1" applyAlignment="1">
      <alignment horizontal="left"/>
    </xf>
    <xf numFmtId="10" fontId="1" fillId="0" borderId="1" xfId="10" applyNumberFormat="1" applyFont="1" applyBorder="1" applyAlignment="1">
      <alignment horizontal="center"/>
    </xf>
    <xf numFmtId="10" fontId="1" fillId="0" borderId="7" xfId="10" applyNumberFormat="1" applyFont="1" applyBorder="1" applyAlignment="1">
      <alignment horizontal="center"/>
    </xf>
    <xf numFmtId="0" fontId="42" fillId="0" borderId="5" xfId="0" applyFont="1" applyBorder="1" applyAlignment="1">
      <alignment horizontal="center"/>
    </xf>
    <xf numFmtId="7" fontId="42" fillId="12" borderId="20" xfId="0" applyNumberFormat="1" applyFont="1" applyFill="1" applyBorder="1" applyAlignment="1">
      <alignment horizontal="center" vertical="center"/>
    </xf>
    <xf numFmtId="7" fontId="42" fillId="12" borderId="9" xfId="0" applyNumberFormat="1" applyFont="1" applyFill="1" applyBorder="1" applyAlignment="1">
      <alignment horizontal="center" vertical="center"/>
    </xf>
    <xf numFmtId="7" fontId="42" fillId="12" borderId="29" xfId="0" applyNumberFormat="1" applyFont="1" applyFill="1" applyBorder="1" applyAlignment="1">
      <alignment horizontal="center" vertical="center"/>
    </xf>
    <xf numFmtId="0" fontId="1" fillId="0" borderId="22" xfId="0" applyFont="1" applyBorder="1" applyAlignment="1">
      <alignment horizontal="center"/>
    </xf>
    <xf numFmtId="0" fontId="42" fillId="0" borderId="3" xfId="0" applyFont="1" applyBorder="1" applyAlignment="1">
      <alignment horizontal="center"/>
    </xf>
    <xf numFmtId="0" fontId="42" fillId="0" borderId="4" xfId="0" applyFont="1" applyBorder="1" applyAlignment="1">
      <alignment horizontal="center"/>
    </xf>
    <xf numFmtId="167" fontId="42" fillId="0" borderId="4" xfId="0" applyNumberFormat="1" applyFont="1" applyBorder="1" applyAlignment="1">
      <alignment horizontal="center"/>
    </xf>
    <xf numFmtId="0" fontId="4" fillId="0" borderId="0" xfId="0" applyFont="1" applyAlignment="1">
      <alignment horizontal="center" wrapText="1"/>
    </xf>
    <xf numFmtId="9" fontId="0" fillId="0" borderId="0" xfId="0" applyNumberFormat="1"/>
    <xf numFmtId="9" fontId="0" fillId="10" borderId="0" xfId="0" applyNumberFormat="1" applyFill="1"/>
    <xf numFmtId="9" fontId="0" fillId="10" borderId="0" xfId="0" applyNumberFormat="1" applyFill="1" applyAlignment="1">
      <alignment horizontal="center"/>
    </xf>
    <xf numFmtId="0" fontId="56" fillId="0" borderId="27" xfId="0" applyFont="1" applyBorder="1" applyAlignment="1">
      <alignment horizontal="left"/>
    </xf>
    <xf numFmtId="0" fontId="17" fillId="0" borderId="0" xfId="0" applyFont="1" applyAlignment="1">
      <alignment horizontal="center"/>
    </xf>
    <xf numFmtId="0" fontId="5" fillId="10" borderId="15" xfId="0" applyFont="1" applyFill="1" applyBorder="1" applyAlignment="1">
      <alignment horizontal="center"/>
    </xf>
    <xf numFmtId="0" fontId="5" fillId="0" borderId="15" xfId="0" applyFont="1" applyBorder="1" applyAlignment="1">
      <alignment horizontal="left"/>
    </xf>
    <xf numFmtId="0" fontId="5" fillId="10" borderId="27" xfId="0" applyFont="1" applyFill="1" applyBorder="1" applyAlignment="1">
      <alignment horizontal="left"/>
    </xf>
    <xf numFmtId="0" fontId="5" fillId="0" borderId="27" xfId="0" applyFont="1" applyBorder="1" applyAlignment="1">
      <alignment horizontal="left"/>
    </xf>
    <xf numFmtId="0" fontId="5" fillId="0" borderId="27" xfId="0" applyFont="1" applyBorder="1" applyAlignment="1">
      <alignment horizontal="center"/>
    </xf>
    <xf numFmtId="0" fontId="5" fillId="0" borderId="33" xfId="0" applyFont="1" applyBorder="1" applyAlignment="1">
      <alignment horizontal="left"/>
    </xf>
    <xf numFmtId="0" fontId="1" fillId="10" borderId="25" xfId="0" applyFont="1" applyFill="1" applyBorder="1" applyAlignment="1">
      <alignment horizontal="center"/>
    </xf>
    <xf numFmtId="0" fontId="1" fillId="10" borderId="27" xfId="0" applyFont="1" applyFill="1" applyBorder="1" applyAlignment="1">
      <alignment horizontal="center"/>
    </xf>
    <xf numFmtId="0" fontId="1" fillId="10" borderId="49" xfId="0" applyFont="1" applyFill="1" applyBorder="1" applyAlignment="1">
      <alignment horizontal="center"/>
    </xf>
    <xf numFmtId="0" fontId="5" fillId="0" borderId="0" xfId="0" applyFont="1" applyAlignment="1">
      <alignment horizontal="center"/>
    </xf>
    <xf numFmtId="0" fontId="25" fillId="0" borderId="0" xfId="0" applyFont="1" applyAlignment="1"/>
    <xf numFmtId="0" fontId="25" fillId="0" borderId="15" xfId="0" applyFont="1" applyBorder="1" applyAlignment="1">
      <alignment horizontal="center"/>
    </xf>
    <xf numFmtId="0" fontId="25" fillId="16" borderId="15" xfId="0" applyFont="1" applyFill="1" applyBorder="1" applyAlignment="1">
      <alignment horizontal="center"/>
    </xf>
    <xf numFmtId="0" fontId="5" fillId="0" borderId="12" xfId="0" applyFont="1" applyBorder="1" applyAlignment="1">
      <alignment horizontal="center"/>
    </xf>
    <xf numFmtId="0" fontId="58" fillId="0" borderId="19" xfId="0" applyFont="1" applyBorder="1" applyAlignment="1">
      <alignment horizontal="center"/>
    </xf>
    <xf numFmtId="0" fontId="58" fillId="0" borderId="17" xfId="0" applyFont="1" applyBorder="1" applyAlignment="1">
      <alignment horizontal="center"/>
    </xf>
    <xf numFmtId="0" fontId="58" fillId="0" borderId="18" xfId="0" applyFont="1" applyBorder="1" applyAlignment="1">
      <alignment horizontal="center"/>
    </xf>
    <xf numFmtId="0" fontId="4" fillId="0" borderId="19"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58" fillId="0" borderId="0" xfId="0" applyFont="1" applyAlignment="1">
      <alignment horizontal="center"/>
    </xf>
    <xf numFmtId="0" fontId="0" fillId="0" borderId="0" xfId="0" applyFont="1" applyAlignment="1">
      <alignment horizontal="center"/>
    </xf>
    <xf numFmtId="0" fontId="1" fillId="20" borderId="11" xfId="0" applyFont="1" applyFill="1" applyBorder="1" applyAlignment="1">
      <alignment horizontal="center" vertical="center"/>
    </xf>
    <xf numFmtId="0" fontId="1" fillId="20" borderId="13" xfId="0" applyFont="1" applyFill="1" applyBorder="1" applyAlignment="1">
      <alignment horizontal="center" vertical="center"/>
    </xf>
    <xf numFmtId="0" fontId="1" fillId="20" borderId="14" xfId="0" applyFont="1" applyFill="1" applyBorder="1" applyAlignment="1">
      <alignment horizontal="center" vertical="center"/>
    </xf>
    <xf numFmtId="0" fontId="1" fillId="20" borderId="16" xfId="0" applyFont="1" applyFill="1" applyBorder="1" applyAlignment="1">
      <alignment horizontal="center" vertical="center"/>
    </xf>
    <xf numFmtId="0" fontId="1" fillId="20" borderId="25" xfId="0" applyFont="1" applyFill="1" applyBorder="1" applyAlignment="1">
      <alignment horizontal="center"/>
    </xf>
    <xf numFmtId="0" fontId="1" fillId="20" borderId="49" xfId="0" applyFont="1" applyFill="1" applyBorder="1" applyAlignment="1">
      <alignment horizontal="center"/>
    </xf>
    <xf numFmtId="0" fontId="1" fillId="0" borderId="25" xfId="0" applyFont="1" applyBorder="1" applyAlignment="1">
      <alignment horizontal="center"/>
    </xf>
    <xf numFmtId="0" fontId="1" fillId="0" borderId="49" xfId="0" applyFont="1" applyBorder="1" applyAlignment="1">
      <alignment horizontal="center"/>
    </xf>
    <xf numFmtId="0" fontId="25" fillId="0" borderId="0" xfId="0" applyFont="1" applyAlignment="1">
      <alignment horizont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6" xfId="0" applyFont="1" applyBorder="1" applyAlignment="1">
      <alignment horizontal="center" vertical="center"/>
    </xf>
    <xf numFmtId="0" fontId="39" fillId="21" borderId="3" xfId="10" applyFont="1" applyFill="1" applyBorder="1" applyAlignment="1" applyProtection="1">
      <alignment horizontal="center"/>
      <protection locked="0"/>
    </xf>
    <xf numFmtId="0" fontId="39" fillId="21" borderId="2" xfId="10" applyFont="1" applyFill="1" applyBorder="1" applyAlignment="1" applyProtection="1">
      <alignment horizontal="center"/>
      <protection locked="0"/>
    </xf>
    <xf numFmtId="0" fontId="39" fillId="21" borderId="6" xfId="10" applyFont="1" applyFill="1" applyBorder="1" applyAlignment="1" applyProtection="1">
      <alignment horizontal="center"/>
      <protection locked="0"/>
    </xf>
    <xf numFmtId="183" fontId="66" fillId="0" borderId="0" xfId="10" quotePrefix="1" applyNumberFormat="1" applyFont="1" applyAlignment="1" applyProtection="1">
      <alignment horizontal="left"/>
      <protection locked="0"/>
    </xf>
    <xf numFmtId="0" fontId="34" fillId="0" borderId="0" xfId="0" applyFont="1" applyAlignment="1">
      <alignment horizontal="center"/>
    </xf>
    <xf numFmtId="0" fontId="36" fillId="0" borderId="0" xfId="0" applyFont="1" applyAlignment="1">
      <alignment horizontal="center" wrapText="1"/>
    </xf>
    <xf numFmtId="0" fontId="36" fillId="0" borderId="0" xfId="0" applyFont="1" applyAlignment="1">
      <alignment horizontal="center"/>
    </xf>
    <xf numFmtId="0" fontId="45" fillId="0" borderId="11" xfId="0" applyFont="1" applyBorder="1" applyAlignment="1">
      <alignment horizontal="center"/>
    </xf>
    <xf numFmtId="0" fontId="45" fillId="0" borderId="12" xfId="0" applyFont="1" applyBorder="1" applyAlignment="1">
      <alignment horizontal="center"/>
    </xf>
    <xf numFmtId="0" fontId="45" fillId="0" borderId="66" xfId="0" applyFont="1" applyBorder="1" applyAlignment="1">
      <alignment horizontal="center"/>
    </xf>
    <xf numFmtId="0" fontId="24" fillId="0" borderId="11" xfId="0" applyFont="1" applyBorder="1" applyAlignment="1">
      <alignment horizontal="center"/>
    </xf>
    <xf numFmtId="0" fontId="24" fillId="0" borderId="12" xfId="0" applyFont="1" applyBorder="1" applyAlignment="1">
      <alignment horizontal="center"/>
    </xf>
    <xf numFmtId="0" fontId="24" fillId="0" borderId="66" xfId="0" applyFont="1" applyBorder="1" applyAlignment="1">
      <alignment horizontal="center"/>
    </xf>
    <xf numFmtId="0" fontId="5" fillId="0" borderId="0" xfId="0" applyFont="1" applyAlignment="1">
      <alignment horizontal="left" vertical="top" wrapText="1"/>
    </xf>
    <xf numFmtId="0" fontId="68" fillId="0" borderId="0" xfId="0" applyFont="1" applyAlignment="1">
      <alignment horizontal="center"/>
    </xf>
    <xf numFmtId="0" fontId="1" fillId="0" borderId="0" xfId="0" applyFont="1" applyAlignment="1">
      <alignment horizontal="left"/>
    </xf>
  </cellXfs>
  <cellStyles count="12">
    <cellStyle name="Comma" xfId="6" builtinId="3"/>
    <cellStyle name="Currency" xfId="1" builtinId="4"/>
    <cellStyle name="Currency 2" xfId="8"/>
    <cellStyle name="Hyperlink" xfId="9" builtinId="8"/>
    <cellStyle name="Normal" xfId="0" builtinId="0"/>
    <cellStyle name="Normal 2" xfId="5"/>
    <cellStyle name="Normal 2 2" xfId="10"/>
    <cellStyle name="Percent" xfId="2" builtinId="5"/>
    <cellStyle name="Percent 2" xfId="7"/>
    <cellStyle name="Percent 2 2" xfId="11"/>
    <cellStyle name="SAPBEXstdData" xfId="4"/>
    <cellStyle name="SAPBEXstdItem"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theme" Target="theme/theme1.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88"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ustomXml" Target="../customXml/item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6568440" y="228600"/>
    <xdr:ext cx="3528060" cy="388620"/>
    <xdr:sp macro="" textlink="" fLocksText="0">
      <xdr:nvSpPr>
        <xdr:cNvPr id="2" name="TextBox 1"/>
        <xdr:cNvSpPr txBox="1"/>
      </xdr:nvSpPr>
      <xdr:spPr>
        <a:xfrm>
          <a:off x="6568440" y="228600"/>
          <a:ext cx="3528060" cy="38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FF0000"/>
              </a:solidFill>
            </a:rPr>
            <a:t>Data entry on next page ....</a:t>
          </a:r>
        </a:p>
      </xdr:txBody>
    </xdr:sp>
    <xdr:clientData fLocksWithSheet="0" fPrintsWithSheet="0"/>
  </xdr:absoluteAnchor>
</xdr:wsDr>
</file>

<file path=xl/drawings/drawing2.xml><?xml version="1.0" encoding="utf-8"?>
<xdr:wsDr xmlns:xdr="http://schemas.openxmlformats.org/drawingml/2006/spreadsheetDrawing" xmlns:a="http://schemas.openxmlformats.org/drawingml/2006/main">
  <xdr:twoCellAnchor>
    <xdr:from>
      <xdr:col>3</xdr:col>
      <xdr:colOff>914400</xdr:colOff>
      <xdr:row>27</xdr:row>
      <xdr:rowOff>152400</xdr:rowOff>
    </xdr:from>
    <xdr:to>
      <xdr:col>5</xdr:col>
      <xdr:colOff>571500</xdr:colOff>
      <xdr:row>43</xdr:row>
      <xdr:rowOff>95250</xdr:rowOff>
    </xdr:to>
    <xdr:sp macro="" textlink="">
      <xdr:nvSpPr>
        <xdr:cNvPr id="2" name="TextBox 1"/>
        <xdr:cNvSpPr txBox="1"/>
      </xdr:nvSpPr>
      <xdr:spPr>
        <a:xfrm>
          <a:off x="2499360" y="4175760"/>
          <a:ext cx="1196340" cy="26250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Per your request. </a:t>
          </a:r>
        </a:p>
        <a:p>
          <a:r>
            <a:rPr lang="en-US" sz="1100">
              <a:solidFill>
                <a:schemeClr val="dk1"/>
              </a:solidFill>
              <a:latin typeface="+mn-lt"/>
              <a:ea typeface="+mn-ea"/>
              <a:cs typeface="+mn-cs"/>
            </a:rPr>
            <a:t>The Pretax cost of Capital as of 10/31/2011 based on a 13 month average with 10.00% after tax common equity cost rate (mid-point last allowed)  is 9.416%. -supporting documentation attached. </a:t>
          </a:r>
        </a:p>
        <a:p>
          <a:r>
            <a:rPr lang="en-US" sz="1100">
              <a:solidFill>
                <a:schemeClr val="dk1"/>
              </a:solidFill>
              <a:latin typeface="+mn-lt"/>
              <a:ea typeface="+mn-ea"/>
              <a:cs typeface="+mn-cs"/>
            </a:rPr>
            <a:t> </a:t>
          </a:r>
        </a:p>
        <a:p>
          <a:r>
            <a:rPr lang="en-US" sz="1100">
              <a:solidFill>
                <a:schemeClr val="dk1"/>
              </a:solidFill>
              <a:latin typeface="+mn-lt"/>
              <a:ea typeface="+mn-ea"/>
              <a:cs typeface="+mn-cs"/>
            </a:rPr>
            <a:t>The current approved annual depreciation rate of 4.0% for both accounts 371 and 373 have not changed.</a:t>
          </a:r>
        </a:p>
        <a:p>
          <a:r>
            <a:rPr lang="en-US" sz="1100">
              <a:solidFill>
                <a:schemeClr val="dk1"/>
              </a:solidFill>
              <a:latin typeface="+mn-lt"/>
              <a:ea typeface="+mn-ea"/>
              <a:cs typeface="+mn-cs"/>
            </a:rPr>
            <a:t> </a:t>
          </a:r>
        </a:p>
        <a:p>
          <a:r>
            <a:rPr lang="en-US" sz="1100">
              <a:solidFill>
                <a:schemeClr val="dk1"/>
              </a:solidFill>
              <a:latin typeface="+mn-lt"/>
              <a:ea typeface="+mn-ea"/>
              <a:cs typeface="+mn-cs"/>
            </a:rPr>
            <a:t>Future update requests should be directed to Elizabeth Fuentes.</a:t>
          </a:r>
        </a:p>
        <a:p>
          <a:r>
            <a:rPr lang="en-US" sz="1100">
              <a:solidFill>
                <a:schemeClr val="dk1"/>
              </a:solidFill>
              <a:latin typeface="+mn-lt"/>
              <a:ea typeface="+mn-ea"/>
              <a:cs typeface="+mn-cs"/>
            </a:rPr>
            <a:t> </a:t>
          </a:r>
        </a:p>
        <a:p>
          <a:r>
            <a:rPr lang="en-US" sz="1100" u="sng">
              <a:solidFill>
                <a:schemeClr val="dk1"/>
              </a:solidFill>
              <a:latin typeface="+mn-lt"/>
              <a:ea typeface="+mn-ea"/>
              <a:cs typeface="+mn-cs"/>
              <a:hlinkClick xmlns:r="http://schemas.openxmlformats.org/officeDocument/2006/relationships" r:id=""/>
            </a:rPr>
            <a:t>Don.Moss@FPL.com</a:t>
          </a:r>
          <a:endParaRPr lang="en-US" sz="1100">
            <a:solidFill>
              <a:schemeClr val="dk1"/>
            </a:solidFill>
            <a:latin typeface="+mn-lt"/>
            <a:ea typeface="+mn-ea"/>
            <a:cs typeface="+mn-cs"/>
          </a:endParaRPr>
        </a:p>
        <a:p>
          <a:r>
            <a:rPr lang="en-US" sz="1100">
              <a:solidFill>
                <a:schemeClr val="dk1"/>
              </a:solidFill>
              <a:latin typeface="+mn-lt"/>
              <a:ea typeface="+mn-ea"/>
              <a:cs typeface="+mn-cs"/>
            </a:rPr>
            <a:t>Regulatory Accounting ACG/GO</a:t>
          </a:r>
        </a:p>
        <a:p>
          <a:r>
            <a:rPr lang="en-US" sz="1100">
              <a:solidFill>
                <a:schemeClr val="dk1"/>
              </a:solidFill>
              <a:latin typeface="+mn-lt"/>
              <a:ea typeface="+mn-ea"/>
              <a:cs typeface="+mn-cs"/>
            </a:rPr>
            <a:t>305 552-4330</a:t>
          </a:r>
        </a:p>
        <a:p>
          <a:endParaRPr lang="en-US" sz="1100"/>
        </a:p>
      </xdr:txBody>
    </xdr:sp>
    <xdr:clientData/>
  </xdr:twoCellAnchor>
  <xdr:twoCellAnchor>
    <xdr:from>
      <xdr:col>4</xdr:col>
      <xdr:colOff>695325</xdr:colOff>
      <xdr:row>10</xdr:row>
      <xdr:rowOff>0</xdr:rowOff>
    </xdr:from>
    <xdr:to>
      <xdr:col>6</xdr:col>
      <xdr:colOff>276225</xdr:colOff>
      <xdr:row>22</xdr:row>
      <xdr:rowOff>190500</xdr:rowOff>
    </xdr:to>
    <xdr:sp macro="" textlink="">
      <xdr:nvSpPr>
        <xdr:cNvPr id="3" name="TextBox 2"/>
        <xdr:cNvSpPr txBox="1"/>
      </xdr:nvSpPr>
      <xdr:spPr>
        <a:xfrm>
          <a:off x="3126105" y="1173480"/>
          <a:ext cx="899160" cy="2179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Joe –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Both Accounts 371 and 373 have an annual depreciation rate of 4%.</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JP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From:</a:t>
          </a:r>
          <a:r>
            <a:rPr lang="en-US" sz="1100">
              <a:solidFill>
                <a:schemeClr val="dk1"/>
              </a:solidFill>
              <a:effectLst/>
              <a:latin typeface="+mn-lt"/>
              <a:ea typeface="+mn-ea"/>
              <a:cs typeface="+mn-cs"/>
            </a:rPr>
            <a:t> Hancock, Joe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Sent:</a:t>
          </a:r>
          <a:r>
            <a:rPr lang="en-US" sz="1100">
              <a:solidFill>
                <a:schemeClr val="dk1"/>
              </a:solidFill>
              <a:effectLst/>
              <a:latin typeface="+mn-lt"/>
              <a:ea typeface="+mn-ea"/>
              <a:cs typeface="+mn-cs"/>
            </a:rPr>
            <a:t> Wednesday, 04 November, 2015 9:51 AM</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To:</a:t>
          </a:r>
          <a:r>
            <a:rPr lang="en-US" sz="1100">
              <a:solidFill>
                <a:schemeClr val="dk1"/>
              </a:solidFill>
              <a:effectLst/>
              <a:latin typeface="+mn-lt"/>
              <a:ea typeface="+mn-ea"/>
              <a:cs typeface="+mn-cs"/>
            </a:rPr>
            <a:t> Zabala, Jon-Paul</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Subject:</a:t>
          </a:r>
          <a:r>
            <a:rPr lang="en-US" sz="1100">
              <a:solidFill>
                <a:schemeClr val="dk1"/>
              </a:solidFill>
              <a:effectLst/>
              <a:latin typeface="+mn-lt"/>
              <a:ea typeface="+mn-ea"/>
              <a:cs typeface="+mn-cs"/>
            </a:rPr>
            <a:t> 2016 COS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Jon-Paul,</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I’m told that you may be able to help me or tell me who can. I am working on the 2016 rate case and need:</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current approved depreciation rate for account 373 (Street Lighting and Signal Systems)"</a:t>
          </a:r>
        </a:p>
        <a:p>
          <a:r>
            <a:rPr lang="en-US" sz="1100">
              <a:solidFill>
                <a:schemeClr val="dk1"/>
              </a:solidFill>
              <a:effectLst/>
              <a:latin typeface="+mn-lt"/>
              <a:ea typeface="+mn-ea"/>
              <a:cs typeface="+mn-cs"/>
            </a:rPr>
            <a:t>and </a:t>
          </a:r>
        </a:p>
        <a:p>
          <a:r>
            <a:rPr lang="en-US" sz="1100">
              <a:solidFill>
                <a:schemeClr val="dk1"/>
              </a:solidFill>
              <a:effectLst/>
              <a:latin typeface="+mn-lt"/>
              <a:ea typeface="+mn-ea"/>
              <a:cs typeface="+mn-cs"/>
            </a:rPr>
            <a:t>“Current approved depreciation rate for account 371 (Installation on Customer Premises)“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thanks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joe</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403860</xdr:colOff>
      <xdr:row>2</xdr:row>
      <xdr:rowOff>53340</xdr:rowOff>
    </xdr:from>
    <xdr:ext cx="4168501" cy="2903472"/>
    <xdr:pic>
      <xdr:nvPicPr>
        <xdr:cNvPr id="2" name="Picture 1"/>
        <xdr:cNvPicPr>
          <a:picLocks noChangeAspect="1"/>
        </xdr:cNvPicPr>
      </xdr:nvPicPr>
      <xdr:blipFill>
        <a:blip xmlns:r="http://schemas.openxmlformats.org/officeDocument/2006/relationships" r:embed="rId1"/>
        <a:stretch>
          <a:fillRect/>
        </a:stretch>
      </xdr:blipFill>
      <xdr:spPr>
        <a:xfrm>
          <a:off x="2842260" y="53340"/>
          <a:ext cx="4168501" cy="290347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eweb.fpl.com/bunit/finance/FunctGroups/BgtFcst/Fin_Mod_Resources.shtml" TargetMode="External"/><Relationship Id="rId1" Type="http://schemas.openxmlformats.org/officeDocument/2006/relationships/hyperlink" Target="http://eweb.fpl.com/bunit/finance/FunctGroups/BgtFcst/Fin_Mod_Resources.shtml" TargetMode="External"/><Relationship Id="rId4" Type="http://schemas.openxmlformats.org/officeDocument/2006/relationships/drawing" Target="../drawings/drawing2.xml"/></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73.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L98"/>
  <sheetViews>
    <sheetView tabSelected="1" zoomScaleNormal="75" workbookViewId="0">
      <selection sqref="A1:A2"/>
    </sheetView>
  </sheetViews>
  <sheetFormatPr defaultRowHeight="15" customHeight="1" x14ac:dyDescent="0.25"/>
  <cols>
    <col min="1" max="1" width="11.6640625" style="47" bestFit="1" customWidth="1"/>
    <col min="2" max="2" width="8.6640625" style="118" customWidth="1"/>
    <col min="3" max="3" width="9.5546875" style="47" customWidth="1"/>
    <col min="4" max="4" width="9.88671875" style="47" bestFit="1" customWidth="1"/>
    <col min="5" max="5" width="10.109375" style="47" customWidth="1"/>
    <col min="6" max="6" width="12.5546875" style="47" bestFit="1" customWidth="1"/>
    <col min="7" max="7" width="12.109375" style="47" customWidth="1"/>
    <col min="8" max="8" width="10.44140625" style="47" customWidth="1"/>
    <col min="9" max="9" width="10.109375" style="47" customWidth="1"/>
    <col min="10" max="10" width="9.5546875" customWidth="1"/>
    <col min="11" max="11" width="10.33203125" customWidth="1"/>
  </cols>
  <sheetData>
    <row r="1" spans="1:12" ht="15" customHeight="1" x14ac:dyDescent="0.25">
      <c r="A1" s="73" t="s">
        <v>922</v>
      </c>
    </row>
    <row r="2" spans="1:12" ht="15" customHeight="1" x14ac:dyDescent="0.25">
      <c r="A2" s="73" t="s">
        <v>923</v>
      </c>
    </row>
    <row r="4" spans="1:12" ht="15" customHeight="1" x14ac:dyDescent="0.3">
      <c r="A4" s="2" t="str">
        <f>'Data Entry'!A4</f>
        <v>2016 Cost of Service</v>
      </c>
    </row>
    <row r="6" spans="1:12" ht="18" customHeight="1" x14ac:dyDescent="0.4">
      <c r="A6" s="722" t="s">
        <v>506</v>
      </c>
      <c r="B6" s="722"/>
      <c r="C6" s="722"/>
      <c r="D6" s="722"/>
      <c r="E6" s="722"/>
      <c r="F6" s="722"/>
      <c r="G6" s="722"/>
      <c r="H6" s="722"/>
      <c r="I6" s="722"/>
      <c r="J6" s="722"/>
      <c r="K6" s="722"/>
    </row>
    <row r="7" spans="1:12" ht="15" customHeight="1" x14ac:dyDescent="0.4">
      <c r="A7" s="722" t="s">
        <v>507</v>
      </c>
      <c r="B7" s="722"/>
      <c r="C7" s="722"/>
      <c r="D7" s="722"/>
      <c r="E7" s="722"/>
      <c r="F7" s="722"/>
      <c r="G7" s="722"/>
      <c r="H7" s="722"/>
      <c r="I7" s="722"/>
      <c r="J7" s="722"/>
      <c r="K7" s="722"/>
    </row>
    <row r="8" spans="1:12" ht="15" customHeight="1" x14ac:dyDescent="0.3">
      <c r="A8" s="772"/>
      <c r="B8" s="152"/>
      <c r="C8" s="152"/>
      <c r="D8" s="152"/>
      <c r="E8" s="152"/>
      <c r="F8" s="152"/>
      <c r="G8" s="152"/>
      <c r="H8" s="152"/>
      <c r="I8" s="152"/>
      <c r="J8" s="152"/>
    </row>
    <row r="9" spans="1:12" ht="15" customHeight="1" x14ac:dyDescent="0.3">
      <c r="A9" s="772"/>
      <c r="B9" s="152"/>
      <c r="C9" s="152"/>
      <c r="D9" s="152"/>
      <c r="E9" s="152"/>
      <c r="F9" s="152"/>
      <c r="G9" s="152"/>
      <c r="H9" s="152"/>
      <c r="I9" s="152"/>
    </row>
    <row r="10" spans="1:12" ht="15" customHeight="1" thickBot="1" x14ac:dyDescent="0.35">
      <c r="A10" s="723" t="s">
        <v>529</v>
      </c>
      <c r="B10" s="723"/>
      <c r="C10" s="723"/>
      <c r="D10" s="723"/>
      <c r="E10" s="723"/>
      <c r="F10" s="723"/>
      <c r="G10" s="723"/>
      <c r="H10" s="723"/>
      <c r="I10" s="723"/>
      <c r="J10" s="723"/>
      <c r="K10" s="723"/>
    </row>
    <row r="11" spans="1:12" s="144" customFormat="1" ht="15" customHeight="1" thickBot="1" x14ac:dyDescent="0.3">
      <c r="A11" s="138" t="s">
        <v>414</v>
      </c>
      <c r="B11" s="175" t="s">
        <v>446</v>
      </c>
      <c r="C11" s="139" t="s">
        <v>406</v>
      </c>
      <c r="D11" s="142" t="s">
        <v>129</v>
      </c>
      <c r="E11" s="141" t="s">
        <v>407</v>
      </c>
      <c r="F11" s="142" t="s">
        <v>408</v>
      </c>
      <c r="G11" s="141" t="s">
        <v>168</v>
      </c>
      <c r="H11" s="140" t="s">
        <v>169</v>
      </c>
      <c r="I11" s="143" t="s">
        <v>278</v>
      </c>
      <c r="J11" s="322" t="s">
        <v>571</v>
      </c>
      <c r="K11" s="228" t="s">
        <v>503</v>
      </c>
    </row>
    <row r="12" spans="1:12" ht="15" customHeight="1" x14ac:dyDescent="0.25">
      <c r="A12" s="137" t="s">
        <v>442</v>
      </c>
      <c r="B12" s="183">
        <v>5800</v>
      </c>
      <c r="C12" s="126">
        <v>6.27</v>
      </c>
      <c r="D12" s="334">
        <f>+'70wOH5'!F37</f>
        <v>6.5200000000000005</v>
      </c>
      <c r="E12" s="335">
        <f>+'70wOH5'!G37</f>
        <v>6.96</v>
      </c>
      <c r="F12" s="334">
        <f>+'70wOH5'!H37</f>
        <v>6.9799999999999995</v>
      </c>
      <c r="G12" s="335">
        <f>+'70wUG6'!F37</f>
        <v>5.9899999999999993</v>
      </c>
      <c r="H12" s="335">
        <f>+'70wUG6'!G37</f>
        <v>6.0200000000000005</v>
      </c>
      <c r="I12" s="335">
        <f>+'70wDS7'!F37</f>
        <v>8.1600000000000019</v>
      </c>
      <c r="J12" s="524">
        <f>SUM(D12:I12)/6</f>
        <v>6.7716666666666674</v>
      </c>
      <c r="K12" s="527">
        <f>(J12-C12)/C12</f>
        <v>8.0010632642211782E-2</v>
      </c>
      <c r="L12" s="256"/>
    </row>
    <row r="13" spans="1:12" ht="15" customHeight="1" x14ac:dyDescent="0.25">
      <c r="A13" s="134" t="s">
        <v>405</v>
      </c>
      <c r="B13" s="178">
        <v>9500</v>
      </c>
      <c r="C13" s="125">
        <v>6.67</v>
      </c>
      <c r="D13" s="336">
        <f>+'100wOH8'!F37</f>
        <v>6.8</v>
      </c>
      <c r="E13" s="337">
        <f>+'100wOH8'!G37</f>
        <v>7.35</v>
      </c>
      <c r="F13" s="336">
        <f>+'100wOH8'!H37</f>
        <v>7.38</v>
      </c>
      <c r="G13" s="337">
        <f>+'100wUG9'!F37</f>
        <v>6.3</v>
      </c>
      <c r="H13" s="337">
        <f>+'100wUG9'!G37</f>
        <v>6.2299999999999995</v>
      </c>
      <c r="I13" s="337" t="s">
        <v>409</v>
      </c>
      <c r="J13" s="525">
        <f>SUM(D13:H13)/5</f>
        <v>6.8119999999999994</v>
      </c>
      <c r="K13" s="528">
        <f t="shared" ref="K13:K18" si="0">(J13-C13)/C13</f>
        <v>2.1289355322338749E-2</v>
      </c>
      <c r="L13" s="256"/>
    </row>
    <row r="14" spans="1:12" ht="15" customHeight="1" x14ac:dyDescent="0.25">
      <c r="A14" s="133" t="s">
        <v>443</v>
      </c>
      <c r="B14" s="179">
        <v>16000</v>
      </c>
      <c r="C14" s="126">
        <v>7.32</v>
      </c>
      <c r="D14" s="334">
        <f>+'150wOH10'!F37</f>
        <v>7.4499999999999993</v>
      </c>
      <c r="E14" s="335">
        <f>+'150wOH10'!G37</f>
        <v>7.9</v>
      </c>
      <c r="F14" s="334">
        <f>+'150wOH10'!H37</f>
        <v>7.92</v>
      </c>
      <c r="G14" s="335">
        <f>+'150wUG11'!F37</f>
        <v>6.73</v>
      </c>
      <c r="H14" s="335">
        <f>+'150wUG11'!G37</f>
        <v>6.74</v>
      </c>
      <c r="I14" s="338" t="s">
        <v>409</v>
      </c>
      <c r="J14" s="526">
        <f>SUM(D14:H14)/5</f>
        <v>7.3480000000000008</v>
      </c>
      <c r="K14" s="529">
        <f t="shared" si="0"/>
        <v>3.8251366120219217E-3</v>
      </c>
      <c r="L14" s="256"/>
    </row>
    <row r="15" spans="1:12" ht="15" customHeight="1" x14ac:dyDescent="0.25">
      <c r="A15" s="134" t="s">
        <v>444</v>
      </c>
      <c r="B15" s="178">
        <v>22000</v>
      </c>
      <c r="C15" s="125">
        <v>10.57</v>
      </c>
      <c r="D15" s="339" t="s">
        <v>409</v>
      </c>
      <c r="E15" s="337">
        <f>+'200wOH13'!F37</f>
        <v>11.33</v>
      </c>
      <c r="F15" s="336">
        <f>+'200wOH13'!G37</f>
        <v>11.32</v>
      </c>
      <c r="G15" s="340" t="s">
        <v>409</v>
      </c>
      <c r="H15" s="340" t="s">
        <v>409</v>
      </c>
      <c r="I15" s="337">
        <f>+'200wOH13'!H37</f>
        <v>10.210000000000001</v>
      </c>
      <c r="J15" s="525">
        <f>SUM(E15:I15)/3</f>
        <v>10.953333333333333</v>
      </c>
      <c r="K15" s="528">
        <f t="shared" si="0"/>
        <v>3.6266162093976616E-2</v>
      </c>
      <c r="L15" s="256"/>
    </row>
    <row r="16" spans="1:12" ht="15" customHeight="1" thickBot="1" x14ac:dyDescent="0.3">
      <c r="A16" s="134" t="s">
        <v>445</v>
      </c>
      <c r="B16" s="179">
        <v>50000</v>
      </c>
      <c r="C16" s="125">
        <v>12.77</v>
      </c>
      <c r="D16" s="339" t="s">
        <v>409</v>
      </c>
      <c r="E16" s="337">
        <f>+'400wOH15'!F37</f>
        <v>13.66</v>
      </c>
      <c r="F16" s="336">
        <f>+'400wOH15'!G37</f>
        <v>13.510000000000002</v>
      </c>
      <c r="G16" s="340" t="s">
        <v>409</v>
      </c>
      <c r="H16" s="340" t="s">
        <v>409</v>
      </c>
      <c r="I16" s="337">
        <f>+'400wOH15'!H37</f>
        <v>12.45</v>
      </c>
      <c r="J16" s="525">
        <f>SUM(E16:I16)/3</f>
        <v>13.206666666666669</v>
      </c>
      <c r="K16" s="530">
        <f t="shared" si="0"/>
        <v>3.4194727225267757E-2</v>
      </c>
      <c r="L16" s="256"/>
    </row>
    <row r="17" spans="1:12" ht="15" customHeight="1" x14ac:dyDescent="0.25">
      <c r="A17" s="134" t="s">
        <v>453</v>
      </c>
      <c r="B17" s="179">
        <v>27500</v>
      </c>
      <c r="C17" s="125">
        <v>11.91</v>
      </c>
      <c r="D17" s="339" t="s">
        <v>409</v>
      </c>
      <c r="E17" s="337">
        <f>+'250wOH14'!F37</f>
        <v>12.69</v>
      </c>
      <c r="F17" s="339" t="s">
        <v>409</v>
      </c>
      <c r="G17" s="337">
        <f>+'250wOH14'!G37</f>
        <v>10.11</v>
      </c>
      <c r="H17" s="340" t="s">
        <v>409</v>
      </c>
      <c r="I17" s="340" t="s">
        <v>409</v>
      </c>
      <c r="J17" s="356">
        <f>SUM(E17:G17)/2</f>
        <v>11.399999999999999</v>
      </c>
      <c r="K17" s="184">
        <f t="shared" si="0"/>
        <v>-4.2821158690176456E-2</v>
      </c>
      <c r="L17" s="256"/>
    </row>
    <row r="18" spans="1:12" ht="15" customHeight="1" thickBot="1" x14ac:dyDescent="0.3">
      <c r="A18" s="135" t="s">
        <v>452</v>
      </c>
      <c r="B18" s="181">
        <v>140000</v>
      </c>
      <c r="C18" s="131">
        <v>24.91</v>
      </c>
      <c r="D18" s="341" t="s">
        <v>409</v>
      </c>
      <c r="E18" s="342">
        <f>+'1000wOH16'!F37</f>
        <v>27.05</v>
      </c>
      <c r="F18" s="341" t="s">
        <v>409</v>
      </c>
      <c r="G18" s="343" t="s">
        <v>409</v>
      </c>
      <c r="H18" s="343" t="s">
        <v>409</v>
      </c>
      <c r="I18" s="343" t="s">
        <v>409</v>
      </c>
      <c r="J18" s="358">
        <f>E18</f>
        <v>27.05</v>
      </c>
      <c r="K18" s="182">
        <f t="shared" si="0"/>
        <v>8.5909273384183082E-2</v>
      </c>
      <c r="L18" s="256"/>
    </row>
    <row r="19" spans="1:12" ht="15" customHeight="1" x14ac:dyDescent="0.25">
      <c r="A19" s="119"/>
      <c r="B19" s="224"/>
      <c r="C19" s="150"/>
      <c r="D19" s="119"/>
      <c r="E19" s="120"/>
      <c r="F19" s="119"/>
      <c r="G19" s="119"/>
      <c r="H19" s="119"/>
      <c r="I19" s="119"/>
      <c r="J19" s="120"/>
      <c r="K19" s="192"/>
    </row>
    <row r="21" spans="1:12" ht="15" customHeight="1" thickBot="1" x14ac:dyDescent="0.35">
      <c r="A21" s="723" t="s">
        <v>2</v>
      </c>
      <c r="B21" s="723"/>
      <c r="C21" s="723"/>
      <c r="D21" s="723"/>
      <c r="E21" s="723"/>
      <c r="F21" s="723"/>
      <c r="G21" s="723"/>
      <c r="H21" s="723"/>
      <c r="I21" s="723"/>
      <c r="J21" s="723"/>
    </row>
    <row r="22" spans="1:12" s="144" customFormat="1" ht="15" customHeight="1" thickBot="1" x14ac:dyDescent="0.3">
      <c r="A22" s="145" t="s">
        <v>415</v>
      </c>
      <c r="B22" s="185" t="s">
        <v>406</v>
      </c>
      <c r="C22" s="140">
        <v>20</v>
      </c>
      <c r="D22" s="141">
        <v>30</v>
      </c>
      <c r="E22" s="141">
        <v>35</v>
      </c>
      <c r="F22" s="140">
        <v>40</v>
      </c>
      <c r="G22" s="141">
        <v>45</v>
      </c>
      <c r="H22" s="141">
        <v>50</v>
      </c>
      <c r="I22" s="322" t="s">
        <v>571</v>
      </c>
      <c r="J22" s="229" t="s">
        <v>503</v>
      </c>
    </row>
    <row r="23" spans="1:12" ht="15" customHeight="1" x14ac:dyDescent="0.25">
      <c r="A23" s="133" t="s">
        <v>410</v>
      </c>
      <c r="B23" s="382">
        <v>4.54</v>
      </c>
      <c r="C23" s="345" t="s">
        <v>409</v>
      </c>
      <c r="D23" s="335">
        <f>+'WoodPoles 23'!F23</f>
        <v>18.049999999999997</v>
      </c>
      <c r="E23" s="334">
        <f>+'WoodPoles 23'!G23</f>
        <v>19.93</v>
      </c>
      <c r="F23" s="335">
        <f>+'WoodPoles 23'!H23</f>
        <v>20.43</v>
      </c>
      <c r="G23" s="334">
        <f>+'WoodPoles 23'!I23</f>
        <v>22.79</v>
      </c>
      <c r="H23" s="335">
        <f>'WoodPoles 23'!$J$23</f>
        <v>26.42</v>
      </c>
      <c r="I23" s="357">
        <f>SUM(D23:H23)/5</f>
        <v>21.523999999999997</v>
      </c>
      <c r="J23" s="180">
        <f>(I23-B23)/B23</f>
        <v>3.7409691629955941</v>
      </c>
    </row>
    <row r="24" spans="1:12" ht="15" customHeight="1" x14ac:dyDescent="0.25">
      <c r="A24" s="385" t="s">
        <v>412</v>
      </c>
      <c r="B24" s="383">
        <v>6.23</v>
      </c>
      <c r="C24" s="339" t="s">
        <v>409</v>
      </c>
      <c r="D24" s="337">
        <f>+'ConcPoles OH 24'!F23</f>
        <v>22.630000000000003</v>
      </c>
      <c r="E24" s="336">
        <f>+'ConcPoles OH 24'!G23</f>
        <v>23.32</v>
      </c>
      <c r="F24" s="337">
        <f>+'ConcPoles OH 24'!H23</f>
        <v>29.36</v>
      </c>
      <c r="G24" s="336">
        <f>'ConcPoles OH 24'!$I$23</f>
        <v>30.729999999999997</v>
      </c>
      <c r="H24" s="337">
        <f>'ConcPoles OH 24'!$J$23</f>
        <v>32.99</v>
      </c>
      <c r="I24" s="356">
        <f>SUM(D24:H24)/5</f>
        <v>27.806000000000001</v>
      </c>
      <c r="J24" s="187">
        <f>(I24-B24)/B24</f>
        <v>3.4632423756019262</v>
      </c>
    </row>
    <row r="25" spans="1:12" ht="15" customHeight="1" x14ac:dyDescent="0.25">
      <c r="A25" s="385" t="s">
        <v>413</v>
      </c>
      <c r="B25" s="336">
        <f>B24</f>
        <v>6.23</v>
      </c>
      <c r="C25" s="336">
        <f>+'ConcPoles UG 24'!F24</f>
        <v>11.8</v>
      </c>
      <c r="D25" s="337">
        <f>+'ConcPoles UG 24'!G24</f>
        <v>14.57</v>
      </c>
      <c r="E25" s="336">
        <f>+'ConcPoles UG 24'!H24</f>
        <v>15.32</v>
      </c>
      <c r="F25" s="337">
        <f>+'ConcPoles UG 225'!F24</f>
        <v>22.049999999999997</v>
      </c>
      <c r="G25" s="336">
        <f>+'ConcPoles UG 225'!G24</f>
        <v>23.49</v>
      </c>
      <c r="H25" s="337">
        <f>+'ConcPoles UG 225'!H24</f>
        <v>25.81</v>
      </c>
      <c r="I25" s="356">
        <f>SUM(C25:H25)/6</f>
        <v>18.84</v>
      </c>
      <c r="J25" s="187">
        <f>(I25-B25)/B25</f>
        <v>2.0240770465489564</v>
      </c>
    </row>
    <row r="26" spans="1:12" ht="15" customHeight="1" thickBot="1" x14ac:dyDescent="0.3">
      <c r="A26" s="135" t="s">
        <v>411</v>
      </c>
      <c r="B26" s="384">
        <v>7.37</v>
      </c>
      <c r="C26" s="346">
        <f>+FGpoles!F24</f>
        <v>8.7200000000000006</v>
      </c>
      <c r="D26" s="343" t="s">
        <v>409</v>
      </c>
      <c r="E26" s="341" t="s">
        <v>409</v>
      </c>
      <c r="F26" s="343" t="s">
        <v>409</v>
      </c>
      <c r="G26" s="341" t="s">
        <v>409</v>
      </c>
      <c r="H26" s="343" t="s">
        <v>409</v>
      </c>
      <c r="I26" s="359">
        <f>$C$26</f>
        <v>8.7200000000000006</v>
      </c>
      <c r="J26" s="182">
        <f>(I26-B26)/B26</f>
        <v>0.18317503392130266</v>
      </c>
      <c r="K26" s="719">
        <f>AVERAGE(J23:J26)</f>
        <v>2.3528659047669449</v>
      </c>
    </row>
    <row r="28" spans="1:12" ht="15" customHeight="1" thickBot="1" x14ac:dyDescent="0.35">
      <c r="A28" s="723" t="s">
        <v>417</v>
      </c>
      <c r="B28" s="723"/>
      <c r="C28" s="723"/>
      <c r="D28" s="723"/>
      <c r="E28" s="723"/>
      <c r="F28" s="723"/>
    </row>
    <row r="29" spans="1:12" ht="15" customHeight="1" thickBot="1" x14ac:dyDescent="0.3">
      <c r="A29" s="201"/>
      <c r="B29" s="202"/>
      <c r="C29" s="218"/>
      <c r="D29" s="217" t="s">
        <v>432</v>
      </c>
      <c r="E29" s="323" t="s">
        <v>776</v>
      </c>
      <c r="F29" s="229" t="s">
        <v>503</v>
      </c>
      <c r="I29" s="73"/>
    </row>
    <row r="30" spans="1:12" ht="15" customHeight="1" x14ac:dyDescent="0.25">
      <c r="A30" s="212" t="s">
        <v>431</v>
      </c>
      <c r="B30" s="190"/>
      <c r="C30" s="219"/>
      <c r="D30" s="428">
        <v>3.56E-2</v>
      </c>
      <c r="E30" s="426">
        <f>+UG_Guy26!H39</f>
        <v>8.8571104941399928E-2</v>
      </c>
      <c r="F30" s="184">
        <f>(E30-D30)/D30</f>
        <v>1.48795238599438</v>
      </c>
    </row>
    <row r="31" spans="1:12" ht="15" customHeight="1" thickBot="1" x14ac:dyDescent="0.3">
      <c r="A31" s="147" t="s">
        <v>418</v>
      </c>
      <c r="B31" s="189"/>
      <c r="C31" s="220"/>
      <c r="D31" s="429">
        <v>8.7099999999999997E-2</v>
      </c>
      <c r="E31" s="427">
        <f>+UG_Guy26!H49</f>
        <v>0.22556356994207932</v>
      </c>
      <c r="F31" s="182">
        <f>(E31-D31)/D31</f>
        <v>1.5897080360743894</v>
      </c>
      <c r="G31" s="720">
        <f>AVERAGE(F30:F31)</f>
        <v>1.5388302110343846</v>
      </c>
    </row>
    <row r="33" spans="1:12" ht="15" customHeight="1" thickBot="1" x14ac:dyDescent="0.3"/>
    <row r="34" spans="1:12" ht="15" customHeight="1" thickBot="1" x14ac:dyDescent="0.3">
      <c r="A34" s="160" t="s">
        <v>451</v>
      </c>
      <c r="F34" s="729" t="s">
        <v>813</v>
      </c>
      <c r="G34" s="730"/>
      <c r="H34" s="731"/>
    </row>
    <row r="35" spans="1:12" ht="15" customHeight="1" thickBot="1" x14ac:dyDescent="0.35">
      <c r="A35" s="724" t="s">
        <v>527</v>
      </c>
      <c r="B35" s="724"/>
      <c r="C35" s="724"/>
      <c r="D35" s="724"/>
      <c r="E35" s="724"/>
      <c r="F35" s="724"/>
      <c r="G35" s="724"/>
      <c r="H35" s="724"/>
      <c r="I35" s="724"/>
      <c r="J35" s="724"/>
      <c r="K35" s="724"/>
    </row>
    <row r="36" spans="1:12" ht="15" customHeight="1" thickBot="1" x14ac:dyDescent="0.3">
      <c r="A36" s="138" t="s">
        <v>414</v>
      </c>
      <c r="B36" s="175" t="s">
        <v>446</v>
      </c>
      <c r="C36" s="139" t="s">
        <v>406</v>
      </c>
      <c r="D36" s="142" t="s">
        <v>129</v>
      </c>
      <c r="E36" s="141" t="s">
        <v>407</v>
      </c>
      <c r="F36" s="142" t="s">
        <v>408</v>
      </c>
      <c r="G36" s="141" t="s">
        <v>168</v>
      </c>
      <c r="H36" s="140" t="s">
        <v>169</v>
      </c>
      <c r="I36" s="143" t="s">
        <v>278</v>
      </c>
      <c r="J36" s="322" t="s">
        <v>571</v>
      </c>
      <c r="K36" s="228" t="s">
        <v>503</v>
      </c>
    </row>
    <row r="37" spans="1:12" ht="15" customHeight="1" x14ac:dyDescent="0.25">
      <c r="A37" s="137" t="s">
        <v>442</v>
      </c>
      <c r="B37" s="183">
        <v>5800</v>
      </c>
      <c r="C37" s="445">
        <v>3.74</v>
      </c>
      <c r="D37" s="334">
        <f>+'70wOH5'!F33</f>
        <v>3.04</v>
      </c>
      <c r="E37" s="335">
        <f>+'70wOH5'!G33</f>
        <v>3.38</v>
      </c>
      <c r="F37" s="334">
        <f>+'70wOH5'!H33</f>
        <v>3.4</v>
      </c>
      <c r="G37" s="335">
        <f>+'70wUG6'!F33</f>
        <v>2.63</v>
      </c>
      <c r="H37" s="335">
        <f>+'70wUG6'!G33</f>
        <v>2.65</v>
      </c>
      <c r="I37" s="335">
        <f>+'70wDS7'!F33</f>
        <v>4.32</v>
      </c>
      <c r="J37" s="355">
        <f>SUM(D37:I37)/6</f>
        <v>3.2366666666666668</v>
      </c>
      <c r="K37" s="466">
        <f>(J37-C37)/C37</f>
        <v>-0.13458110516934046</v>
      </c>
    </row>
    <row r="38" spans="1:12" ht="15" customHeight="1" x14ac:dyDescent="0.25">
      <c r="A38" s="134" t="s">
        <v>405</v>
      </c>
      <c r="B38" s="178">
        <v>9500</v>
      </c>
      <c r="C38" s="446">
        <v>3.81</v>
      </c>
      <c r="D38" s="336">
        <f>+'100wOH8'!F33</f>
        <v>3.04</v>
      </c>
      <c r="E38" s="337">
        <f>+'100wOH8'!G33</f>
        <v>3.47</v>
      </c>
      <c r="F38" s="336">
        <f>+'100wOH8'!H33</f>
        <v>3.49</v>
      </c>
      <c r="G38" s="337">
        <f>+'100wUG9'!F33</f>
        <v>2.65</v>
      </c>
      <c r="H38" s="337">
        <f>+'100wUG9'!G33</f>
        <v>2.6</v>
      </c>
      <c r="I38" s="337" t="s">
        <v>409</v>
      </c>
      <c r="J38" s="356">
        <f>SUM(D38:H38)/5</f>
        <v>3.05</v>
      </c>
      <c r="K38" s="467">
        <f t="shared" ref="K38:K43" si="1">(J38-C38)/C38</f>
        <v>-0.19947506561679795</v>
      </c>
    </row>
    <row r="39" spans="1:12" ht="15" customHeight="1" x14ac:dyDescent="0.25">
      <c r="A39" s="133" t="s">
        <v>443</v>
      </c>
      <c r="B39" s="179">
        <v>16000</v>
      </c>
      <c r="C39" s="445">
        <v>3.93</v>
      </c>
      <c r="D39" s="334">
        <f>+'150wOH10'!F33</f>
        <v>3.15</v>
      </c>
      <c r="E39" s="335">
        <f>+'150wOH10'!G33</f>
        <v>3.5</v>
      </c>
      <c r="F39" s="334">
        <f>+'150wOH10'!H33</f>
        <v>3.52</v>
      </c>
      <c r="G39" s="335">
        <f>+'150wUG11'!F33</f>
        <v>2.59</v>
      </c>
      <c r="H39" s="335">
        <f>+'150wUG11'!G33</f>
        <v>2.6</v>
      </c>
      <c r="I39" s="338" t="s">
        <v>409</v>
      </c>
      <c r="J39" s="357">
        <f>SUM(D39:H39)/5</f>
        <v>3.0720000000000001</v>
      </c>
      <c r="K39" s="369">
        <f t="shared" si="1"/>
        <v>-0.21832061068702291</v>
      </c>
    </row>
    <row r="40" spans="1:12" ht="15" customHeight="1" x14ac:dyDescent="0.25">
      <c r="A40" s="134" t="s">
        <v>444</v>
      </c>
      <c r="B40" s="178">
        <v>22000</v>
      </c>
      <c r="C40" s="446">
        <v>5.95</v>
      </c>
      <c r="D40" s="339" t="s">
        <v>409</v>
      </c>
      <c r="E40" s="337">
        <f>+'200wOH13'!F33</f>
        <v>5.67</v>
      </c>
      <c r="F40" s="336">
        <f>+'200wOH13'!G33</f>
        <v>5.66</v>
      </c>
      <c r="G40" s="340" t="s">
        <v>409</v>
      </c>
      <c r="H40" s="340" t="s">
        <v>409</v>
      </c>
      <c r="I40" s="337">
        <f>+'200wOH13'!H33</f>
        <v>4.8</v>
      </c>
      <c r="J40" s="356">
        <f>SUM(E40:I40)/3</f>
        <v>5.376666666666666</v>
      </c>
      <c r="K40" s="467">
        <f t="shared" si="1"/>
        <v>-9.6358543417367076E-2</v>
      </c>
    </row>
    <row r="41" spans="1:12" ht="15" customHeight="1" x14ac:dyDescent="0.25">
      <c r="A41" s="134" t="s">
        <v>445</v>
      </c>
      <c r="B41" s="179">
        <v>50000</v>
      </c>
      <c r="C41" s="446">
        <v>6.61</v>
      </c>
      <c r="D41" s="339" t="s">
        <v>409</v>
      </c>
      <c r="E41" s="337">
        <f>+'400wOH15'!F33</f>
        <v>5.81</v>
      </c>
      <c r="F41" s="336">
        <f>+'400wOH15'!G33</f>
        <v>5.69</v>
      </c>
      <c r="G41" s="340" t="s">
        <v>409</v>
      </c>
      <c r="H41" s="340" t="s">
        <v>409</v>
      </c>
      <c r="I41" s="337">
        <f>+'400wOH15'!H33</f>
        <v>4.87</v>
      </c>
      <c r="J41" s="356">
        <f>SUM(E41:I41)/3</f>
        <v>5.456666666666667</v>
      </c>
      <c r="K41" s="369">
        <f t="shared" si="1"/>
        <v>-0.1744831064044377</v>
      </c>
    </row>
    <row r="42" spans="1:12" ht="15" customHeight="1" x14ac:dyDescent="0.25">
      <c r="A42" s="134" t="s">
        <v>453</v>
      </c>
      <c r="B42" s="179">
        <v>27500</v>
      </c>
      <c r="C42" s="446">
        <v>6.63</v>
      </c>
      <c r="D42" s="339" t="s">
        <v>409</v>
      </c>
      <c r="E42" s="337">
        <f>+'250wOH14'!F33</f>
        <v>6.1</v>
      </c>
      <c r="F42" s="339" t="s">
        <v>409</v>
      </c>
      <c r="G42" s="337">
        <f>+'250wOH14'!G33</f>
        <v>4.09</v>
      </c>
      <c r="H42" s="340" t="s">
        <v>409</v>
      </c>
      <c r="I42" s="340" t="s">
        <v>409</v>
      </c>
      <c r="J42" s="356">
        <f>SUM(E42:G42)/2</f>
        <v>5.0949999999999998</v>
      </c>
      <c r="K42" s="177">
        <f t="shared" si="1"/>
        <v>-0.23152337858220215</v>
      </c>
    </row>
    <row r="43" spans="1:12" ht="15" customHeight="1" thickBot="1" x14ac:dyDescent="0.3">
      <c r="A43" s="135" t="s">
        <v>452</v>
      </c>
      <c r="B43" s="181">
        <v>140000</v>
      </c>
      <c r="C43" s="447">
        <v>9.5299999999999994</v>
      </c>
      <c r="D43" s="341" t="s">
        <v>409</v>
      </c>
      <c r="E43" s="342">
        <f>+'1000wOH16'!F33</f>
        <v>11.22</v>
      </c>
      <c r="F43" s="341" t="s">
        <v>409</v>
      </c>
      <c r="G43" s="343" t="s">
        <v>409</v>
      </c>
      <c r="H43" s="343" t="s">
        <v>409</v>
      </c>
      <c r="I43" s="343" t="s">
        <v>409</v>
      </c>
      <c r="J43" s="358">
        <f>E43</f>
        <v>11.22</v>
      </c>
      <c r="K43" s="182">
        <f t="shared" si="1"/>
        <v>0.17733473242392458</v>
      </c>
      <c r="L43" s="718">
        <f>AVERAGE(K37:K43)</f>
        <v>-0.12534386820760621</v>
      </c>
    </row>
    <row r="44" spans="1:12" ht="15" customHeight="1" thickBot="1" x14ac:dyDescent="0.35">
      <c r="A44" s="725" t="s">
        <v>530</v>
      </c>
      <c r="B44" s="725"/>
      <c r="C44" s="725"/>
      <c r="D44" s="725"/>
      <c r="E44" s="725"/>
      <c r="F44" s="725"/>
      <c r="G44" s="725"/>
      <c r="H44" s="725"/>
      <c r="I44" s="725"/>
      <c r="J44" s="725"/>
      <c r="K44" s="725"/>
    </row>
    <row r="45" spans="1:12" ht="15" customHeight="1" thickBot="1" x14ac:dyDescent="0.3">
      <c r="A45" s="138" t="s">
        <v>414</v>
      </c>
      <c r="B45" s="175" t="s">
        <v>446</v>
      </c>
      <c r="C45" s="139" t="s">
        <v>406</v>
      </c>
      <c r="D45" s="142" t="s">
        <v>129</v>
      </c>
      <c r="E45" s="141" t="s">
        <v>407</v>
      </c>
      <c r="F45" s="142" t="s">
        <v>408</v>
      </c>
      <c r="G45" s="141" t="s">
        <v>168</v>
      </c>
      <c r="H45" s="140" t="s">
        <v>169</v>
      </c>
      <c r="I45" s="143" t="s">
        <v>278</v>
      </c>
      <c r="J45" s="322" t="s">
        <v>575</v>
      </c>
      <c r="K45" s="228" t="s">
        <v>503</v>
      </c>
    </row>
    <row r="46" spans="1:12" ht="15" customHeight="1" x14ac:dyDescent="0.25">
      <c r="A46" s="137" t="s">
        <v>442</v>
      </c>
      <c r="B46" s="183">
        <v>5800</v>
      </c>
      <c r="C46" s="445">
        <v>1.76</v>
      </c>
      <c r="D46" s="334">
        <f>+'70wOH5'!F34+D64</f>
        <v>2.68</v>
      </c>
      <c r="E46" s="335">
        <f>+'70wOH5'!G34+E64</f>
        <v>2.7800000000000002</v>
      </c>
      <c r="F46" s="334">
        <f>+'70wOH5'!H34+F64</f>
        <v>2.7800000000000002</v>
      </c>
      <c r="G46" s="335">
        <f>+'70wUG6'!F34+G64</f>
        <v>2.56</v>
      </c>
      <c r="H46" s="335">
        <f>+'70wUG6'!G34+H64</f>
        <v>2.5700000000000003</v>
      </c>
      <c r="I46" s="335">
        <f>+'70wDS7'!F34+I64</f>
        <v>3.04</v>
      </c>
      <c r="J46" s="355">
        <f>SUM(D46:I46)/6</f>
        <v>2.7350000000000008</v>
      </c>
      <c r="K46" s="466">
        <f>(J46-C46)/C46</f>
        <v>0.55397727272727315</v>
      </c>
    </row>
    <row r="47" spans="1:12" ht="15" customHeight="1" x14ac:dyDescent="0.25">
      <c r="A47" s="134" t="s">
        <v>405</v>
      </c>
      <c r="B47" s="178">
        <v>9500</v>
      </c>
      <c r="C47" s="446">
        <v>1.77</v>
      </c>
      <c r="D47" s="336">
        <f>+'100wOH8'!F34+D65</f>
        <v>2.67</v>
      </c>
      <c r="E47" s="337">
        <f>+'100wOH8'!G34+E65</f>
        <v>2.79</v>
      </c>
      <c r="F47" s="336">
        <f>+'100wOH8'!H34+F65</f>
        <v>2.8</v>
      </c>
      <c r="G47" s="337">
        <f>+'100wUG9'!F34+G65</f>
        <v>2.56</v>
      </c>
      <c r="H47" s="337">
        <f>+'100wUG9'!G34+H65</f>
        <v>2.54</v>
      </c>
      <c r="I47" s="337" t="s">
        <v>409</v>
      </c>
      <c r="J47" s="356">
        <f>SUM(D47:H47)/5</f>
        <v>2.6719999999999997</v>
      </c>
      <c r="K47" s="467">
        <f t="shared" ref="K47:K52" si="2">(J47-C47)/C47</f>
        <v>0.50960451977401111</v>
      </c>
    </row>
    <row r="48" spans="1:12" ht="15" customHeight="1" x14ac:dyDescent="0.25">
      <c r="A48" s="133" t="s">
        <v>443</v>
      </c>
      <c r="B48" s="179">
        <v>16000</v>
      </c>
      <c r="C48" s="445">
        <v>1.8</v>
      </c>
      <c r="D48" s="334">
        <f>+'150wOH10'!F34+D66</f>
        <v>2.71</v>
      </c>
      <c r="E48" s="335">
        <f>+'150wOH10'!G34+E66</f>
        <v>2.81</v>
      </c>
      <c r="F48" s="334">
        <f>+'150wOH10'!H34+F66</f>
        <v>2.81</v>
      </c>
      <c r="G48" s="335">
        <f>+'150wUG11'!F34+G66</f>
        <v>2.5499999999999998</v>
      </c>
      <c r="H48" s="335">
        <f>+'150wUG11'!G34+H66</f>
        <v>2.5499999999999998</v>
      </c>
      <c r="I48" s="338" t="s">
        <v>409</v>
      </c>
      <c r="J48" s="357">
        <f>SUM(D48:H48)/5</f>
        <v>2.6859999999999999</v>
      </c>
      <c r="K48" s="369">
        <f t="shared" si="2"/>
        <v>0.49222222222222217</v>
      </c>
    </row>
    <row r="49" spans="1:12" ht="15" customHeight="1" x14ac:dyDescent="0.25">
      <c r="A49" s="134" t="s">
        <v>444</v>
      </c>
      <c r="B49" s="178">
        <v>22000</v>
      </c>
      <c r="C49" s="446">
        <v>2.29</v>
      </c>
      <c r="D49" s="339" t="s">
        <v>409</v>
      </c>
      <c r="E49" s="337">
        <f>+'200wOH13'!F34+E67</f>
        <v>3.43</v>
      </c>
      <c r="F49" s="336">
        <f>+'200wOH13'!G34+F67</f>
        <v>3.43</v>
      </c>
      <c r="G49" s="340" t="s">
        <v>409</v>
      </c>
      <c r="H49" s="340" t="s">
        <v>409</v>
      </c>
      <c r="I49" s="337">
        <f>+'200wOH13'!H34+I67</f>
        <v>3.18</v>
      </c>
      <c r="J49" s="356">
        <f>SUM(E49:I49)/3</f>
        <v>3.3466666666666671</v>
      </c>
      <c r="K49" s="467">
        <f t="shared" si="2"/>
        <v>0.46142649199417773</v>
      </c>
    </row>
    <row r="50" spans="1:12" ht="15" customHeight="1" x14ac:dyDescent="0.25">
      <c r="A50" s="134" t="s">
        <v>445</v>
      </c>
      <c r="B50" s="179">
        <v>50000</v>
      </c>
      <c r="C50" s="446">
        <v>2.2999999999999998</v>
      </c>
      <c r="D50" s="339" t="s">
        <v>409</v>
      </c>
      <c r="E50" s="337">
        <f>+'400wOH15'!F34+E68</f>
        <v>3.4699999999999998</v>
      </c>
      <c r="F50" s="336">
        <f>+'400wOH15'!G34+F68</f>
        <v>3.44</v>
      </c>
      <c r="G50" s="340" t="s">
        <v>409</v>
      </c>
      <c r="H50" s="340" t="s">
        <v>409</v>
      </c>
      <c r="I50" s="337">
        <f>+'400wOH15'!H34+I68</f>
        <v>3.2</v>
      </c>
      <c r="J50" s="356">
        <f>SUM(E50:I50)/3</f>
        <v>3.3699999999999997</v>
      </c>
      <c r="K50" s="369">
        <f t="shared" si="2"/>
        <v>0.4652173913043478</v>
      </c>
    </row>
    <row r="51" spans="1:12" ht="15" customHeight="1" x14ac:dyDescent="0.25">
      <c r="A51" s="134" t="s">
        <v>453</v>
      </c>
      <c r="B51" s="179">
        <v>27500</v>
      </c>
      <c r="C51" s="446">
        <v>2.5</v>
      </c>
      <c r="D51" s="339" t="s">
        <v>409</v>
      </c>
      <c r="E51" s="337">
        <f>+'250wOH14'!F34+E69</f>
        <v>3.5700000000000003</v>
      </c>
      <c r="F51" s="339" t="s">
        <v>409</v>
      </c>
      <c r="G51" s="337">
        <f>+'250wOH14'!G34+G69</f>
        <v>3</v>
      </c>
      <c r="H51" s="340" t="s">
        <v>409</v>
      </c>
      <c r="I51" s="340" t="s">
        <v>409</v>
      </c>
      <c r="J51" s="356">
        <f>SUM(E51:G51)/2</f>
        <v>3.2850000000000001</v>
      </c>
      <c r="K51" s="467">
        <f t="shared" si="2"/>
        <v>0.31400000000000006</v>
      </c>
    </row>
    <row r="52" spans="1:12" ht="15" customHeight="1" thickBot="1" x14ac:dyDescent="0.3">
      <c r="A52" s="135" t="s">
        <v>452</v>
      </c>
      <c r="B52" s="181">
        <v>140000</v>
      </c>
      <c r="C52" s="447">
        <v>4.4800000000000004</v>
      </c>
      <c r="D52" s="341" t="s">
        <v>409</v>
      </c>
      <c r="E52" s="342">
        <f>+'1000wOH16'!F34+E70</f>
        <v>5.49</v>
      </c>
      <c r="F52" s="341" t="s">
        <v>409</v>
      </c>
      <c r="G52" s="343" t="s">
        <v>409</v>
      </c>
      <c r="H52" s="343" t="s">
        <v>409</v>
      </c>
      <c r="I52" s="343" t="s">
        <v>409</v>
      </c>
      <c r="J52" s="358">
        <f>E52</f>
        <v>5.49</v>
      </c>
      <c r="K52" s="370">
        <f t="shared" si="2"/>
        <v>0.22544642857142849</v>
      </c>
      <c r="L52" s="719">
        <f>AVERAGE(K46:K52)</f>
        <v>0.43169918951335157</v>
      </c>
    </row>
    <row r="53" spans="1:12" ht="15" customHeight="1" thickBot="1" x14ac:dyDescent="0.35">
      <c r="A53" s="726" t="s">
        <v>7</v>
      </c>
      <c r="B53" s="726"/>
      <c r="C53" s="726"/>
      <c r="D53" s="726"/>
      <c r="E53" s="726"/>
      <c r="F53" s="726"/>
      <c r="G53" s="726"/>
      <c r="H53" s="726"/>
      <c r="I53" s="726"/>
      <c r="J53" s="726"/>
      <c r="K53" s="726"/>
    </row>
    <row r="54" spans="1:12" ht="15" customHeight="1" thickBot="1" x14ac:dyDescent="0.3">
      <c r="A54" s="138" t="s">
        <v>414</v>
      </c>
      <c r="B54" s="175" t="s">
        <v>446</v>
      </c>
      <c r="C54" s="139" t="s">
        <v>406</v>
      </c>
      <c r="D54" s="142" t="s">
        <v>129</v>
      </c>
      <c r="E54" s="141" t="s">
        <v>407</v>
      </c>
      <c r="F54" s="142" t="s">
        <v>408</v>
      </c>
      <c r="G54" s="141" t="s">
        <v>168</v>
      </c>
      <c r="H54" s="140" t="s">
        <v>169</v>
      </c>
      <c r="I54" s="143" t="s">
        <v>278</v>
      </c>
      <c r="J54" s="322" t="s">
        <v>571</v>
      </c>
      <c r="K54" s="228" t="s">
        <v>503</v>
      </c>
    </row>
    <row r="55" spans="1:12" ht="15" customHeight="1" x14ac:dyDescent="0.25">
      <c r="A55" s="137" t="s">
        <v>442</v>
      </c>
      <c r="B55" s="183">
        <v>5800</v>
      </c>
      <c r="C55" s="445">
        <v>0.77</v>
      </c>
      <c r="D55" s="334">
        <f>+'70wOH5'!F36</f>
        <v>0.8</v>
      </c>
      <c r="E55" s="335">
        <f>+'70wOH5'!G36</f>
        <v>0.8</v>
      </c>
      <c r="F55" s="334">
        <f>+'70wOH5'!H36</f>
        <v>0.8</v>
      </c>
      <c r="G55" s="335">
        <f>+'70wUG6'!F36</f>
        <v>0.8</v>
      </c>
      <c r="H55" s="335">
        <f>+'70wUG6'!G36</f>
        <v>0.8</v>
      </c>
      <c r="I55" s="335">
        <f>+'70wDS7'!F36</f>
        <v>0.8</v>
      </c>
      <c r="J55" s="355">
        <f>SUM(D55:I55)/6</f>
        <v>0.79999999999999993</v>
      </c>
      <c r="K55" s="184">
        <f>(J55-C55)/C55</f>
        <v>3.8961038961038849E-2</v>
      </c>
    </row>
    <row r="56" spans="1:12" ht="15" customHeight="1" x14ac:dyDescent="0.25">
      <c r="A56" s="134" t="s">
        <v>405</v>
      </c>
      <c r="B56" s="178">
        <v>9500</v>
      </c>
      <c r="C56" s="446">
        <v>1.0900000000000001</v>
      </c>
      <c r="D56" s="336">
        <f>+'100wOH8'!F36</f>
        <v>1.0900000000000001</v>
      </c>
      <c r="E56" s="337">
        <f>+'100wOH8'!G36</f>
        <v>1.0900000000000001</v>
      </c>
      <c r="F56" s="336">
        <f>+'100wOH8'!H36</f>
        <v>1.0900000000000001</v>
      </c>
      <c r="G56" s="337">
        <f>+'100wUG9'!F36</f>
        <v>1.0900000000000001</v>
      </c>
      <c r="H56" s="337">
        <f>+'100wUG9'!G36</f>
        <v>1.0900000000000001</v>
      </c>
      <c r="I56" s="337" t="s">
        <v>409</v>
      </c>
      <c r="J56" s="356">
        <f>SUM(D56:H56)/5</f>
        <v>1.0900000000000001</v>
      </c>
      <c r="K56" s="177">
        <f t="shared" ref="K56:K61" si="3">(J56-C56)/C56</f>
        <v>0</v>
      </c>
    </row>
    <row r="57" spans="1:12" ht="15" customHeight="1" x14ac:dyDescent="0.25">
      <c r="A57" s="133" t="s">
        <v>443</v>
      </c>
      <c r="B57" s="179">
        <v>16000</v>
      </c>
      <c r="C57" s="446">
        <v>1.59</v>
      </c>
      <c r="D57" s="334">
        <f>+'150wOH10'!F36</f>
        <v>1.59</v>
      </c>
      <c r="E57" s="335">
        <f>+'150wOH10'!G36</f>
        <v>1.59</v>
      </c>
      <c r="F57" s="334">
        <f>+'150wOH10'!H36</f>
        <v>1.59</v>
      </c>
      <c r="G57" s="335">
        <f>+'150wUG11'!F36</f>
        <v>1.59</v>
      </c>
      <c r="H57" s="335">
        <f>+'150wUG11'!G36</f>
        <v>1.59</v>
      </c>
      <c r="I57" s="338" t="s">
        <v>409</v>
      </c>
      <c r="J57" s="357">
        <f>SUM(D57:H57)/5</f>
        <v>1.59</v>
      </c>
      <c r="K57" s="180">
        <f t="shared" si="3"/>
        <v>0</v>
      </c>
    </row>
    <row r="58" spans="1:12" ht="15" customHeight="1" x14ac:dyDescent="0.25">
      <c r="A58" s="134" t="s">
        <v>444</v>
      </c>
      <c r="B58" s="178">
        <v>22000</v>
      </c>
      <c r="C58" s="446">
        <v>2.33</v>
      </c>
      <c r="D58" s="339" t="s">
        <v>409</v>
      </c>
      <c r="E58" s="337">
        <f>+'200wOH13'!F36</f>
        <v>2.23</v>
      </c>
      <c r="F58" s="336">
        <f>+'200wOH13'!G36</f>
        <v>2.23</v>
      </c>
      <c r="G58" s="340" t="s">
        <v>409</v>
      </c>
      <c r="H58" s="340" t="s">
        <v>409</v>
      </c>
      <c r="I58" s="337">
        <f>+'200wOH13'!H36</f>
        <v>2.23</v>
      </c>
      <c r="J58" s="356">
        <f>SUM(E58:I58)/3</f>
        <v>2.23</v>
      </c>
      <c r="K58" s="177">
        <f t="shared" si="3"/>
        <v>-4.2918454935622352E-2</v>
      </c>
    </row>
    <row r="59" spans="1:12" ht="15" customHeight="1" x14ac:dyDescent="0.25">
      <c r="A59" s="134" t="s">
        <v>445</v>
      </c>
      <c r="B59" s="179">
        <v>50000</v>
      </c>
      <c r="C59" s="446">
        <v>4.46</v>
      </c>
      <c r="D59" s="339" t="s">
        <v>409</v>
      </c>
      <c r="E59" s="337">
        <f>+'400wOH15'!F36</f>
        <v>4.38</v>
      </c>
      <c r="F59" s="336">
        <f>+'400wOH15'!G36</f>
        <v>4.38</v>
      </c>
      <c r="G59" s="340" t="s">
        <v>409</v>
      </c>
      <c r="H59" s="340" t="s">
        <v>409</v>
      </c>
      <c r="I59" s="337">
        <f>+'400wOH15'!H36</f>
        <v>4.38</v>
      </c>
      <c r="J59" s="356">
        <f>SUM(E59:I59)/3</f>
        <v>4.38</v>
      </c>
      <c r="K59" s="180">
        <f t="shared" si="3"/>
        <v>-1.7937219730941721E-2</v>
      </c>
    </row>
    <row r="60" spans="1:12" ht="15" customHeight="1" x14ac:dyDescent="0.25">
      <c r="A60" s="134" t="s">
        <v>453</v>
      </c>
      <c r="B60" s="179">
        <v>27500</v>
      </c>
      <c r="C60" s="446">
        <v>3.08</v>
      </c>
      <c r="D60" s="339" t="s">
        <v>409</v>
      </c>
      <c r="E60" s="337">
        <f>+'250wOH14'!F36</f>
        <v>3.02</v>
      </c>
      <c r="F60" s="339" t="s">
        <v>409</v>
      </c>
      <c r="G60" s="337">
        <f>+'250wOH14'!G36</f>
        <v>3.02</v>
      </c>
      <c r="H60" s="340" t="s">
        <v>409</v>
      </c>
      <c r="I60" s="340" t="s">
        <v>409</v>
      </c>
      <c r="J60" s="356">
        <f>SUM(E60:G60)/2</f>
        <v>3.02</v>
      </c>
      <c r="K60" s="177">
        <f t="shared" si="3"/>
        <v>-1.9480519480519497E-2</v>
      </c>
    </row>
    <row r="61" spans="1:12" ht="15" customHeight="1" thickBot="1" x14ac:dyDescent="0.3">
      <c r="A61" s="135" t="s">
        <v>452</v>
      </c>
      <c r="B61" s="181">
        <v>140000</v>
      </c>
      <c r="C61" s="446">
        <v>10.9</v>
      </c>
      <c r="D61" s="341" t="s">
        <v>409</v>
      </c>
      <c r="E61" s="342">
        <f>+'1000wOH16'!F36</f>
        <v>10.34</v>
      </c>
      <c r="F61" s="341" t="s">
        <v>409</v>
      </c>
      <c r="G61" s="343" t="s">
        <v>409</v>
      </c>
      <c r="H61" s="343" t="s">
        <v>409</v>
      </c>
      <c r="I61" s="343" t="s">
        <v>409</v>
      </c>
      <c r="J61" s="358">
        <f>E61</f>
        <v>10.34</v>
      </c>
      <c r="K61" s="182">
        <f t="shared" si="3"/>
        <v>-5.137614678899087E-2</v>
      </c>
      <c r="L61" s="718">
        <f>AVERAGE(K55:K61)</f>
        <v>-1.3250185996433655E-2</v>
      </c>
    </row>
    <row r="62" spans="1:12" ht="15" customHeight="1" thickBot="1" x14ac:dyDescent="0.35">
      <c r="A62" s="727" t="s">
        <v>528</v>
      </c>
      <c r="B62" s="727"/>
      <c r="C62" s="727"/>
      <c r="D62" s="727"/>
      <c r="E62" s="727"/>
      <c r="F62" s="727"/>
      <c r="G62" s="727"/>
      <c r="H62" s="727"/>
      <c r="I62" s="727"/>
      <c r="J62" s="727"/>
      <c r="K62" s="727"/>
    </row>
    <row r="63" spans="1:12" ht="15" customHeight="1" thickBot="1" x14ac:dyDescent="0.3">
      <c r="A63" s="138" t="s">
        <v>414</v>
      </c>
      <c r="B63" s="175" t="s">
        <v>446</v>
      </c>
      <c r="C63" s="139" t="s">
        <v>406</v>
      </c>
      <c r="D63" s="142" t="s">
        <v>129</v>
      </c>
      <c r="E63" s="141" t="s">
        <v>407</v>
      </c>
      <c r="F63" s="142" t="s">
        <v>408</v>
      </c>
      <c r="G63" s="141" t="s">
        <v>168</v>
      </c>
      <c r="H63" s="140" t="s">
        <v>169</v>
      </c>
      <c r="I63" s="143" t="s">
        <v>278</v>
      </c>
      <c r="J63" s="322" t="s">
        <v>571</v>
      </c>
      <c r="K63" s="228" t="s">
        <v>503</v>
      </c>
    </row>
    <row r="64" spans="1:12" ht="15" customHeight="1" x14ac:dyDescent="0.25">
      <c r="A64" s="137" t="s">
        <v>442</v>
      </c>
      <c r="B64" s="183">
        <v>5800</v>
      </c>
      <c r="C64" s="493">
        <f>C73-C55</f>
        <v>1.79</v>
      </c>
      <c r="D64" s="120">
        <f>+'70wOH5'!F35</f>
        <v>1.81</v>
      </c>
      <c r="E64" s="128">
        <f>+'70wOH5'!G35</f>
        <v>1.81</v>
      </c>
      <c r="F64" s="120">
        <f>+'70wOH5'!H35</f>
        <v>1.81</v>
      </c>
      <c r="G64" s="128">
        <f>+'70wUG6'!F35</f>
        <v>1.81</v>
      </c>
      <c r="H64" s="128">
        <f>+'70wUG6'!G35</f>
        <v>1.81</v>
      </c>
      <c r="I64" s="128">
        <f>+'70wDS7'!F35</f>
        <v>1.81</v>
      </c>
      <c r="J64" s="126">
        <f>SUM(D64:I64)/6</f>
        <v>1.8100000000000003</v>
      </c>
      <c r="K64" s="184">
        <f>(J64-C64)/C64</f>
        <v>1.1173184357542033E-2</v>
      </c>
    </row>
    <row r="65" spans="1:12" ht="15" customHeight="1" x14ac:dyDescent="0.25">
      <c r="A65" s="134" t="s">
        <v>405</v>
      </c>
      <c r="B65" s="178">
        <v>9500</v>
      </c>
      <c r="C65" s="493">
        <f t="shared" ref="C65:C70" si="4">C74-C56</f>
        <v>1.8</v>
      </c>
      <c r="D65" s="123">
        <f>+'100wOH8'!F35</f>
        <v>1.8</v>
      </c>
      <c r="E65" s="127">
        <f>+'100wOH8'!G35</f>
        <v>1.8</v>
      </c>
      <c r="F65" s="123">
        <f>+'100wOH8'!H35</f>
        <v>1.8</v>
      </c>
      <c r="G65" s="127">
        <f>+'100wUG9'!F35</f>
        <v>1.8</v>
      </c>
      <c r="H65" s="127">
        <f>+'100wUG9'!G35</f>
        <v>1.8</v>
      </c>
      <c r="I65" s="127" t="s">
        <v>409</v>
      </c>
      <c r="J65" s="127">
        <f>SUM(D65:H65)/5</f>
        <v>1.8</v>
      </c>
      <c r="K65" s="177">
        <f t="shared" ref="K65:K70" si="5">(J65-C65)/C65</f>
        <v>0</v>
      </c>
    </row>
    <row r="66" spans="1:12" ht="15" customHeight="1" x14ac:dyDescent="0.25">
      <c r="A66" s="133" t="s">
        <v>443</v>
      </c>
      <c r="B66" s="179">
        <v>16000</v>
      </c>
      <c r="C66" s="493">
        <f t="shared" si="4"/>
        <v>1.8299999999999998</v>
      </c>
      <c r="D66" s="120">
        <f>+'150wOH10'!F35</f>
        <v>1.81</v>
      </c>
      <c r="E66" s="128">
        <f>+'150wOH10'!G35</f>
        <v>1.81</v>
      </c>
      <c r="F66" s="120">
        <f>+'150wOH10'!H35</f>
        <v>1.81</v>
      </c>
      <c r="G66" s="128">
        <f>+'150wUG11'!F35</f>
        <v>1.81</v>
      </c>
      <c r="H66" s="128">
        <f>+'150wUG11'!G35</f>
        <v>1.81</v>
      </c>
      <c r="I66" s="130" t="s">
        <v>409</v>
      </c>
      <c r="J66" s="128">
        <f>SUM(D66:H66)/5</f>
        <v>1.81</v>
      </c>
      <c r="K66" s="180">
        <f t="shared" si="5"/>
        <v>-1.0928961748633769E-2</v>
      </c>
    </row>
    <row r="67" spans="1:12" ht="15" customHeight="1" x14ac:dyDescent="0.25">
      <c r="A67" s="134" t="s">
        <v>444</v>
      </c>
      <c r="B67" s="178">
        <v>22000</v>
      </c>
      <c r="C67" s="493">
        <f t="shared" si="4"/>
        <v>2.2999999999999998</v>
      </c>
      <c r="D67" s="124" t="s">
        <v>409</v>
      </c>
      <c r="E67" s="127">
        <f>+'200wOH13'!F35</f>
        <v>1.81</v>
      </c>
      <c r="F67" s="123">
        <f>+'200wOH13'!G35</f>
        <v>1.81</v>
      </c>
      <c r="G67" s="129" t="s">
        <v>409</v>
      </c>
      <c r="H67" s="129" t="s">
        <v>409</v>
      </c>
      <c r="I67" s="127">
        <f>+'200wOH13'!H35</f>
        <v>1.81</v>
      </c>
      <c r="J67" s="127">
        <f>SUM(E67:I67)/3</f>
        <v>1.8099999999999998</v>
      </c>
      <c r="K67" s="177">
        <f t="shared" si="5"/>
        <v>-0.21304347826086958</v>
      </c>
    </row>
    <row r="68" spans="1:12" ht="15" customHeight="1" x14ac:dyDescent="0.25">
      <c r="A68" s="134" t="s">
        <v>445</v>
      </c>
      <c r="B68" s="179">
        <v>50000</v>
      </c>
      <c r="C68" s="493">
        <f t="shared" si="4"/>
        <v>2.3099999999999996</v>
      </c>
      <c r="D68" s="124" t="s">
        <v>409</v>
      </c>
      <c r="E68" s="127">
        <f>+'400wOH15'!F35</f>
        <v>1.81</v>
      </c>
      <c r="F68" s="123">
        <f>+'400wOH15'!G35</f>
        <v>1.81</v>
      </c>
      <c r="G68" s="129" t="s">
        <v>409</v>
      </c>
      <c r="H68" s="129" t="s">
        <v>409</v>
      </c>
      <c r="I68" s="127">
        <f>+'400wOH15'!H35</f>
        <v>1.81</v>
      </c>
      <c r="J68" s="127">
        <f>SUM(E68:I68)/3</f>
        <v>1.8099999999999998</v>
      </c>
      <c r="K68" s="180">
        <f t="shared" si="5"/>
        <v>-0.21645021645021639</v>
      </c>
    </row>
    <row r="69" spans="1:12" ht="15" customHeight="1" x14ac:dyDescent="0.25">
      <c r="A69" s="134" t="s">
        <v>453</v>
      </c>
      <c r="B69" s="179">
        <v>27500</v>
      </c>
      <c r="C69" s="493">
        <f t="shared" si="4"/>
        <v>2.5</v>
      </c>
      <c r="D69" s="124" t="s">
        <v>409</v>
      </c>
      <c r="E69" s="127">
        <f>+'250wOH14'!F35</f>
        <v>1.83</v>
      </c>
      <c r="F69" s="124" t="s">
        <v>409</v>
      </c>
      <c r="G69" s="127">
        <f>+'250wOH14'!G35</f>
        <v>1.83</v>
      </c>
      <c r="H69" s="129" t="s">
        <v>409</v>
      </c>
      <c r="I69" s="129" t="s">
        <v>409</v>
      </c>
      <c r="J69" s="127">
        <f>(E69+G69)/2</f>
        <v>1.83</v>
      </c>
      <c r="K69" s="177">
        <f t="shared" si="5"/>
        <v>-0.26799999999999996</v>
      </c>
    </row>
    <row r="70" spans="1:12" ht="15" customHeight="1" thickBot="1" x14ac:dyDescent="0.3">
      <c r="A70" s="135" t="s">
        <v>452</v>
      </c>
      <c r="B70" s="181">
        <v>140000</v>
      </c>
      <c r="C70" s="493">
        <f t="shared" si="4"/>
        <v>4.57</v>
      </c>
      <c r="D70" s="122" t="s">
        <v>409</v>
      </c>
      <c r="E70" s="146">
        <f>+'1000wOH16'!F35</f>
        <v>2.29</v>
      </c>
      <c r="F70" s="122" t="s">
        <v>409</v>
      </c>
      <c r="G70" s="132" t="s">
        <v>409</v>
      </c>
      <c r="H70" s="132" t="s">
        <v>409</v>
      </c>
      <c r="I70" s="132" t="s">
        <v>409</v>
      </c>
      <c r="J70" s="172">
        <f>E70</f>
        <v>2.29</v>
      </c>
      <c r="K70" s="182">
        <f t="shared" si="5"/>
        <v>-0.4989059080962801</v>
      </c>
      <c r="L70" s="718">
        <f>AVERAGE(K64:K70)</f>
        <v>-0.17087934002835109</v>
      </c>
    </row>
    <row r="71" spans="1:12" ht="15" customHeight="1" thickBot="1" x14ac:dyDescent="0.35">
      <c r="A71" s="726" t="s">
        <v>534</v>
      </c>
      <c r="B71" s="726"/>
      <c r="C71" s="726"/>
      <c r="D71" s="726"/>
      <c r="E71" s="726"/>
      <c r="F71" s="726"/>
      <c r="G71" s="726"/>
      <c r="H71" s="726"/>
      <c r="I71" s="726"/>
      <c r="J71" s="726"/>
      <c r="K71" s="726"/>
    </row>
    <row r="72" spans="1:12" ht="15" customHeight="1" thickBot="1" x14ac:dyDescent="0.3">
      <c r="A72" s="138" t="s">
        <v>414</v>
      </c>
      <c r="B72" s="175" t="s">
        <v>446</v>
      </c>
      <c r="C72" s="139" t="s">
        <v>406</v>
      </c>
      <c r="D72" s="142" t="s">
        <v>129</v>
      </c>
      <c r="E72" s="141" t="s">
        <v>407</v>
      </c>
      <c r="F72" s="142" t="s">
        <v>408</v>
      </c>
      <c r="G72" s="141" t="s">
        <v>168</v>
      </c>
      <c r="H72" s="140" t="s">
        <v>169</v>
      </c>
      <c r="I72" s="143" t="s">
        <v>278</v>
      </c>
      <c r="J72" s="322" t="s">
        <v>571</v>
      </c>
      <c r="K72" s="228" t="s">
        <v>503</v>
      </c>
    </row>
    <row r="73" spans="1:12" ht="15" customHeight="1" x14ac:dyDescent="0.25">
      <c r="A73" s="137" t="s">
        <v>442</v>
      </c>
      <c r="B73" s="183">
        <v>5800</v>
      </c>
      <c r="C73" s="445">
        <v>2.56</v>
      </c>
      <c r="D73" s="334">
        <f t="shared" ref="D73:I73" si="6">D64+D55</f>
        <v>2.6100000000000003</v>
      </c>
      <c r="E73" s="335">
        <f t="shared" si="6"/>
        <v>2.6100000000000003</v>
      </c>
      <c r="F73" s="334">
        <f t="shared" si="6"/>
        <v>2.6100000000000003</v>
      </c>
      <c r="G73" s="335">
        <f t="shared" si="6"/>
        <v>2.6100000000000003</v>
      </c>
      <c r="H73" s="335">
        <f t="shared" si="6"/>
        <v>2.6100000000000003</v>
      </c>
      <c r="I73" s="335">
        <f t="shared" si="6"/>
        <v>2.6100000000000003</v>
      </c>
      <c r="J73" s="355">
        <f>SUM(D73:I73)/6</f>
        <v>2.61</v>
      </c>
      <c r="K73" s="184">
        <f>(J73-C73)/C73</f>
        <v>1.9531249999999931E-2</v>
      </c>
    </row>
    <row r="74" spans="1:12" ht="15" customHeight="1" x14ac:dyDescent="0.25">
      <c r="A74" s="134" t="s">
        <v>405</v>
      </c>
      <c r="B74" s="178">
        <v>9500</v>
      </c>
      <c r="C74" s="446">
        <v>2.89</v>
      </c>
      <c r="D74" s="336">
        <f>D65+D56</f>
        <v>2.89</v>
      </c>
      <c r="E74" s="337">
        <f t="shared" ref="E74:H79" si="7">E65+E56</f>
        <v>2.89</v>
      </c>
      <c r="F74" s="336">
        <f t="shared" si="7"/>
        <v>2.89</v>
      </c>
      <c r="G74" s="337">
        <f t="shared" si="7"/>
        <v>2.89</v>
      </c>
      <c r="H74" s="337">
        <f t="shared" si="7"/>
        <v>2.89</v>
      </c>
      <c r="I74" s="337" t="s">
        <v>409</v>
      </c>
      <c r="J74" s="356">
        <f>SUM(D74:H74)/5</f>
        <v>2.89</v>
      </c>
      <c r="K74" s="177">
        <f t="shared" ref="K74:K79" si="8">(J74-C74)/C74</f>
        <v>0</v>
      </c>
    </row>
    <row r="75" spans="1:12" ht="15" customHeight="1" x14ac:dyDescent="0.25">
      <c r="A75" s="133" t="s">
        <v>443</v>
      </c>
      <c r="B75" s="179">
        <v>16000</v>
      </c>
      <c r="C75" s="446">
        <v>3.42</v>
      </c>
      <c r="D75" s="334">
        <f>D66+D57</f>
        <v>3.4000000000000004</v>
      </c>
      <c r="E75" s="335">
        <f t="shared" si="7"/>
        <v>3.4000000000000004</v>
      </c>
      <c r="F75" s="334">
        <f t="shared" si="7"/>
        <v>3.4000000000000004</v>
      </c>
      <c r="G75" s="335">
        <f t="shared" si="7"/>
        <v>3.4000000000000004</v>
      </c>
      <c r="H75" s="335">
        <f t="shared" si="7"/>
        <v>3.4000000000000004</v>
      </c>
      <c r="I75" s="338" t="s">
        <v>409</v>
      </c>
      <c r="J75" s="357">
        <f>SUM(D75:H75)/5</f>
        <v>3.4</v>
      </c>
      <c r="K75" s="180">
        <f t="shared" si="8"/>
        <v>-5.8479532163742748E-3</v>
      </c>
    </row>
    <row r="76" spans="1:12" ht="15" customHeight="1" x14ac:dyDescent="0.25">
      <c r="A76" s="134" t="s">
        <v>444</v>
      </c>
      <c r="B76" s="178">
        <v>22000</v>
      </c>
      <c r="C76" s="446">
        <v>4.63</v>
      </c>
      <c r="D76" s="339" t="s">
        <v>409</v>
      </c>
      <c r="E76" s="337">
        <f t="shared" si="7"/>
        <v>4.04</v>
      </c>
      <c r="F76" s="336">
        <f t="shared" si="7"/>
        <v>4.04</v>
      </c>
      <c r="G76" s="340" t="s">
        <v>409</v>
      </c>
      <c r="H76" s="340" t="s">
        <v>409</v>
      </c>
      <c r="I76" s="337">
        <f>I67+I58</f>
        <v>4.04</v>
      </c>
      <c r="J76" s="356">
        <f>SUM(E76:I76)/3</f>
        <v>4.04</v>
      </c>
      <c r="K76" s="177">
        <f t="shared" si="8"/>
        <v>-0.12742980561555073</v>
      </c>
    </row>
    <row r="77" spans="1:12" ht="15" customHeight="1" x14ac:dyDescent="0.25">
      <c r="A77" s="134" t="s">
        <v>445</v>
      </c>
      <c r="B77" s="179">
        <v>50000</v>
      </c>
      <c r="C77" s="446">
        <v>6.77</v>
      </c>
      <c r="D77" s="339" t="s">
        <v>409</v>
      </c>
      <c r="E77" s="337">
        <f t="shared" si="7"/>
        <v>6.1899999999999995</v>
      </c>
      <c r="F77" s="336">
        <f t="shared" si="7"/>
        <v>6.1899999999999995</v>
      </c>
      <c r="G77" s="340" t="s">
        <v>409</v>
      </c>
      <c r="H77" s="340" t="s">
        <v>409</v>
      </c>
      <c r="I77" s="337">
        <f>I68+I59</f>
        <v>6.1899999999999995</v>
      </c>
      <c r="J77" s="356">
        <f>SUM(E77:I77)/3</f>
        <v>6.19</v>
      </c>
      <c r="K77" s="180">
        <f t="shared" si="8"/>
        <v>-8.5672082717872855E-2</v>
      </c>
    </row>
    <row r="78" spans="1:12" ht="15" customHeight="1" x14ac:dyDescent="0.25">
      <c r="A78" s="134" t="s">
        <v>453</v>
      </c>
      <c r="B78" s="179">
        <v>27500</v>
      </c>
      <c r="C78" s="446">
        <v>5.58</v>
      </c>
      <c r="D78" s="339" t="s">
        <v>409</v>
      </c>
      <c r="E78" s="337">
        <f t="shared" si="7"/>
        <v>4.8499999999999996</v>
      </c>
      <c r="F78" s="339" t="s">
        <v>409</v>
      </c>
      <c r="G78" s="337">
        <f>G69+G60</f>
        <v>4.8499999999999996</v>
      </c>
      <c r="H78" s="340" t="s">
        <v>409</v>
      </c>
      <c r="I78" s="340" t="s">
        <v>409</v>
      </c>
      <c r="J78" s="356">
        <f>SUM(E78:G78)/2</f>
        <v>4.8499999999999996</v>
      </c>
      <c r="K78" s="177">
        <f t="shared" si="8"/>
        <v>-0.1308243727598567</v>
      </c>
    </row>
    <row r="79" spans="1:12" ht="15" customHeight="1" thickBot="1" x14ac:dyDescent="0.3">
      <c r="A79" s="135" t="s">
        <v>452</v>
      </c>
      <c r="B79" s="181">
        <v>140000</v>
      </c>
      <c r="C79" s="447">
        <v>15.47</v>
      </c>
      <c r="D79" s="341" t="s">
        <v>409</v>
      </c>
      <c r="E79" s="342">
        <f t="shared" si="7"/>
        <v>12.629999999999999</v>
      </c>
      <c r="F79" s="341" t="s">
        <v>409</v>
      </c>
      <c r="G79" s="343" t="s">
        <v>409</v>
      </c>
      <c r="H79" s="343" t="s">
        <v>409</v>
      </c>
      <c r="I79" s="343" t="s">
        <v>409</v>
      </c>
      <c r="J79" s="358">
        <f>E79</f>
        <v>12.629999999999999</v>
      </c>
      <c r="K79" s="182">
        <f t="shared" si="8"/>
        <v>-0.18358112475759544</v>
      </c>
      <c r="L79" s="718">
        <f>AVERAGE(K73:K79)</f>
        <v>-7.3403441295321434E-2</v>
      </c>
    </row>
    <row r="80" spans="1:12" ht="15" customHeight="1" x14ac:dyDescent="0.3">
      <c r="A80" s="728" t="s">
        <v>536</v>
      </c>
      <c r="B80" s="728"/>
      <c r="C80" s="728"/>
      <c r="D80" s="728"/>
      <c r="E80" s="728"/>
      <c r="F80" s="728"/>
      <c r="G80" s="728"/>
    </row>
    <row r="81" spans="1:11" s="251" customFormat="1" ht="15" customHeight="1" thickBot="1" x14ac:dyDescent="0.3">
      <c r="A81" s="347" t="s">
        <v>545</v>
      </c>
      <c r="B81" s="348" t="s">
        <v>446</v>
      </c>
      <c r="C81" s="349" t="s">
        <v>535</v>
      </c>
      <c r="D81" s="349" t="s">
        <v>548</v>
      </c>
      <c r="E81" s="350" t="s">
        <v>577</v>
      </c>
      <c r="F81" s="510" t="s">
        <v>547</v>
      </c>
      <c r="G81" s="351" t="s">
        <v>576</v>
      </c>
      <c r="H81" s="523" t="s">
        <v>578</v>
      </c>
      <c r="I81" s="260"/>
      <c r="J81" s="260"/>
      <c r="K81" s="260"/>
    </row>
    <row r="82" spans="1:11" ht="15" customHeight="1" x14ac:dyDescent="0.25">
      <c r="A82" s="352" t="s">
        <v>539</v>
      </c>
      <c r="B82" s="183">
        <v>6000</v>
      </c>
      <c r="C82" s="257">
        <v>62</v>
      </c>
      <c r="D82" s="445">
        <v>1.69</v>
      </c>
      <c r="E82" s="226">
        <v>5.84</v>
      </c>
      <c r="F82" s="521">
        <v>2.2799999999999998</v>
      </c>
      <c r="G82" s="360">
        <f>C82*'Data Entry'!$C$14</f>
        <v>1.6442399999999999</v>
      </c>
      <c r="H82" s="504">
        <f t="shared" ref="H82:H87" si="9">E82-D82+G82</f>
        <v>5.7942400000000003</v>
      </c>
      <c r="J82" s="47"/>
      <c r="K82" s="47"/>
    </row>
    <row r="83" spans="1:11" ht="15" customHeight="1" x14ac:dyDescent="0.25">
      <c r="A83" s="353" t="s">
        <v>456</v>
      </c>
      <c r="B83" s="178">
        <v>8600</v>
      </c>
      <c r="C83" s="258">
        <v>77</v>
      </c>
      <c r="D83" s="259">
        <v>2.1</v>
      </c>
      <c r="E83" s="259">
        <v>6.28</v>
      </c>
      <c r="F83" s="522">
        <v>2.69</v>
      </c>
      <c r="G83" s="361">
        <f>C83*'Data Entry'!$C$14</f>
        <v>2.0420400000000001</v>
      </c>
      <c r="H83" s="516">
        <f t="shared" si="9"/>
        <v>6.2220399999999998</v>
      </c>
      <c r="J83" s="47"/>
      <c r="K83" s="47"/>
    </row>
    <row r="84" spans="1:11" ht="15" customHeight="1" x14ac:dyDescent="0.25">
      <c r="A84" s="709" t="s">
        <v>453</v>
      </c>
      <c r="B84" s="518">
        <v>11500</v>
      </c>
      <c r="C84" s="501">
        <v>104</v>
      </c>
      <c r="D84" s="502">
        <v>2.83</v>
      </c>
      <c r="E84" s="503">
        <v>9.59</v>
      </c>
      <c r="F84" s="521">
        <v>3.47</v>
      </c>
      <c r="G84" s="360">
        <f>C84*'Data Entry'!$C$14</f>
        <v>2.7580799999999996</v>
      </c>
      <c r="H84" s="504">
        <f t="shared" si="9"/>
        <v>9.5180799999999994</v>
      </c>
      <c r="I84" s="539" t="s">
        <v>920</v>
      </c>
      <c r="J84" s="47"/>
      <c r="K84" s="47"/>
    </row>
    <row r="85" spans="1:11" ht="15" customHeight="1" x14ac:dyDescent="0.25">
      <c r="A85" s="353" t="s">
        <v>457</v>
      </c>
      <c r="B85" s="178">
        <v>21500</v>
      </c>
      <c r="C85" s="258">
        <v>160</v>
      </c>
      <c r="D85" s="446">
        <v>4.3499999999999996</v>
      </c>
      <c r="E85" s="259">
        <v>11.06</v>
      </c>
      <c r="F85" s="522">
        <v>4.97</v>
      </c>
      <c r="G85" s="361">
        <f>C85*'Data Entry'!$C$14</f>
        <v>4.2431999999999999</v>
      </c>
      <c r="H85" s="516">
        <f t="shared" si="9"/>
        <v>10.953200000000001</v>
      </c>
      <c r="J85" s="47"/>
      <c r="K85" s="47"/>
    </row>
    <row r="86" spans="1:11" ht="15" customHeight="1" x14ac:dyDescent="0.25">
      <c r="A86" s="714" t="s">
        <v>538</v>
      </c>
      <c r="B86" s="518">
        <v>39500</v>
      </c>
      <c r="C86" s="258">
        <v>272</v>
      </c>
      <c r="D86" s="125">
        <v>7.4</v>
      </c>
      <c r="E86" s="522">
        <v>17.309999999999999</v>
      </c>
      <c r="F86" s="522">
        <v>7.43</v>
      </c>
      <c r="G86" s="361">
        <f>C86*'Data Entry'!$C$14</f>
        <v>7.2134399999999994</v>
      </c>
      <c r="H86" s="516">
        <f t="shared" si="9"/>
        <v>17.123439999999999</v>
      </c>
      <c r="I86" s="539" t="s">
        <v>920</v>
      </c>
      <c r="J86" s="47"/>
      <c r="K86" s="47"/>
    </row>
    <row r="87" spans="1:11" ht="15" customHeight="1" thickBot="1" x14ac:dyDescent="0.3">
      <c r="A87" s="715" t="s">
        <v>452</v>
      </c>
      <c r="B87" s="500">
        <v>60000</v>
      </c>
      <c r="C87" s="258">
        <v>385</v>
      </c>
      <c r="D87" s="354">
        <v>10.48</v>
      </c>
      <c r="E87" s="716">
        <v>20.49</v>
      </c>
      <c r="F87" s="522">
        <v>11.31</v>
      </c>
      <c r="G87" s="361">
        <f>C87*'Data Entry'!$C$14</f>
        <v>10.210199999999999</v>
      </c>
      <c r="H87" s="516">
        <f t="shared" si="9"/>
        <v>20.220199999999998</v>
      </c>
      <c r="I87" s="539" t="s">
        <v>920</v>
      </c>
      <c r="J87" s="47"/>
      <c r="K87" s="47"/>
    </row>
    <row r="88" spans="1:11" ht="15" customHeight="1" thickBot="1" x14ac:dyDescent="0.35">
      <c r="A88" s="721" t="s">
        <v>188</v>
      </c>
      <c r="B88" s="721"/>
      <c r="C88" s="721"/>
      <c r="D88" s="721"/>
      <c r="E88" s="721"/>
      <c r="F88" s="721"/>
      <c r="G88" s="721"/>
    </row>
    <row r="89" spans="1:11" s="251" customFormat="1" ht="15" customHeight="1" thickBot="1" x14ac:dyDescent="0.3">
      <c r="A89" s="494" t="s">
        <v>545</v>
      </c>
      <c r="B89" s="495" t="s">
        <v>446</v>
      </c>
      <c r="C89" s="496" t="s">
        <v>535</v>
      </c>
      <c r="D89" s="496" t="s">
        <v>548</v>
      </c>
      <c r="E89" s="510" t="s">
        <v>577</v>
      </c>
      <c r="F89" s="497" t="s">
        <v>547</v>
      </c>
      <c r="G89" s="498" t="s">
        <v>576</v>
      </c>
      <c r="H89" s="717" t="s">
        <v>919</v>
      </c>
      <c r="I89" s="260"/>
      <c r="J89" s="260"/>
    </row>
    <row r="90" spans="1:11" ht="15" customHeight="1" x14ac:dyDescent="0.25">
      <c r="A90" s="511" t="s">
        <v>540</v>
      </c>
      <c r="B90" s="500">
        <v>1000</v>
      </c>
      <c r="C90" s="501">
        <v>36</v>
      </c>
      <c r="D90" s="502">
        <v>0.98</v>
      </c>
      <c r="E90" s="503" t="s">
        <v>409</v>
      </c>
      <c r="F90" s="503" t="s">
        <v>409</v>
      </c>
      <c r="G90" s="504">
        <f>C90*'Data Entry'!$C$14</f>
        <v>0.9547199999999999</v>
      </c>
      <c r="J90" s="47"/>
    </row>
    <row r="91" spans="1:11" ht="15" customHeight="1" x14ac:dyDescent="0.25">
      <c r="A91" s="512" t="s">
        <v>541</v>
      </c>
      <c r="B91" s="513">
        <v>2500</v>
      </c>
      <c r="C91" s="514">
        <v>71</v>
      </c>
      <c r="D91" s="515">
        <v>1.93</v>
      </c>
      <c r="E91" s="503" t="s">
        <v>409</v>
      </c>
      <c r="F91" s="503" t="s">
        <v>409</v>
      </c>
      <c r="G91" s="516">
        <f>C91*'Data Entry'!$C$14</f>
        <v>1.8829199999999999</v>
      </c>
      <c r="J91" s="47"/>
    </row>
    <row r="92" spans="1:11" ht="15" customHeight="1" x14ac:dyDescent="0.25">
      <c r="A92" s="517" t="s">
        <v>542</v>
      </c>
      <c r="B92" s="518">
        <v>4000</v>
      </c>
      <c r="C92" s="501">
        <v>116</v>
      </c>
      <c r="D92" s="515">
        <v>3.16</v>
      </c>
      <c r="E92" s="503" t="s">
        <v>409</v>
      </c>
      <c r="F92" s="503" t="s">
        <v>409</v>
      </c>
      <c r="G92" s="504">
        <f>C92*'Data Entry'!$C$14</f>
        <v>3.0763199999999999</v>
      </c>
      <c r="J92" s="47"/>
    </row>
    <row r="93" spans="1:11" ht="15" customHeight="1" x14ac:dyDescent="0.25">
      <c r="A93" s="512" t="s">
        <v>543</v>
      </c>
      <c r="B93" s="513">
        <v>6000</v>
      </c>
      <c r="C93" s="514">
        <v>158</v>
      </c>
      <c r="D93" s="515">
        <v>4.3</v>
      </c>
      <c r="E93" s="503" t="s">
        <v>409</v>
      </c>
      <c r="F93" s="503" t="s">
        <v>409</v>
      </c>
      <c r="G93" s="516">
        <f>C93*'Data Entry'!$C$14</f>
        <v>4.1901599999999997</v>
      </c>
      <c r="J93" s="47"/>
    </row>
    <row r="94" spans="1:11" ht="15" customHeight="1" thickBot="1" x14ac:dyDescent="0.3">
      <c r="A94" s="519" t="s">
        <v>544</v>
      </c>
      <c r="B94" s="520">
        <v>10000</v>
      </c>
      <c r="C94" s="507">
        <v>244</v>
      </c>
      <c r="D94" s="515">
        <v>6.64</v>
      </c>
      <c r="E94" s="503" t="s">
        <v>409</v>
      </c>
      <c r="F94" s="503" t="s">
        <v>409</v>
      </c>
      <c r="G94" s="509">
        <f>C94*'Data Entry'!$C$14</f>
        <v>6.4708799999999993</v>
      </c>
      <c r="J94" s="47"/>
    </row>
    <row r="95" spans="1:11" ht="15" customHeight="1" thickBot="1" x14ac:dyDescent="0.35">
      <c r="A95" s="721" t="s">
        <v>537</v>
      </c>
      <c r="B95" s="721"/>
      <c r="C95" s="721"/>
      <c r="D95" s="721"/>
      <c r="E95" s="721"/>
      <c r="F95" s="721"/>
      <c r="G95" s="721"/>
    </row>
    <row r="96" spans="1:11" s="251" customFormat="1" ht="15" customHeight="1" thickBot="1" x14ac:dyDescent="0.3">
      <c r="A96" s="494" t="s">
        <v>545</v>
      </c>
      <c r="B96" s="495" t="s">
        <v>446</v>
      </c>
      <c r="C96" s="496" t="s">
        <v>535</v>
      </c>
      <c r="D96" s="496" t="s">
        <v>548</v>
      </c>
      <c r="E96" s="497" t="s">
        <v>546</v>
      </c>
      <c r="F96" s="497" t="s">
        <v>547</v>
      </c>
      <c r="G96" s="498" t="s">
        <v>576</v>
      </c>
      <c r="H96" s="717" t="s">
        <v>919</v>
      </c>
      <c r="I96" s="260"/>
      <c r="J96" s="260"/>
      <c r="K96" s="260"/>
    </row>
    <row r="97" spans="1:11" ht="15" customHeight="1" x14ac:dyDescent="0.25">
      <c r="A97" s="499" t="s">
        <v>579</v>
      </c>
      <c r="B97" s="500">
        <v>19800</v>
      </c>
      <c r="C97" s="501">
        <v>122</v>
      </c>
      <c r="D97" s="502">
        <v>3.32</v>
      </c>
      <c r="E97" s="503" t="s">
        <v>409</v>
      </c>
      <c r="F97" s="503" t="s">
        <v>409</v>
      </c>
      <c r="G97" s="504">
        <f>C97*'Data Entry'!$C$14</f>
        <v>3.2354399999999996</v>
      </c>
      <c r="J97" s="47"/>
      <c r="K97" s="47"/>
    </row>
    <row r="98" spans="1:11" ht="15" customHeight="1" thickBot="1" x14ac:dyDescent="0.3">
      <c r="A98" s="505" t="s">
        <v>538</v>
      </c>
      <c r="B98" s="506">
        <v>39600</v>
      </c>
      <c r="C98" s="507">
        <v>264</v>
      </c>
      <c r="D98" s="515">
        <v>7.18</v>
      </c>
      <c r="E98" s="508" t="s">
        <v>409</v>
      </c>
      <c r="F98" s="508" t="s">
        <v>409</v>
      </c>
      <c r="G98" s="509">
        <f>C98*'Data Entry'!$C$14</f>
        <v>7.0012799999999995</v>
      </c>
      <c r="J98" s="47"/>
      <c r="K98" s="47"/>
    </row>
  </sheetData>
  <mergeCells count="14">
    <mergeCell ref="A95:G95"/>
    <mergeCell ref="A6:K6"/>
    <mergeCell ref="A10:K10"/>
    <mergeCell ref="A28:F28"/>
    <mergeCell ref="A21:J21"/>
    <mergeCell ref="A7:K7"/>
    <mergeCell ref="A35:K35"/>
    <mergeCell ref="A44:K44"/>
    <mergeCell ref="A53:K53"/>
    <mergeCell ref="A62:K62"/>
    <mergeCell ref="A71:K71"/>
    <mergeCell ref="A80:G80"/>
    <mergeCell ref="A88:G88"/>
    <mergeCell ref="F34:H34"/>
  </mergeCells>
  <phoneticPr fontId="28" type="noConversion"/>
  <pageMargins left="0.75" right="0.54" top="1" bottom="1" header="0.5" footer="0.5"/>
  <pageSetup scale="77"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workbookViewId="0">
      <selection activeCell="C30" sqref="C30"/>
    </sheetView>
  </sheetViews>
  <sheetFormatPr defaultRowHeight="13.2" x14ac:dyDescent="0.25"/>
  <sheetData>
    <row r="1" spans="1:13" x14ac:dyDescent="0.25">
      <c r="A1" s="773" t="s">
        <v>932</v>
      </c>
    </row>
    <row r="2" spans="1:13" x14ac:dyDescent="0.25">
      <c r="A2" s="773" t="s">
        <v>923</v>
      </c>
    </row>
    <row r="4" spans="1:13" ht="45" x14ac:dyDescent="0.75">
      <c r="A4" s="262" t="s">
        <v>810</v>
      </c>
      <c r="B4" s="262"/>
      <c r="C4" s="262"/>
      <c r="D4" s="262"/>
      <c r="E4" s="262"/>
      <c r="F4" s="262"/>
      <c r="G4" s="262"/>
      <c r="H4" s="262"/>
      <c r="I4" s="262"/>
      <c r="J4" s="261"/>
      <c r="K4" s="261"/>
      <c r="L4" s="261"/>
      <c r="M4" s="261"/>
    </row>
  </sheetData>
  <phoneticPr fontId="28" type="noConversion"/>
  <pageMargins left="0.75" right="0.75" top="1" bottom="1" header="0.5" footer="0.5"/>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9"/>
  <sheetViews>
    <sheetView workbookViewId="0">
      <selection activeCell="B2" sqref="B1:B2"/>
    </sheetView>
  </sheetViews>
  <sheetFormatPr defaultRowHeight="13.2" x14ac:dyDescent="0.25"/>
  <cols>
    <col min="1" max="1" width="29" customWidth="1"/>
    <col min="2" max="2" width="12.44140625" customWidth="1"/>
    <col min="3" max="3" width="12.6640625" style="286" customWidth="1"/>
    <col min="4" max="4" width="20.109375" customWidth="1"/>
    <col min="5" max="5" width="18.5546875" customWidth="1"/>
    <col min="6" max="6" width="12.33203125" customWidth="1"/>
    <col min="7" max="7" width="12" customWidth="1"/>
  </cols>
  <sheetData>
    <row r="1" spans="1:9" ht="14.4" x14ac:dyDescent="0.3">
      <c r="A1" s="390" t="s">
        <v>774</v>
      </c>
      <c r="B1" s="773" t="s">
        <v>933</v>
      </c>
      <c r="C1"/>
      <c r="I1" s="277"/>
    </row>
    <row r="2" spans="1:9" ht="15" thickBot="1" x14ac:dyDescent="0.35">
      <c r="A2" s="390"/>
      <c r="B2" s="773" t="s">
        <v>923</v>
      </c>
      <c r="C2"/>
    </row>
    <row r="3" spans="1:9" ht="17.399999999999999" x14ac:dyDescent="0.3">
      <c r="A3" s="765" t="s">
        <v>19</v>
      </c>
      <c r="B3" s="766"/>
      <c r="C3" s="766"/>
      <c r="D3" s="767"/>
      <c r="E3" s="394"/>
      <c r="F3" s="394"/>
      <c r="G3" s="395"/>
    </row>
    <row r="4" spans="1:9" ht="24.6" thickBot="1" x14ac:dyDescent="0.45">
      <c r="A4" s="396" t="s">
        <v>20</v>
      </c>
      <c r="B4" s="397" t="s">
        <v>21</v>
      </c>
      <c r="C4" s="398" t="s">
        <v>22</v>
      </c>
      <c r="D4" s="399" t="s">
        <v>23</v>
      </c>
      <c r="E4" s="400" t="s">
        <v>585</v>
      </c>
      <c r="F4" s="399" t="s">
        <v>586</v>
      </c>
      <c r="G4" s="399" t="s">
        <v>587</v>
      </c>
    </row>
    <row r="5" spans="1:9" ht="13.8" thickBot="1" x14ac:dyDescent="0.3">
      <c r="A5" s="401" t="s">
        <v>24</v>
      </c>
      <c r="B5" s="402" t="s">
        <v>588</v>
      </c>
      <c r="C5" s="403">
        <v>0.22</v>
      </c>
      <c r="D5" s="402" t="s">
        <v>25</v>
      </c>
      <c r="E5" s="403">
        <v>0.21</v>
      </c>
      <c r="F5" s="404">
        <v>-0.01</v>
      </c>
      <c r="G5" s="405">
        <v>-2.3300000000000001E-2</v>
      </c>
    </row>
    <row r="6" spans="1:9" ht="13.8" thickBot="1" x14ac:dyDescent="0.3">
      <c r="A6" s="401" t="s">
        <v>26</v>
      </c>
      <c r="B6" s="402" t="s">
        <v>589</v>
      </c>
      <c r="C6" s="403">
        <v>0.09</v>
      </c>
      <c r="D6" s="402" t="s">
        <v>25</v>
      </c>
      <c r="E6" s="403">
        <v>0.09</v>
      </c>
      <c r="F6" s="404">
        <v>0</v>
      </c>
      <c r="G6" s="405">
        <v>1.2999999999999999E-3</v>
      </c>
    </row>
    <row r="7" spans="1:9" ht="13.8" thickBot="1" x14ac:dyDescent="0.3">
      <c r="A7" s="401" t="s">
        <v>27</v>
      </c>
      <c r="B7" s="402" t="s">
        <v>590</v>
      </c>
      <c r="C7" s="403">
        <v>0.09</v>
      </c>
      <c r="D7" s="402" t="s">
        <v>25</v>
      </c>
      <c r="E7" s="403">
        <v>0.09</v>
      </c>
      <c r="F7" s="404">
        <v>0</v>
      </c>
      <c r="G7" s="405">
        <v>7.7999999999999996E-3</v>
      </c>
    </row>
    <row r="8" spans="1:9" ht="13.8" thickBot="1" x14ac:dyDescent="0.3">
      <c r="A8" s="401" t="s">
        <v>28</v>
      </c>
      <c r="B8" s="402" t="s">
        <v>591</v>
      </c>
      <c r="C8" s="403">
        <v>0.17</v>
      </c>
      <c r="D8" s="402" t="s">
        <v>29</v>
      </c>
      <c r="E8" s="403">
        <v>0.17</v>
      </c>
      <c r="F8" s="404">
        <v>0</v>
      </c>
      <c r="G8" s="405">
        <v>0</v>
      </c>
    </row>
    <row r="9" spans="1:9" ht="13.8" thickBot="1" x14ac:dyDescent="0.3">
      <c r="A9" s="401" t="s">
        <v>30</v>
      </c>
      <c r="B9" s="402" t="s">
        <v>592</v>
      </c>
      <c r="C9" s="403">
        <v>0.48</v>
      </c>
      <c r="D9" s="402" t="s">
        <v>25</v>
      </c>
      <c r="E9" s="403">
        <v>0.48</v>
      </c>
      <c r="F9" s="404">
        <v>0</v>
      </c>
      <c r="G9" s="405">
        <v>4.3E-3</v>
      </c>
    </row>
    <row r="10" spans="1:9" ht="13.8" thickBot="1" x14ac:dyDescent="0.3">
      <c r="A10" s="401" t="s">
        <v>31</v>
      </c>
      <c r="B10" s="402" t="s">
        <v>593</v>
      </c>
      <c r="C10" s="403">
        <v>0.37</v>
      </c>
      <c r="D10" s="402" t="s">
        <v>25</v>
      </c>
      <c r="E10" s="403">
        <v>0.36</v>
      </c>
      <c r="F10" s="404">
        <v>-0.01</v>
      </c>
      <c r="G10" s="405">
        <v>-2.4799999999999999E-2</v>
      </c>
    </row>
    <row r="11" spans="1:9" ht="13.8" thickBot="1" x14ac:dyDescent="0.3">
      <c r="A11" s="401" t="s">
        <v>32</v>
      </c>
      <c r="B11" s="402" t="s">
        <v>594</v>
      </c>
      <c r="C11" s="403">
        <v>0.59</v>
      </c>
      <c r="D11" s="402" t="s">
        <v>25</v>
      </c>
      <c r="E11" s="403">
        <v>0.61</v>
      </c>
      <c r="F11" s="404">
        <v>0.02</v>
      </c>
      <c r="G11" s="405">
        <v>2.5700000000000001E-2</v>
      </c>
    </row>
    <row r="12" spans="1:9" ht="13.8" thickBot="1" x14ac:dyDescent="0.3">
      <c r="A12" s="401" t="s">
        <v>33</v>
      </c>
      <c r="B12" s="402" t="s">
        <v>595</v>
      </c>
      <c r="C12" s="403">
        <v>0.13</v>
      </c>
      <c r="D12" s="402" t="s">
        <v>25</v>
      </c>
      <c r="E12" s="403">
        <v>0.13</v>
      </c>
      <c r="F12" s="404">
        <v>0</v>
      </c>
      <c r="G12" s="405">
        <v>1.61E-2</v>
      </c>
    </row>
    <row r="13" spans="1:9" ht="13.8" thickBot="1" x14ac:dyDescent="0.3">
      <c r="A13" s="401" t="s">
        <v>34</v>
      </c>
      <c r="B13" s="402" t="s">
        <v>596</v>
      </c>
      <c r="C13" s="403">
        <v>1.0900000000000001</v>
      </c>
      <c r="D13" s="402" t="s">
        <v>29</v>
      </c>
      <c r="E13" s="403">
        <v>1.08</v>
      </c>
      <c r="F13" s="404">
        <v>-0.01</v>
      </c>
      <c r="G13" s="405">
        <v>-9.1999999999999998E-3</v>
      </c>
    </row>
    <row r="14" spans="1:9" ht="13.8" thickBot="1" x14ac:dyDescent="0.3">
      <c r="A14" s="401" t="s">
        <v>35</v>
      </c>
      <c r="B14" s="402" t="s">
        <v>597</v>
      </c>
      <c r="C14" s="403">
        <v>0.51</v>
      </c>
      <c r="D14" s="402" t="s">
        <v>29</v>
      </c>
      <c r="E14" s="403">
        <v>0.51</v>
      </c>
      <c r="F14" s="404">
        <v>0</v>
      </c>
      <c r="G14" s="405">
        <v>0</v>
      </c>
    </row>
    <row r="15" spans="1:9" ht="13.8" thickBot="1" x14ac:dyDescent="0.3">
      <c r="A15" s="401" t="s">
        <v>36</v>
      </c>
      <c r="B15" s="402" t="s">
        <v>598</v>
      </c>
      <c r="C15" s="403">
        <v>2.2400000000000002</v>
      </c>
      <c r="D15" s="402" t="s">
        <v>29</v>
      </c>
      <c r="E15" s="403">
        <v>2.21</v>
      </c>
      <c r="F15" s="404">
        <v>-0.03</v>
      </c>
      <c r="G15" s="405">
        <v>-1.34E-2</v>
      </c>
    </row>
    <row r="16" spans="1:9" ht="13.8" thickBot="1" x14ac:dyDescent="0.3">
      <c r="A16" s="401" t="s">
        <v>37</v>
      </c>
      <c r="B16" s="402" t="s">
        <v>599</v>
      </c>
      <c r="C16" s="403">
        <v>10.95</v>
      </c>
      <c r="D16" s="402" t="s">
        <v>29</v>
      </c>
      <c r="E16" s="403">
        <v>10.89</v>
      </c>
      <c r="F16" s="404">
        <v>-0.06</v>
      </c>
      <c r="G16" s="405">
        <v>-5.4999999999999997E-3</v>
      </c>
    </row>
    <row r="17" spans="1:7" ht="13.8" thickBot="1" x14ac:dyDescent="0.3">
      <c r="A17" s="401" t="s">
        <v>400</v>
      </c>
      <c r="B17" s="402" t="s">
        <v>600</v>
      </c>
      <c r="C17" s="403">
        <v>1.1299999999999999</v>
      </c>
      <c r="D17" s="402" t="s">
        <v>29</v>
      </c>
      <c r="E17" s="403">
        <v>1.1299999999999999</v>
      </c>
      <c r="F17" s="404">
        <v>0</v>
      </c>
      <c r="G17" s="405">
        <v>0</v>
      </c>
    </row>
    <row r="18" spans="1:7" ht="13.8" thickBot="1" x14ac:dyDescent="0.3">
      <c r="A18" s="401" t="s">
        <v>38</v>
      </c>
      <c r="B18" s="402" t="s">
        <v>601</v>
      </c>
      <c r="C18" s="403">
        <v>0.9</v>
      </c>
      <c r="D18" s="402" t="s">
        <v>29</v>
      </c>
      <c r="E18" s="403">
        <v>0.89</v>
      </c>
      <c r="F18" s="404">
        <v>-0.01</v>
      </c>
      <c r="G18" s="405">
        <v>-1.11E-2</v>
      </c>
    </row>
    <row r="19" spans="1:7" ht="13.8" thickBot="1" x14ac:dyDescent="0.3">
      <c r="A19" s="401" t="s">
        <v>39</v>
      </c>
      <c r="B19" s="402" t="s">
        <v>602</v>
      </c>
      <c r="C19" s="403">
        <v>0.79</v>
      </c>
      <c r="D19" s="402" t="s">
        <v>29</v>
      </c>
      <c r="E19" s="403">
        <v>0.79</v>
      </c>
      <c r="F19" s="404">
        <v>0</v>
      </c>
      <c r="G19" s="405">
        <v>0</v>
      </c>
    </row>
    <row r="20" spans="1:7" ht="13.8" thickBot="1" x14ac:dyDescent="0.3">
      <c r="A20" s="401" t="s">
        <v>40</v>
      </c>
      <c r="B20" s="402" t="s">
        <v>603</v>
      </c>
      <c r="C20" s="403">
        <v>11.36</v>
      </c>
      <c r="D20" s="402" t="s">
        <v>29</v>
      </c>
      <c r="E20" s="403">
        <v>11.84</v>
      </c>
      <c r="F20" s="404">
        <v>0.48</v>
      </c>
      <c r="G20" s="405">
        <v>4.2299999999999997E-2</v>
      </c>
    </row>
    <row r="21" spans="1:7" ht="13.8" thickBot="1" x14ac:dyDescent="0.3">
      <c r="A21" s="401" t="s">
        <v>41</v>
      </c>
      <c r="B21" s="402" t="s">
        <v>604</v>
      </c>
      <c r="C21" s="403">
        <v>3.74</v>
      </c>
      <c r="D21" s="402" t="s">
        <v>42</v>
      </c>
      <c r="E21" s="403">
        <v>3.93</v>
      </c>
      <c r="F21" s="404">
        <v>0.19</v>
      </c>
      <c r="G21" s="405">
        <v>5.1400000000000001E-2</v>
      </c>
    </row>
    <row r="22" spans="1:7" ht="13.8" thickBot="1" x14ac:dyDescent="0.3">
      <c r="A22" s="401" t="s">
        <v>43</v>
      </c>
      <c r="B22" s="402" t="s">
        <v>605</v>
      </c>
      <c r="C22" s="403">
        <v>0.38</v>
      </c>
      <c r="D22" s="402" t="s">
        <v>29</v>
      </c>
      <c r="E22" s="403">
        <v>0.45</v>
      </c>
      <c r="F22" s="404">
        <v>7.0000000000000007E-2</v>
      </c>
      <c r="G22" s="405">
        <v>0.1842</v>
      </c>
    </row>
    <row r="23" spans="1:7" ht="13.8" thickBot="1" x14ac:dyDescent="0.3">
      <c r="A23" s="401" t="s">
        <v>44</v>
      </c>
      <c r="B23" s="402" t="s">
        <v>606</v>
      </c>
      <c r="C23" s="403">
        <v>1</v>
      </c>
      <c r="D23" s="402" t="s">
        <v>29</v>
      </c>
      <c r="E23" s="403">
        <v>0.86</v>
      </c>
      <c r="F23" s="404">
        <v>-0.14000000000000001</v>
      </c>
      <c r="G23" s="405">
        <v>-0.14000000000000001</v>
      </c>
    </row>
    <row r="24" spans="1:7" ht="13.8" thickBot="1" x14ac:dyDescent="0.3">
      <c r="A24" s="401" t="s">
        <v>45</v>
      </c>
      <c r="B24" s="402" t="s">
        <v>607</v>
      </c>
      <c r="C24" s="403">
        <v>5.51</v>
      </c>
      <c r="D24" s="402" t="s">
        <v>42</v>
      </c>
      <c r="E24" s="403">
        <v>6.21</v>
      </c>
      <c r="F24" s="404">
        <v>0.7</v>
      </c>
      <c r="G24" s="405">
        <v>0.1273</v>
      </c>
    </row>
    <row r="25" spans="1:7" ht="13.8" thickBot="1" x14ac:dyDescent="0.3">
      <c r="A25" s="401" t="s">
        <v>46</v>
      </c>
      <c r="B25" s="402" t="s">
        <v>608</v>
      </c>
      <c r="C25" s="403">
        <v>0.14000000000000001</v>
      </c>
      <c r="D25" s="402" t="s">
        <v>29</v>
      </c>
      <c r="E25" s="403">
        <v>0.12</v>
      </c>
      <c r="F25" s="404">
        <v>-0.02</v>
      </c>
      <c r="G25" s="405">
        <v>-0.1429</v>
      </c>
    </row>
    <row r="26" spans="1:7" ht="13.8" thickBot="1" x14ac:dyDescent="0.3">
      <c r="A26" s="401" t="s">
        <v>47</v>
      </c>
      <c r="B26" s="402" t="s">
        <v>609</v>
      </c>
      <c r="C26" s="403">
        <v>7.0000000000000007E-2</v>
      </c>
      <c r="D26" s="402" t="s">
        <v>29</v>
      </c>
      <c r="E26" s="403">
        <v>7.0000000000000007E-2</v>
      </c>
      <c r="F26" s="404">
        <v>0</v>
      </c>
      <c r="G26" s="405">
        <v>0</v>
      </c>
    </row>
    <row r="27" spans="1:7" ht="13.8" thickBot="1" x14ac:dyDescent="0.3">
      <c r="A27" s="401" t="s">
        <v>48</v>
      </c>
      <c r="B27" s="402" t="s">
        <v>610</v>
      </c>
      <c r="C27" s="403">
        <v>0.21</v>
      </c>
      <c r="D27" s="402" t="s">
        <v>29</v>
      </c>
      <c r="E27" s="403">
        <v>0.17</v>
      </c>
      <c r="F27" s="404">
        <v>-0.04</v>
      </c>
      <c r="G27" s="405">
        <v>-0.1905</v>
      </c>
    </row>
    <row r="28" spans="1:7" ht="13.8" thickBot="1" x14ac:dyDescent="0.3">
      <c r="A28" s="401" t="s">
        <v>49</v>
      </c>
      <c r="B28" s="402" t="s">
        <v>611</v>
      </c>
      <c r="C28" s="403">
        <v>0.11</v>
      </c>
      <c r="D28" s="402" t="s">
        <v>29</v>
      </c>
      <c r="E28" s="403">
        <v>0.18</v>
      </c>
      <c r="F28" s="404">
        <v>7.0000000000000007E-2</v>
      </c>
      <c r="G28" s="405">
        <v>0.63639999999999997</v>
      </c>
    </row>
    <row r="29" spans="1:7" ht="13.8" thickBot="1" x14ac:dyDescent="0.3">
      <c r="A29" s="401" t="s">
        <v>50</v>
      </c>
      <c r="B29" s="402" t="s">
        <v>612</v>
      </c>
      <c r="C29" s="403">
        <v>0.14000000000000001</v>
      </c>
      <c r="D29" s="402" t="s">
        <v>29</v>
      </c>
      <c r="E29" s="403">
        <v>0.14000000000000001</v>
      </c>
      <c r="F29" s="404">
        <v>0</v>
      </c>
      <c r="G29" s="405">
        <v>0</v>
      </c>
    </row>
    <row r="30" spans="1:7" ht="13.8" thickBot="1" x14ac:dyDescent="0.3">
      <c r="A30" s="401" t="s">
        <v>51</v>
      </c>
      <c r="B30" s="402" t="s">
        <v>613</v>
      </c>
      <c r="C30" s="403">
        <v>0.17</v>
      </c>
      <c r="D30" s="402" t="s">
        <v>29</v>
      </c>
      <c r="E30" s="403">
        <v>0.22</v>
      </c>
      <c r="F30" s="404">
        <v>0.05</v>
      </c>
      <c r="G30" s="405">
        <v>0.29409999999999997</v>
      </c>
    </row>
    <row r="31" spans="1:7" ht="13.8" thickBot="1" x14ac:dyDescent="0.3">
      <c r="A31" s="401" t="s">
        <v>52</v>
      </c>
      <c r="B31" s="402" t="s">
        <v>614</v>
      </c>
      <c r="C31" s="403">
        <v>100</v>
      </c>
      <c r="D31" s="402" t="s">
        <v>29</v>
      </c>
      <c r="E31" s="403">
        <v>94.14</v>
      </c>
      <c r="F31" s="404">
        <v>-5.86</v>
      </c>
      <c r="G31" s="405">
        <v>-5.8599999999999999E-2</v>
      </c>
    </row>
    <row r="32" spans="1:7" ht="13.8" thickBot="1" x14ac:dyDescent="0.3">
      <c r="A32" s="401" t="s">
        <v>53</v>
      </c>
      <c r="B32" s="402" t="s">
        <v>615</v>
      </c>
      <c r="C32" s="403">
        <v>196</v>
      </c>
      <c r="D32" s="402" t="s">
        <v>29</v>
      </c>
      <c r="E32" s="403">
        <v>132.44</v>
      </c>
      <c r="F32" s="404">
        <v>-63.56</v>
      </c>
      <c r="G32" s="405">
        <v>-0.32429999999999998</v>
      </c>
    </row>
    <row r="33" spans="1:7" ht="13.8" thickBot="1" x14ac:dyDescent="0.3">
      <c r="A33" s="401" t="s">
        <v>54</v>
      </c>
      <c r="B33" s="402" t="s">
        <v>616</v>
      </c>
      <c r="C33" s="403">
        <v>232</v>
      </c>
      <c r="D33" s="402" t="s">
        <v>29</v>
      </c>
      <c r="E33" s="403">
        <v>176.91</v>
      </c>
      <c r="F33" s="404">
        <v>-55.09</v>
      </c>
      <c r="G33" s="405">
        <v>-0.23749999999999999</v>
      </c>
    </row>
    <row r="34" spans="1:7" ht="13.8" thickBot="1" x14ac:dyDescent="0.3">
      <c r="A34" s="401" t="s">
        <v>55</v>
      </c>
      <c r="B34" s="402" t="s">
        <v>617</v>
      </c>
      <c r="C34" s="403">
        <v>239.86</v>
      </c>
      <c r="D34" s="402" t="s">
        <v>29</v>
      </c>
      <c r="E34" s="403">
        <v>256.63</v>
      </c>
      <c r="F34" s="404">
        <v>16.77</v>
      </c>
      <c r="G34" s="405">
        <v>6.9900000000000004E-2</v>
      </c>
    </row>
    <row r="35" spans="1:7" ht="13.8" thickBot="1" x14ac:dyDescent="0.3">
      <c r="A35" s="401" t="s">
        <v>492</v>
      </c>
      <c r="B35" s="402" t="s">
        <v>618</v>
      </c>
      <c r="C35" s="403">
        <v>273.83999999999997</v>
      </c>
      <c r="D35" s="402" t="s">
        <v>29</v>
      </c>
      <c r="E35" s="403">
        <v>424.91</v>
      </c>
      <c r="F35" s="404">
        <v>151.07</v>
      </c>
      <c r="G35" s="405">
        <v>0.55169999999999997</v>
      </c>
    </row>
    <row r="36" spans="1:7" ht="13.8" thickBot="1" x14ac:dyDescent="0.3">
      <c r="A36" s="401" t="s">
        <v>56</v>
      </c>
      <c r="B36" s="402" t="s">
        <v>619</v>
      </c>
      <c r="C36" s="403">
        <v>261.63</v>
      </c>
      <c r="D36" s="402" t="s">
        <v>29</v>
      </c>
      <c r="E36" s="403">
        <v>176.72</v>
      </c>
      <c r="F36" s="404">
        <v>-84.91</v>
      </c>
      <c r="G36" s="405">
        <v>-0.32450000000000001</v>
      </c>
    </row>
    <row r="37" spans="1:7" ht="13.8" thickBot="1" x14ac:dyDescent="0.3">
      <c r="A37" s="401" t="s">
        <v>57</v>
      </c>
      <c r="B37" s="402" t="s">
        <v>620</v>
      </c>
      <c r="C37" s="403">
        <v>354.77</v>
      </c>
      <c r="D37" s="402" t="s">
        <v>29</v>
      </c>
      <c r="E37" s="403">
        <v>283.48</v>
      </c>
      <c r="F37" s="404">
        <v>-71.290000000000006</v>
      </c>
      <c r="G37" s="405">
        <v>-0.2009</v>
      </c>
    </row>
    <row r="38" spans="1:7" ht="13.8" thickBot="1" x14ac:dyDescent="0.3">
      <c r="A38" s="401" t="s">
        <v>58</v>
      </c>
      <c r="B38" s="402" t="s">
        <v>621</v>
      </c>
      <c r="C38" s="403">
        <v>395</v>
      </c>
      <c r="D38" s="402" t="s">
        <v>29</v>
      </c>
      <c r="E38" s="403">
        <v>315.63</v>
      </c>
      <c r="F38" s="404">
        <v>-79.37</v>
      </c>
      <c r="G38" s="405">
        <v>-0.2009</v>
      </c>
    </row>
    <row r="39" spans="1:7" ht="13.8" thickBot="1" x14ac:dyDescent="0.3">
      <c r="A39" s="401" t="s">
        <v>59</v>
      </c>
      <c r="B39" s="402" t="s">
        <v>622</v>
      </c>
      <c r="C39" s="403">
        <v>639</v>
      </c>
      <c r="D39" s="402" t="s">
        <v>29</v>
      </c>
      <c r="E39" s="403">
        <v>678.48</v>
      </c>
      <c r="F39" s="404">
        <v>39.479999999999997</v>
      </c>
      <c r="G39" s="405">
        <v>6.1800000000000001E-2</v>
      </c>
    </row>
    <row r="40" spans="1:7" ht="13.8" thickBot="1" x14ac:dyDescent="0.3">
      <c r="A40" s="401" t="s">
        <v>60</v>
      </c>
      <c r="B40" s="402" t="s">
        <v>623</v>
      </c>
      <c r="C40" s="403">
        <v>519</v>
      </c>
      <c r="D40" s="402" t="s">
        <v>29</v>
      </c>
      <c r="E40" s="403">
        <v>580.11</v>
      </c>
      <c r="F40" s="404">
        <v>61.11</v>
      </c>
      <c r="G40" s="405">
        <v>0.1177</v>
      </c>
    </row>
    <row r="41" spans="1:7" ht="13.8" thickBot="1" x14ac:dyDescent="0.3">
      <c r="A41" s="401" t="s">
        <v>61</v>
      </c>
      <c r="B41" s="402" t="s">
        <v>624</v>
      </c>
      <c r="C41" s="403">
        <v>565</v>
      </c>
      <c r="D41" s="402" t="s">
        <v>29</v>
      </c>
      <c r="E41" s="403">
        <v>630.70000000000005</v>
      </c>
      <c r="F41" s="404">
        <v>65.7</v>
      </c>
      <c r="G41" s="405">
        <v>0.1163</v>
      </c>
    </row>
    <row r="42" spans="1:7" ht="13.8" thickBot="1" x14ac:dyDescent="0.3">
      <c r="A42" s="401" t="s">
        <v>62</v>
      </c>
      <c r="B42" s="402" t="s">
        <v>625</v>
      </c>
      <c r="C42" s="403">
        <v>995</v>
      </c>
      <c r="D42" s="402" t="s">
        <v>29</v>
      </c>
      <c r="E42" s="403">
        <v>720.8</v>
      </c>
      <c r="F42" s="404">
        <v>-274.2</v>
      </c>
      <c r="G42" s="405">
        <v>-0.27560000000000001</v>
      </c>
    </row>
    <row r="43" spans="1:7" ht="13.8" thickBot="1" x14ac:dyDescent="0.3">
      <c r="A43" s="401" t="s">
        <v>63</v>
      </c>
      <c r="B43" s="402" t="s">
        <v>626</v>
      </c>
      <c r="C43" s="403">
        <v>118</v>
      </c>
      <c r="D43" s="402" t="s">
        <v>29</v>
      </c>
      <c r="E43" s="403">
        <v>136.58000000000001</v>
      </c>
      <c r="F43" s="404">
        <v>18.579999999999998</v>
      </c>
      <c r="G43" s="405">
        <v>0.1575</v>
      </c>
    </row>
    <row r="44" spans="1:7" ht="13.8" thickBot="1" x14ac:dyDescent="0.3">
      <c r="A44" s="401" t="s">
        <v>401</v>
      </c>
      <c r="B44" s="402" t="s">
        <v>627</v>
      </c>
      <c r="C44" s="403">
        <v>55.28</v>
      </c>
      <c r="D44" s="402" t="s">
        <v>29</v>
      </c>
      <c r="E44" s="403">
        <v>59.96</v>
      </c>
      <c r="F44" s="404">
        <v>4.68</v>
      </c>
      <c r="G44" s="405">
        <v>8.4699999999999998E-2</v>
      </c>
    </row>
    <row r="45" spans="1:7" ht="13.8" thickBot="1" x14ac:dyDescent="0.3">
      <c r="A45" s="401" t="s">
        <v>64</v>
      </c>
      <c r="B45" s="402" t="s">
        <v>628</v>
      </c>
      <c r="C45" s="403">
        <v>2.48</v>
      </c>
      <c r="D45" s="402" t="s">
        <v>29</v>
      </c>
      <c r="E45" s="403">
        <v>2.4900000000000002</v>
      </c>
      <c r="F45" s="404">
        <v>0.01</v>
      </c>
      <c r="G45" s="405">
        <v>4.0000000000000001E-3</v>
      </c>
    </row>
    <row r="46" spans="1:7" ht="13.8" thickBot="1" x14ac:dyDescent="0.3">
      <c r="A46" s="401" t="s">
        <v>65</v>
      </c>
      <c r="B46" s="402" t="s">
        <v>629</v>
      </c>
      <c r="C46" s="403">
        <v>4.99</v>
      </c>
      <c r="D46" s="402" t="s">
        <v>29</v>
      </c>
      <c r="E46" s="403">
        <v>4.92</v>
      </c>
      <c r="F46" s="404">
        <v>-7.0000000000000007E-2</v>
      </c>
      <c r="G46" s="405">
        <v>-1.4E-2</v>
      </c>
    </row>
    <row r="47" spans="1:7" ht="13.8" thickBot="1" x14ac:dyDescent="0.3">
      <c r="A47" s="417" t="s">
        <v>474</v>
      </c>
      <c r="B47" s="418" t="s">
        <v>630</v>
      </c>
      <c r="C47" s="419">
        <v>0.48</v>
      </c>
      <c r="D47" s="418" t="s">
        <v>25</v>
      </c>
      <c r="E47" s="420">
        <v>0.43</v>
      </c>
      <c r="F47" s="431">
        <f>E47-C47</f>
        <v>-4.9999999999999989E-2</v>
      </c>
      <c r="G47" s="418"/>
    </row>
    <row r="48" spans="1:7" ht="13.8" thickBot="1" x14ac:dyDescent="0.3">
      <c r="A48" s="401" t="s">
        <v>66</v>
      </c>
      <c r="B48" s="402" t="s">
        <v>631</v>
      </c>
      <c r="C48" s="403">
        <v>0.39</v>
      </c>
      <c r="D48" s="402" t="s">
        <v>29</v>
      </c>
      <c r="E48" s="403">
        <v>0.43</v>
      </c>
      <c r="F48" s="404">
        <v>0.04</v>
      </c>
      <c r="G48" s="405">
        <v>0.1026</v>
      </c>
    </row>
    <row r="49" spans="1:7" ht="13.8" thickBot="1" x14ac:dyDescent="0.3">
      <c r="A49" s="401" t="s">
        <v>472</v>
      </c>
      <c r="B49" s="402" t="s">
        <v>632</v>
      </c>
      <c r="C49" s="403">
        <v>0.65</v>
      </c>
      <c r="D49" s="402" t="s">
        <v>25</v>
      </c>
      <c r="E49" s="403">
        <v>0.63</v>
      </c>
      <c r="F49" s="404">
        <v>-0.02</v>
      </c>
      <c r="G49" s="405">
        <v>-3.56E-2</v>
      </c>
    </row>
    <row r="50" spans="1:7" ht="13.8" thickBot="1" x14ac:dyDescent="0.3">
      <c r="A50" s="401" t="s">
        <v>476</v>
      </c>
      <c r="B50" s="402" t="s">
        <v>633</v>
      </c>
      <c r="C50" s="403">
        <v>5.85</v>
      </c>
      <c r="D50" s="402" t="s">
        <v>29</v>
      </c>
      <c r="E50" s="403">
        <v>5.81</v>
      </c>
      <c r="F50" s="404">
        <v>-0.04</v>
      </c>
      <c r="G50" s="405">
        <v>-6.7999999999999996E-3</v>
      </c>
    </row>
    <row r="51" spans="1:7" ht="13.8" thickBot="1" x14ac:dyDescent="0.3">
      <c r="A51" s="401" t="s">
        <v>67</v>
      </c>
      <c r="B51" s="402" t="s">
        <v>634</v>
      </c>
      <c r="C51" s="403">
        <v>33</v>
      </c>
      <c r="D51" s="402" t="s">
        <v>29</v>
      </c>
      <c r="E51" s="403">
        <v>34.65</v>
      </c>
      <c r="F51" s="404">
        <v>1.65</v>
      </c>
      <c r="G51" s="405">
        <v>0.05</v>
      </c>
    </row>
    <row r="52" spans="1:7" ht="13.8" thickBot="1" x14ac:dyDescent="0.3">
      <c r="A52" s="401" t="s">
        <v>68</v>
      </c>
      <c r="B52" s="402" t="s">
        <v>635</v>
      </c>
      <c r="C52" s="403">
        <v>33.4</v>
      </c>
      <c r="D52" s="402" t="s">
        <v>29</v>
      </c>
      <c r="E52" s="403">
        <v>35.869999999999997</v>
      </c>
      <c r="F52" s="404">
        <v>2.4700000000000002</v>
      </c>
      <c r="G52" s="405">
        <v>7.3999999999999996E-2</v>
      </c>
    </row>
    <row r="53" spans="1:7" ht="13.8" thickBot="1" x14ac:dyDescent="0.3">
      <c r="A53" s="401" t="s">
        <v>69</v>
      </c>
      <c r="B53" s="402" t="s">
        <v>636</v>
      </c>
      <c r="C53" s="403">
        <v>35.75</v>
      </c>
      <c r="D53" s="402" t="s">
        <v>29</v>
      </c>
      <c r="E53" s="403">
        <v>37.270000000000003</v>
      </c>
      <c r="F53" s="404">
        <v>1.52</v>
      </c>
      <c r="G53" s="405">
        <v>4.2500000000000003E-2</v>
      </c>
    </row>
    <row r="54" spans="1:7" ht="13.8" thickBot="1" x14ac:dyDescent="0.3">
      <c r="A54" s="401" t="s">
        <v>70</v>
      </c>
      <c r="B54" s="402" t="s">
        <v>637</v>
      </c>
      <c r="C54" s="403">
        <v>33.1</v>
      </c>
      <c r="D54" s="402" t="s">
        <v>29</v>
      </c>
      <c r="E54" s="403">
        <v>34.130000000000003</v>
      </c>
      <c r="F54" s="404">
        <v>1.03</v>
      </c>
      <c r="G54" s="405">
        <v>3.1099999999999999E-2</v>
      </c>
    </row>
    <row r="55" spans="1:7" ht="13.8" thickBot="1" x14ac:dyDescent="0.3">
      <c r="A55" s="401" t="s">
        <v>71</v>
      </c>
      <c r="B55" s="402" t="s">
        <v>638</v>
      </c>
      <c r="C55" s="403">
        <v>33.5</v>
      </c>
      <c r="D55" s="402" t="s">
        <v>29</v>
      </c>
      <c r="E55" s="403">
        <v>35.909999999999997</v>
      </c>
      <c r="F55" s="404">
        <v>2.41</v>
      </c>
      <c r="G55" s="405">
        <v>7.1900000000000006E-2</v>
      </c>
    </row>
    <row r="56" spans="1:7" ht="13.8" thickBot="1" x14ac:dyDescent="0.3">
      <c r="A56" s="401" t="s">
        <v>72</v>
      </c>
      <c r="B56" s="402" t="s">
        <v>639</v>
      </c>
      <c r="C56" s="403">
        <v>35.799999999999997</v>
      </c>
      <c r="D56" s="402" t="s">
        <v>29</v>
      </c>
      <c r="E56" s="403">
        <v>37.65</v>
      </c>
      <c r="F56" s="404">
        <v>1.85</v>
      </c>
      <c r="G56" s="405">
        <v>5.1700000000000003E-2</v>
      </c>
    </row>
    <row r="57" spans="1:7" ht="13.8" thickBot="1" x14ac:dyDescent="0.3">
      <c r="A57" s="401" t="s">
        <v>73</v>
      </c>
      <c r="B57" s="402" t="s">
        <v>640</v>
      </c>
      <c r="C57" s="403">
        <v>90.55</v>
      </c>
      <c r="D57" s="402" t="s">
        <v>29</v>
      </c>
      <c r="E57" s="403">
        <v>92.49</v>
      </c>
      <c r="F57" s="404">
        <v>1.94</v>
      </c>
      <c r="G57" s="405">
        <v>2.1399999999999999E-2</v>
      </c>
    </row>
    <row r="58" spans="1:7" ht="13.8" thickBot="1" x14ac:dyDescent="0.3">
      <c r="A58" s="401" t="s">
        <v>74</v>
      </c>
      <c r="B58" s="402" t="s">
        <v>641</v>
      </c>
      <c r="C58" s="403">
        <v>91.9</v>
      </c>
      <c r="D58" s="402" t="s">
        <v>29</v>
      </c>
      <c r="E58" s="403">
        <v>97.77</v>
      </c>
      <c r="F58" s="404">
        <v>5.87</v>
      </c>
      <c r="G58" s="405">
        <v>6.3899999999999998E-2</v>
      </c>
    </row>
    <row r="59" spans="1:7" ht="13.8" thickBot="1" x14ac:dyDescent="0.3">
      <c r="A59" s="401" t="s">
        <v>75</v>
      </c>
      <c r="B59" s="402" t="s">
        <v>642</v>
      </c>
      <c r="C59" s="403">
        <v>93.1</v>
      </c>
      <c r="D59" s="402" t="s">
        <v>29</v>
      </c>
      <c r="E59" s="403">
        <v>100.6</v>
      </c>
      <c r="F59" s="404">
        <v>7.5</v>
      </c>
      <c r="G59" s="405">
        <v>8.0600000000000005E-2</v>
      </c>
    </row>
    <row r="60" spans="1:7" ht="13.8" thickBot="1" x14ac:dyDescent="0.3">
      <c r="A60" s="401" t="s">
        <v>76</v>
      </c>
      <c r="B60" s="402" t="s">
        <v>643</v>
      </c>
      <c r="C60" s="403">
        <v>89.65</v>
      </c>
      <c r="D60" s="402" t="s">
        <v>29</v>
      </c>
      <c r="E60" s="403">
        <v>89.95</v>
      </c>
      <c r="F60" s="404">
        <v>0.3</v>
      </c>
      <c r="G60" s="405">
        <v>3.3E-3</v>
      </c>
    </row>
    <row r="61" spans="1:7" ht="13.8" thickBot="1" x14ac:dyDescent="0.3">
      <c r="A61" s="401" t="s">
        <v>77</v>
      </c>
      <c r="B61" s="402" t="s">
        <v>644</v>
      </c>
      <c r="C61" s="403">
        <v>91</v>
      </c>
      <c r="D61" s="402" t="s">
        <v>29</v>
      </c>
      <c r="E61" s="403">
        <v>95.86</v>
      </c>
      <c r="F61" s="404">
        <v>4.8600000000000003</v>
      </c>
      <c r="G61" s="405">
        <v>5.3400000000000003E-2</v>
      </c>
    </row>
    <row r="62" spans="1:7" ht="13.8" thickBot="1" x14ac:dyDescent="0.3">
      <c r="A62" s="401" t="s">
        <v>78</v>
      </c>
      <c r="B62" s="402" t="s">
        <v>645</v>
      </c>
      <c r="C62" s="403">
        <v>92.2</v>
      </c>
      <c r="D62" s="402" t="s">
        <v>29</v>
      </c>
      <c r="E62" s="403">
        <v>94.55</v>
      </c>
      <c r="F62" s="404">
        <v>2.35</v>
      </c>
      <c r="G62" s="405">
        <v>2.5499999999999998E-2</v>
      </c>
    </row>
    <row r="63" spans="1:7" ht="13.8" thickBot="1" x14ac:dyDescent="0.3">
      <c r="A63" s="401" t="s">
        <v>79</v>
      </c>
      <c r="B63" s="402" t="s">
        <v>646</v>
      </c>
      <c r="C63" s="403">
        <v>92.5</v>
      </c>
      <c r="D63" s="402" t="s">
        <v>29</v>
      </c>
      <c r="E63" s="403">
        <v>101.34</v>
      </c>
      <c r="F63" s="404">
        <v>8.84</v>
      </c>
      <c r="G63" s="405">
        <v>9.5600000000000004E-2</v>
      </c>
    </row>
    <row r="64" spans="1:7" ht="13.8" thickBot="1" x14ac:dyDescent="0.3">
      <c r="A64" s="401" t="s">
        <v>80</v>
      </c>
      <c r="B64" s="402" t="s">
        <v>647</v>
      </c>
      <c r="C64" s="403">
        <v>88.5</v>
      </c>
      <c r="D64" s="402" t="s">
        <v>29</v>
      </c>
      <c r="E64" s="403">
        <v>100.16</v>
      </c>
      <c r="F64" s="404">
        <v>11.66</v>
      </c>
      <c r="G64" s="405">
        <v>0.1318</v>
      </c>
    </row>
    <row r="65" spans="1:7" ht="13.8" thickBot="1" x14ac:dyDescent="0.3">
      <c r="A65" s="401" t="s">
        <v>81</v>
      </c>
      <c r="B65" s="402" t="s">
        <v>648</v>
      </c>
      <c r="C65" s="403">
        <v>125.08</v>
      </c>
      <c r="D65" s="402" t="s">
        <v>29</v>
      </c>
      <c r="E65" s="403">
        <v>125.08</v>
      </c>
      <c r="F65" s="404">
        <v>0</v>
      </c>
      <c r="G65" s="405">
        <v>0</v>
      </c>
    </row>
    <row r="66" spans="1:7" ht="13.8" thickBot="1" x14ac:dyDescent="0.3">
      <c r="A66" s="401" t="s">
        <v>82</v>
      </c>
      <c r="B66" s="402" t="s">
        <v>649</v>
      </c>
      <c r="C66" s="403">
        <v>50.35</v>
      </c>
      <c r="D66" s="402" t="s">
        <v>29</v>
      </c>
      <c r="E66" s="403">
        <v>54.19</v>
      </c>
      <c r="F66" s="404">
        <v>3.84</v>
      </c>
      <c r="G66" s="405">
        <v>7.6300000000000007E-2</v>
      </c>
    </row>
    <row r="67" spans="1:7" ht="13.8" thickBot="1" x14ac:dyDescent="0.3">
      <c r="A67" s="401" t="s">
        <v>83</v>
      </c>
      <c r="B67" s="402" t="s">
        <v>650</v>
      </c>
      <c r="C67" s="403">
        <v>51.75</v>
      </c>
      <c r="D67" s="402" t="s">
        <v>29</v>
      </c>
      <c r="E67" s="403">
        <v>58.58</v>
      </c>
      <c r="F67" s="404">
        <v>6.83</v>
      </c>
      <c r="G67" s="405">
        <v>0.13200000000000001</v>
      </c>
    </row>
    <row r="68" spans="1:7" ht="13.8" thickBot="1" x14ac:dyDescent="0.3">
      <c r="A68" s="401" t="s">
        <v>84</v>
      </c>
      <c r="B68" s="402" t="s">
        <v>651</v>
      </c>
      <c r="C68" s="403">
        <v>50</v>
      </c>
      <c r="D68" s="402" t="s">
        <v>29</v>
      </c>
      <c r="E68" s="403">
        <v>50.95</v>
      </c>
      <c r="F68" s="404">
        <v>0.95</v>
      </c>
      <c r="G68" s="405">
        <v>1.9E-2</v>
      </c>
    </row>
    <row r="69" spans="1:7" ht="13.8" thickBot="1" x14ac:dyDescent="0.3">
      <c r="A69" s="401" t="s">
        <v>85</v>
      </c>
      <c r="B69" s="402" t="s">
        <v>652</v>
      </c>
      <c r="C69" s="403">
        <v>50.3</v>
      </c>
      <c r="D69" s="402" t="s">
        <v>29</v>
      </c>
      <c r="E69" s="403">
        <v>52.1</v>
      </c>
      <c r="F69" s="404">
        <v>1.8</v>
      </c>
      <c r="G69" s="405">
        <v>3.5799999999999998E-2</v>
      </c>
    </row>
    <row r="70" spans="1:7" ht="13.8" thickBot="1" x14ac:dyDescent="0.3">
      <c r="A70" s="401" t="s">
        <v>86</v>
      </c>
      <c r="B70" s="402" t="s">
        <v>653</v>
      </c>
      <c r="C70" s="403">
        <v>50.85</v>
      </c>
      <c r="D70" s="402" t="s">
        <v>29</v>
      </c>
      <c r="E70" s="403">
        <v>54.51</v>
      </c>
      <c r="F70" s="404">
        <v>3.66</v>
      </c>
      <c r="G70" s="405">
        <v>7.1999999999999995E-2</v>
      </c>
    </row>
    <row r="71" spans="1:7" ht="13.8" thickBot="1" x14ac:dyDescent="0.3">
      <c r="A71" s="401" t="s">
        <v>87</v>
      </c>
      <c r="B71" s="402" t="s">
        <v>654</v>
      </c>
      <c r="C71" s="403">
        <v>52.05</v>
      </c>
      <c r="D71" s="402" t="s">
        <v>29</v>
      </c>
      <c r="E71" s="403">
        <v>56.01</v>
      </c>
      <c r="F71" s="404">
        <v>3.96</v>
      </c>
      <c r="G71" s="405">
        <v>7.6100000000000001E-2</v>
      </c>
    </row>
    <row r="72" spans="1:7" ht="13.8" thickBot="1" x14ac:dyDescent="0.3">
      <c r="A72" s="401" t="s">
        <v>88</v>
      </c>
      <c r="B72" s="402" t="s">
        <v>655</v>
      </c>
      <c r="C72" s="403">
        <v>94.8</v>
      </c>
      <c r="D72" s="402" t="s">
        <v>29</v>
      </c>
      <c r="E72" s="403">
        <v>100.2</v>
      </c>
      <c r="F72" s="404">
        <v>5.4</v>
      </c>
      <c r="G72" s="405">
        <v>5.7000000000000002E-2</v>
      </c>
    </row>
    <row r="73" spans="1:7" ht="13.8" thickBot="1" x14ac:dyDescent="0.3">
      <c r="A73" s="401" t="s">
        <v>89</v>
      </c>
      <c r="B73" s="402" t="s">
        <v>656</v>
      </c>
      <c r="C73" s="403">
        <v>183</v>
      </c>
      <c r="D73" s="402" t="s">
        <v>29</v>
      </c>
      <c r="E73" s="403">
        <v>194.52</v>
      </c>
      <c r="F73" s="404">
        <v>11.52</v>
      </c>
      <c r="G73" s="405">
        <v>6.3E-2</v>
      </c>
    </row>
    <row r="74" spans="1:7" ht="13.8" thickBot="1" x14ac:dyDescent="0.3">
      <c r="A74" s="401" t="s">
        <v>90</v>
      </c>
      <c r="B74" s="402" t="s">
        <v>657</v>
      </c>
      <c r="C74" s="403">
        <v>90.8</v>
      </c>
      <c r="D74" s="402" t="s">
        <v>29</v>
      </c>
      <c r="E74" s="403">
        <v>101.67</v>
      </c>
      <c r="F74" s="404">
        <v>10.87</v>
      </c>
      <c r="G74" s="405">
        <v>0.1197</v>
      </c>
    </row>
    <row r="75" spans="1:7" ht="13.8" thickBot="1" x14ac:dyDescent="0.3">
      <c r="A75" s="401" t="s">
        <v>91</v>
      </c>
      <c r="B75" s="402" t="s">
        <v>658</v>
      </c>
      <c r="C75" s="403">
        <v>123.6</v>
      </c>
      <c r="D75" s="402" t="s">
        <v>29</v>
      </c>
      <c r="E75" s="403">
        <v>141.83000000000001</v>
      </c>
      <c r="F75" s="404">
        <v>18.23</v>
      </c>
      <c r="G75" s="405">
        <v>0.14749999999999999</v>
      </c>
    </row>
    <row r="76" spans="1:7" ht="13.8" thickBot="1" x14ac:dyDescent="0.3">
      <c r="A76" s="401" t="s">
        <v>92</v>
      </c>
      <c r="B76" s="402" t="s">
        <v>659</v>
      </c>
      <c r="C76" s="403">
        <v>108.65</v>
      </c>
      <c r="D76" s="402" t="s">
        <v>29</v>
      </c>
      <c r="E76" s="403">
        <v>130.51</v>
      </c>
      <c r="F76" s="404">
        <v>21.86</v>
      </c>
      <c r="G76" s="405">
        <v>0.20119999999999999</v>
      </c>
    </row>
    <row r="77" spans="1:7" ht="13.8" thickBot="1" x14ac:dyDescent="0.3">
      <c r="A77" s="401" t="s">
        <v>93</v>
      </c>
      <c r="B77" s="402" t="s">
        <v>660</v>
      </c>
      <c r="C77" s="403">
        <v>100.9</v>
      </c>
      <c r="D77" s="402" t="s">
        <v>29</v>
      </c>
      <c r="E77" s="403">
        <v>109.13</v>
      </c>
      <c r="F77" s="404">
        <v>8.23</v>
      </c>
      <c r="G77" s="405">
        <v>8.1600000000000006E-2</v>
      </c>
    </row>
    <row r="78" spans="1:7" ht="13.8" thickBot="1" x14ac:dyDescent="0.3">
      <c r="A78" s="401" t="s">
        <v>94</v>
      </c>
      <c r="B78" s="402" t="s">
        <v>661</v>
      </c>
      <c r="C78" s="403">
        <v>24.56</v>
      </c>
      <c r="D78" s="402" t="s">
        <v>29</v>
      </c>
      <c r="E78" s="403">
        <v>24.56</v>
      </c>
      <c r="F78" s="404">
        <v>0</v>
      </c>
      <c r="G78" s="405">
        <v>0</v>
      </c>
    </row>
    <row r="79" spans="1:7" ht="13.8" thickBot="1" x14ac:dyDescent="0.3">
      <c r="A79" s="401" t="s">
        <v>95</v>
      </c>
      <c r="B79" s="402" t="s">
        <v>662</v>
      </c>
      <c r="C79" s="403">
        <v>5.77</v>
      </c>
      <c r="D79" s="402" t="s">
        <v>29</v>
      </c>
      <c r="E79" s="403">
        <v>6.11</v>
      </c>
      <c r="F79" s="404">
        <v>0.34</v>
      </c>
      <c r="G79" s="405">
        <v>5.8900000000000001E-2</v>
      </c>
    </row>
    <row r="80" spans="1:7" ht="13.8" thickBot="1" x14ac:dyDescent="0.3">
      <c r="A80" s="401" t="s">
        <v>96</v>
      </c>
      <c r="B80" s="402" t="s">
        <v>663</v>
      </c>
      <c r="C80" s="403">
        <v>6.42</v>
      </c>
      <c r="D80" s="402" t="s">
        <v>29</v>
      </c>
      <c r="E80" s="403">
        <v>6.47</v>
      </c>
      <c r="F80" s="404">
        <v>0.05</v>
      </c>
      <c r="G80" s="405">
        <v>7.7999999999999996E-3</v>
      </c>
    </row>
    <row r="81" spans="1:7" ht="13.8" thickBot="1" x14ac:dyDescent="0.3">
      <c r="A81" s="401" t="s">
        <v>97</v>
      </c>
      <c r="B81" s="402" t="s">
        <v>664</v>
      </c>
      <c r="C81" s="403">
        <v>28</v>
      </c>
      <c r="D81" s="402" t="s">
        <v>29</v>
      </c>
      <c r="E81" s="403">
        <v>29.82</v>
      </c>
      <c r="F81" s="404">
        <v>1.82</v>
      </c>
      <c r="G81" s="405">
        <v>6.5000000000000002E-2</v>
      </c>
    </row>
    <row r="82" spans="1:7" ht="13.8" thickBot="1" x14ac:dyDescent="0.3">
      <c r="A82" s="401" t="s">
        <v>98</v>
      </c>
      <c r="B82" s="402" t="s">
        <v>665</v>
      </c>
      <c r="C82" s="403">
        <v>5.57</v>
      </c>
      <c r="D82" s="402" t="s">
        <v>29</v>
      </c>
      <c r="E82" s="403">
        <v>5.61</v>
      </c>
      <c r="F82" s="404">
        <v>0.04</v>
      </c>
      <c r="G82" s="405">
        <v>7.1999999999999998E-3</v>
      </c>
    </row>
    <row r="83" spans="1:7" ht="13.8" thickBot="1" x14ac:dyDescent="0.3">
      <c r="A83" s="406" t="s">
        <v>99</v>
      </c>
      <c r="B83" s="402" t="s">
        <v>666</v>
      </c>
      <c r="C83" s="403">
        <v>5.71</v>
      </c>
      <c r="D83" s="402" t="s">
        <v>29</v>
      </c>
      <c r="E83" s="403">
        <v>5.75</v>
      </c>
      <c r="F83" s="404">
        <v>0.04</v>
      </c>
      <c r="G83" s="405">
        <v>7.0000000000000001E-3</v>
      </c>
    </row>
    <row r="84" spans="1:7" ht="13.8" thickBot="1" x14ac:dyDescent="0.3">
      <c r="A84" s="401" t="s">
        <v>100</v>
      </c>
      <c r="B84" s="402" t="s">
        <v>667</v>
      </c>
      <c r="C84" s="403">
        <v>6.42</v>
      </c>
      <c r="D84" s="402" t="s">
        <v>29</v>
      </c>
      <c r="E84" s="403">
        <v>6.55</v>
      </c>
      <c r="F84" s="404">
        <v>0.13</v>
      </c>
      <c r="G84" s="405">
        <v>2.0199999999999999E-2</v>
      </c>
    </row>
    <row r="85" spans="1:7" ht="13.8" thickBot="1" x14ac:dyDescent="0.3">
      <c r="A85" s="401" t="s">
        <v>101</v>
      </c>
      <c r="B85" s="402" t="s">
        <v>668</v>
      </c>
      <c r="C85" s="403">
        <v>5.81</v>
      </c>
      <c r="D85" s="402" t="s">
        <v>29</v>
      </c>
      <c r="E85" s="403">
        <v>5.86</v>
      </c>
      <c r="F85" s="404">
        <v>0.05</v>
      </c>
      <c r="G85" s="405">
        <v>8.6E-3</v>
      </c>
    </row>
    <row r="86" spans="1:7" ht="13.8" thickBot="1" x14ac:dyDescent="0.3">
      <c r="A86" s="401" t="s">
        <v>102</v>
      </c>
      <c r="B86" s="402" t="s">
        <v>669</v>
      </c>
      <c r="C86" s="403">
        <v>4.3899999999999997</v>
      </c>
      <c r="D86" s="402" t="s">
        <v>29</v>
      </c>
      <c r="E86" s="403">
        <v>4.6399999999999997</v>
      </c>
      <c r="F86" s="404">
        <v>0.25</v>
      </c>
      <c r="G86" s="405">
        <v>5.6899999999999999E-2</v>
      </c>
    </row>
    <row r="87" spans="1:7" ht="13.8" thickBot="1" x14ac:dyDescent="0.3">
      <c r="A87" s="401" t="s">
        <v>103</v>
      </c>
      <c r="B87" s="402" t="s">
        <v>670</v>
      </c>
      <c r="C87" s="403">
        <v>6.88</v>
      </c>
      <c r="D87" s="402" t="s">
        <v>29</v>
      </c>
      <c r="E87" s="403">
        <v>7.03</v>
      </c>
      <c r="F87" s="404">
        <v>0.15</v>
      </c>
      <c r="G87" s="405">
        <v>2.18E-2</v>
      </c>
    </row>
    <row r="88" spans="1:7" ht="13.8" thickBot="1" x14ac:dyDescent="0.3">
      <c r="A88" s="401" t="s">
        <v>104</v>
      </c>
      <c r="B88" s="402" t="s">
        <v>671</v>
      </c>
      <c r="C88" s="403">
        <v>229.45</v>
      </c>
      <c r="D88" s="402" t="s">
        <v>29</v>
      </c>
      <c r="E88" s="403">
        <v>208.62</v>
      </c>
      <c r="F88" s="404">
        <v>-20.83</v>
      </c>
      <c r="G88" s="405">
        <v>-9.0800000000000006E-2</v>
      </c>
    </row>
    <row r="89" spans="1:7" ht="13.8" thickBot="1" x14ac:dyDescent="0.3">
      <c r="A89" s="401" t="s">
        <v>105</v>
      </c>
      <c r="B89" s="402" t="s">
        <v>672</v>
      </c>
      <c r="C89" s="403">
        <v>25.72</v>
      </c>
      <c r="D89" s="402" t="s">
        <v>29</v>
      </c>
      <c r="E89" s="403">
        <v>25.12</v>
      </c>
      <c r="F89" s="404">
        <v>-0.6</v>
      </c>
      <c r="G89" s="405">
        <v>-2.3300000000000001E-2</v>
      </c>
    </row>
    <row r="90" spans="1:7" ht="13.8" thickBot="1" x14ac:dyDescent="0.3">
      <c r="A90" s="401" t="s">
        <v>106</v>
      </c>
      <c r="B90" s="402" t="s">
        <v>673</v>
      </c>
      <c r="C90" s="403">
        <v>37.4</v>
      </c>
      <c r="D90" s="402" t="s">
        <v>29</v>
      </c>
      <c r="E90" s="403">
        <v>45.06</v>
      </c>
      <c r="F90" s="404">
        <v>7.66</v>
      </c>
      <c r="G90" s="405">
        <v>0.20480000000000001</v>
      </c>
    </row>
    <row r="91" spans="1:7" ht="13.8" thickBot="1" x14ac:dyDescent="0.3">
      <c r="A91" s="401" t="s">
        <v>107</v>
      </c>
      <c r="B91" s="402" t="s">
        <v>674</v>
      </c>
      <c r="C91" s="403">
        <v>79.27</v>
      </c>
      <c r="D91" s="402" t="s">
        <v>29</v>
      </c>
      <c r="E91" s="403">
        <v>78.989999999999995</v>
      </c>
      <c r="F91" s="404">
        <v>-0.28000000000000003</v>
      </c>
      <c r="G91" s="405">
        <v>-3.5000000000000001E-3</v>
      </c>
    </row>
    <row r="92" spans="1:7" ht="13.8" thickBot="1" x14ac:dyDescent="0.3">
      <c r="A92" s="406" t="s">
        <v>108</v>
      </c>
      <c r="B92" s="402" t="s">
        <v>675</v>
      </c>
      <c r="C92" s="403">
        <v>3.37</v>
      </c>
      <c r="D92" s="402" t="s">
        <v>29</v>
      </c>
      <c r="E92" s="403">
        <v>3.9</v>
      </c>
      <c r="F92" s="404">
        <v>0.53</v>
      </c>
      <c r="G92" s="405">
        <v>0.1573</v>
      </c>
    </row>
    <row r="93" spans="1:7" ht="13.8" thickBot="1" x14ac:dyDescent="0.3">
      <c r="A93" s="401" t="s">
        <v>402</v>
      </c>
      <c r="B93" s="402" t="s">
        <v>676</v>
      </c>
      <c r="C93" s="403">
        <v>9.2899999999999991</v>
      </c>
      <c r="D93" s="402" t="s">
        <v>29</v>
      </c>
      <c r="E93" s="403">
        <v>12.64</v>
      </c>
      <c r="F93" s="404">
        <v>3.35</v>
      </c>
      <c r="G93" s="405">
        <v>0.36059999999999998</v>
      </c>
    </row>
    <row r="94" spans="1:7" ht="13.8" thickBot="1" x14ac:dyDescent="0.3">
      <c r="A94" s="401" t="s">
        <v>109</v>
      </c>
      <c r="B94" s="402" t="s">
        <v>677</v>
      </c>
      <c r="C94" s="403">
        <v>13.69</v>
      </c>
      <c r="D94" s="402" t="s">
        <v>29</v>
      </c>
      <c r="E94" s="403">
        <v>15.89</v>
      </c>
      <c r="F94" s="404">
        <v>2.2000000000000002</v>
      </c>
      <c r="G94" s="405">
        <v>0.16070000000000001</v>
      </c>
    </row>
    <row r="95" spans="1:7" ht="13.8" thickBot="1" x14ac:dyDescent="0.3">
      <c r="A95" s="401" t="s">
        <v>110</v>
      </c>
      <c r="B95" s="402" t="s">
        <v>678</v>
      </c>
      <c r="C95" s="403">
        <v>3.08</v>
      </c>
      <c r="D95" s="402" t="s">
        <v>29</v>
      </c>
      <c r="E95" s="403">
        <v>1.51</v>
      </c>
      <c r="F95" s="404">
        <v>-1.57</v>
      </c>
      <c r="G95" s="405">
        <v>-0.50970000000000004</v>
      </c>
    </row>
    <row r="96" spans="1:7" ht="13.8" thickBot="1" x14ac:dyDescent="0.3">
      <c r="A96" s="401" t="s">
        <v>111</v>
      </c>
      <c r="B96" s="402" t="s">
        <v>679</v>
      </c>
      <c r="C96" s="403">
        <v>2.69</v>
      </c>
      <c r="D96" s="402" t="s">
        <v>29</v>
      </c>
      <c r="E96" s="403">
        <v>2.65</v>
      </c>
      <c r="F96" s="404">
        <v>-0.04</v>
      </c>
      <c r="G96" s="405">
        <v>-1.49E-2</v>
      </c>
    </row>
    <row r="97" spans="1:7" ht="13.8" thickBot="1" x14ac:dyDescent="0.3">
      <c r="A97" s="401" t="s">
        <v>403</v>
      </c>
      <c r="B97" s="402" t="s">
        <v>680</v>
      </c>
      <c r="C97" s="403">
        <v>0.74</v>
      </c>
      <c r="D97" s="402" t="s">
        <v>29</v>
      </c>
      <c r="E97" s="403">
        <v>1.24</v>
      </c>
      <c r="F97" s="404">
        <v>0.5</v>
      </c>
      <c r="G97" s="405">
        <v>0.67569999999999997</v>
      </c>
    </row>
    <row r="98" spans="1:7" ht="13.8" thickBot="1" x14ac:dyDescent="0.3">
      <c r="A98" s="401" t="s">
        <v>112</v>
      </c>
      <c r="B98" s="402" t="s">
        <v>681</v>
      </c>
      <c r="C98" s="403">
        <v>362</v>
      </c>
      <c r="D98" s="402" t="s">
        <v>29</v>
      </c>
      <c r="E98" s="403">
        <v>386.17</v>
      </c>
      <c r="F98" s="404">
        <v>24.17</v>
      </c>
      <c r="G98" s="405">
        <v>6.6799999999999998E-2</v>
      </c>
    </row>
    <row r="99" spans="1:7" ht="13.8" thickBot="1" x14ac:dyDescent="0.3">
      <c r="A99" s="401" t="s">
        <v>114</v>
      </c>
      <c r="B99" s="402" t="s">
        <v>682</v>
      </c>
      <c r="C99" s="403">
        <v>5.0199999999999996</v>
      </c>
      <c r="D99" s="402" t="s">
        <v>29</v>
      </c>
      <c r="E99" s="403">
        <v>8.5399999999999991</v>
      </c>
      <c r="F99" s="404">
        <v>3.52</v>
      </c>
      <c r="G99" s="405">
        <v>0.70120000000000005</v>
      </c>
    </row>
    <row r="100" spans="1:7" ht="13.8" thickBot="1" x14ac:dyDescent="0.3">
      <c r="A100" s="401" t="s">
        <v>116</v>
      </c>
      <c r="B100" s="402" t="s">
        <v>683</v>
      </c>
      <c r="C100" s="403">
        <v>5.64</v>
      </c>
      <c r="D100" s="402" t="s">
        <v>29</v>
      </c>
      <c r="E100" s="403">
        <v>5.65</v>
      </c>
      <c r="F100" s="404">
        <v>0.01</v>
      </c>
      <c r="G100" s="405">
        <v>1.8E-3</v>
      </c>
    </row>
    <row r="101" spans="1:7" ht="13.8" thickBot="1" x14ac:dyDescent="0.3">
      <c r="A101" s="401" t="s">
        <v>118</v>
      </c>
      <c r="B101" s="402" t="s">
        <v>684</v>
      </c>
      <c r="C101" s="403">
        <v>11.19</v>
      </c>
      <c r="D101" s="402" t="s">
        <v>29</v>
      </c>
      <c r="E101" s="403">
        <v>11.46</v>
      </c>
      <c r="F101" s="404">
        <v>0.27</v>
      </c>
      <c r="G101" s="405">
        <v>2.41E-2</v>
      </c>
    </row>
    <row r="102" spans="1:7" ht="13.8" thickBot="1" x14ac:dyDescent="0.3">
      <c r="A102" s="401" t="s">
        <v>119</v>
      </c>
      <c r="B102" s="402" t="s">
        <v>685</v>
      </c>
      <c r="C102" s="403">
        <v>8.85</v>
      </c>
      <c r="D102" s="402" t="s">
        <v>29</v>
      </c>
      <c r="E102" s="403">
        <v>9.1</v>
      </c>
      <c r="F102" s="404">
        <v>0.25</v>
      </c>
      <c r="G102" s="405">
        <v>2.8199999999999999E-2</v>
      </c>
    </row>
    <row r="103" spans="1:7" ht="13.8" thickBot="1" x14ac:dyDescent="0.3">
      <c r="A103" s="401" t="s">
        <v>120</v>
      </c>
      <c r="B103" s="402" t="s">
        <v>686</v>
      </c>
      <c r="C103" s="403">
        <v>8.85</v>
      </c>
      <c r="D103" s="402" t="s">
        <v>29</v>
      </c>
      <c r="E103" s="403">
        <v>9.35</v>
      </c>
      <c r="F103" s="404">
        <v>0.5</v>
      </c>
      <c r="G103" s="405">
        <v>5.6500000000000002E-2</v>
      </c>
    </row>
    <row r="104" spans="1:7" ht="13.8" thickBot="1" x14ac:dyDescent="0.3">
      <c r="A104" s="401" t="s">
        <v>121</v>
      </c>
      <c r="B104" s="407" t="s">
        <v>687</v>
      </c>
      <c r="C104" s="403">
        <v>0.36</v>
      </c>
      <c r="D104" s="402" t="s">
        <v>29</v>
      </c>
      <c r="E104" s="403">
        <v>0.44</v>
      </c>
      <c r="F104" s="404">
        <v>0.08</v>
      </c>
      <c r="G104" s="405">
        <v>0.23369999999999999</v>
      </c>
    </row>
    <row r="105" spans="1:7" ht="13.8" thickBot="1" x14ac:dyDescent="0.3">
      <c r="A105" s="401" t="s">
        <v>122</v>
      </c>
      <c r="B105" s="407" t="s">
        <v>688</v>
      </c>
      <c r="C105" s="403">
        <v>1.77</v>
      </c>
      <c r="D105" s="402" t="s">
        <v>29</v>
      </c>
      <c r="E105" s="403">
        <v>1.86</v>
      </c>
      <c r="F105" s="404">
        <v>0.09</v>
      </c>
      <c r="G105" s="405">
        <v>5.0799999999999998E-2</v>
      </c>
    </row>
    <row r="106" spans="1:7" ht="13.8" thickBot="1" x14ac:dyDescent="0.3">
      <c r="A106" s="401" t="s">
        <v>123</v>
      </c>
      <c r="B106" s="407" t="s">
        <v>689</v>
      </c>
      <c r="C106" s="403">
        <v>40.58</v>
      </c>
      <c r="D106" s="402" t="s">
        <v>29</v>
      </c>
      <c r="E106" s="403">
        <v>40.32</v>
      </c>
      <c r="F106" s="404">
        <v>-0.26</v>
      </c>
      <c r="G106" s="405">
        <v>-6.4000000000000003E-3</v>
      </c>
    </row>
    <row r="107" spans="1:7" ht="14.4" x14ac:dyDescent="0.3">
      <c r="A107" s="390"/>
      <c r="C107"/>
    </row>
    <row r="108" spans="1:7" x14ac:dyDescent="0.25">
      <c r="A108" s="408" t="s">
        <v>690</v>
      </c>
      <c r="C108"/>
    </row>
    <row r="109" spans="1:7" x14ac:dyDescent="0.25">
      <c r="A109" s="408" t="s">
        <v>691</v>
      </c>
      <c r="C109"/>
    </row>
    <row r="110" spans="1:7" x14ac:dyDescent="0.25">
      <c r="A110" s="408" t="s">
        <v>692</v>
      </c>
      <c r="C110"/>
    </row>
    <row r="111" spans="1:7" x14ac:dyDescent="0.25">
      <c r="A111" s="408" t="s">
        <v>693</v>
      </c>
      <c r="C111"/>
    </row>
    <row r="112" spans="1:7" ht="14.4" x14ac:dyDescent="0.3">
      <c r="A112" s="393"/>
      <c r="C112"/>
    </row>
    <row r="113" spans="1:4" ht="14.4" x14ac:dyDescent="0.3">
      <c r="A113" s="393"/>
      <c r="C113"/>
    </row>
    <row r="114" spans="1:4" ht="15" thickBot="1" x14ac:dyDescent="0.35">
      <c r="A114" s="393"/>
      <c r="C114"/>
    </row>
    <row r="115" spans="1:4" ht="17.399999999999999" x14ac:dyDescent="0.3">
      <c r="A115" s="768" t="s">
        <v>19</v>
      </c>
      <c r="B115" s="769"/>
      <c r="C115" s="769"/>
      <c r="D115" s="770"/>
    </row>
    <row r="116" spans="1:4" ht="24.6" thickBot="1" x14ac:dyDescent="0.45">
      <c r="A116" s="409" t="s">
        <v>20</v>
      </c>
      <c r="B116" s="410" t="s">
        <v>21</v>
      </c>
      <c r="C116" s="411" t="s">
        <v>22</v>
      </c>
      <c r="D116" s="412" t="s">
        <v>23</v>
      </c>
    </row>
    <row r="117" spans="1:4" ht="13.8" thickBot="1" x14ac:dyDescent="0.3">
      <c r="A117" s="413" t="s">
        <v>24</v>
      </c>
      <c r="B117" s="414">
        <v>100302005</v>
      </c>
      <c r="C117" s="403">
        <v>0.22</v>
      </c>
      <c r="D117" s="414" t="s">
        <v>25</v>
      </c>
    </row>
    <row r="118" spans="1:4" ht="13.8" thickBot="1" x14ac:dyDescent="0.3">
      <c r="A118" s="413" t="s">
        <v>26</v>
      </c>
      <c r="B118" s="414">
        <v>100406005</v>
      </c>
      <c r="C118" s="403">
        <v>0.09</v>
      </c>
      <c r="D118" s="414" t="s">
        <v>25</v>
      </c>
    </row>
    <row r="119" spans="1:4" ht="13.8" thickBot="1" x14ac:dyDescent="0.3">
      <c r="A119" s="413" t="s">
        <v>27</v>
      </c>
      <c r="B119" s="414">
        <v>100587000</v>
      </c>
      <c r="C119" s="403">
        <v>0.09</v>
      </c>
      <c r="D119" s="414" t="s">
        <v>25</v>
      </c>
    </row>
    <row r="120" spans="1:4" ht="13.8" thickBot="1" x14ac:dyDescent="0.3">
      <c r="A120" s="413" t="s">
        <v>28</v>
      </c>
      <c r="B120" s="414">
        <v>103070211</v>
      </c>
      <c r="C120" s="403">
        <v>0.17</v>
      </c>
      <c r="D120" s="414" t="s">
        <v>29</v>
      </c>
    </row>
    <row r="121" spans="1:4" ht="13.8" thickBot="1" x14ac:dyDescent="0.3">
      <c r="A121" s="413" t="s">
        <v>30</v>
      </c>
      <c r="B121" s="414">
        <v>110104001</v>
      </c>
      <c r="C121" s="403">
        <v>0.48</v>
      </c>
      <c r="D121" s="414" t="s">
        <v>25</v>
      </c>
    </row>
    <row r="122" spans="1:4" ht="13.8" thickBot="1" x14ac:dyDescent="0.3">
      <c r="A122" s="413" t="s">
        <v>31</v>
      </c>
      <c r="B122" s="414">
        <v>112308003</v>
      </c>
      <c r="C122" s="403">
        <v>0.37</v>
      </c>
      <c r="D122" s="414" t="s">
        <v>25</v>
      </c>
    </row>
    <row r="123" spans="1:4" ht="13.8" thickBot="1" x14ac:dyDescent="0.3">
      <c r="A123" s="413" t="s">
        <v>32</v>
      </c>
      <c r="B123" s="414">
        <v>112309000</v>
      </c>
      <c r="C123" s="403">
        <v>0.59</v>
      </c>
      <c r="D123" s="414" t="s">
        <v>25</v>
      </c>
    </row>
    <row r="124" spans="1:4" ht="13.8" thickBot="1" x14ac:dyDescent="0.3">
      <c r="A124" s="413" t="s">
        <v>33</v>
      </c>
      <c r="B124" s="414">
        <v>115090009</v>
      </c>
      <c r="C124" s="403">
        <v>0.13</v>
      </c>
      <c r="D124" s="414" t="s">
        <v>25</v>
      </c>
    </row>
    <row r="125" spans="1:4" ht="13.8" thickBot="1" x14ac:dyDescent="0.3">
      <c r="A125" s="413" t="s">
        <v>34</v>
      </c>
      <c r="B125" s="414">
        <v>120036106</v>
      </c>
      <c r="C125" s="403">
        <v>1.0900000000000001</v>
      </c>
      <c r="D125" s="414" t="s">
        <v>29</v>
      </c>
    </row>
    <row r="126" spans="1:4" ht="13.8" thickBot="1" x14ac:dyDescent="0.3">
      <c r="A126" s="413" t="s">
        <v>35</v>
      </c>
      <c r="B126" s="414">
        <v>120111001</v>
      </c>
      <c r="C126" s="403">
        <v>0.51</v>
      </c>
      <c r="D126" s="414" t="s">
        <v>29</v>
      </c>
    </row>
    <row r="127" spans="1:4" ht="13.8" thickBot="1" x14ac:dyDescent="0.3">
      <c r="A127" s="413" t="s">
        <v>36</v>
      </c>
      <c r="B127" s="414">
        <v>130405104</v>
      </c>
      <c r="C127" s="403">
        <v>2.2400000000000002</v>
      </c>
      <c r="D127" s="414" t="s">
        <v>29</v>
      </c>
    </row>
    <row r="128" spans="1:4" ht="13.8" thickBot="1" x14ac:dyDescent="0.3">
      <c r="A128" s="413" t="s">
        <v>37</v>
      </c>
      <c r="B128" s="414">
        <v>130614005</v>
      </c>
      <c r="C128" s="403">
        <v>10.95</v>
      </c>
      <c r="D128" s="414" t="s">
        <v>29</v>
      </c>
    </row>
    <row r="129" spans="1:4" ht="13.8" thickBot="1" x14ac:dyDescent="0.3">
      <c r="A129" s="413" t="s">
        <v>400</v>
      </c>
      <c r="B129" s="414">
        <v>140492000</v>
      </c>
      <c r="C129" s="403">
        <v>1.1299999999999999</v>
      </c>
      <c r="D129" s="414" t="s">
        <v>29</v>
      </c>
    </row>
    <row r="130" spans="1:4" ht="13.8" thickBot="1" x14ac:dyDescent="0.3">
      <c r="A130" s="413" t="s">
        <v>38</v>
      </c>
      <c r="B130" s="414">
        <v>140588007</v>
      </c>
      <c r="C130" s="403">
        <v>0.9</v>
      </c>
      <c r="D130" s="414" t="s">
        <v>29</v>
      </c>
    </row>
    <row r="131" spans="1:4" ht="13.8" thickBot="1" x14ac:dyDescent="0.3">
      <c r="A131" s="413" t="s">
        <v>39</v>
      </c>
      <c r="B131" s="414">
        <v>140590001</v>
      </c>
      <c r="C131" s="403">
        <v>0.79</v>
      </c>
      <c r="D131" s="414" t="s">
        <v>29</v>
      </c>
    </row>
    <row r="132" spans="1:4" ht="13.8" thickBot="1" x14ac:dyDescent="0.3">
      <c r="A132" s="413" t="s">
        <v>40</v>
      </c>
      <c r="B132" s="414" t="s">
        <v>694</v>
      </c>
      <c r="C132" s="403">
        <v>11.36</v>
      </c>
      <c r="D132" s="414" t="s">
        <v>29</v>
      </c>
    </row>
    <row r="133" spans="1:4" ht="13.8" thickBot="1" x14ac:dyDescent="0.3">
      <c r="A133" s="413" t="s">
        <v>41</v>
      </c>
      <c r="B133" s="414" t="s">
        <v>695</v>
      </c>
      <c r="C133" s="403">
        <v>3.74</v>
      </c>
      <c r="D133" s="414" t="s">
        <v>42</v>
      </c>
    </row>
    <row r="134" spans="1:4" ht="13.8" thickBot="1" x14ac:dyDescent="0.3">
      <c r="A134" s="413" t="s">
        <v>43</v>
      </c>
      <c r="B134" s="414" t="s">
        <v>696</v>
      </c>
      <c r="C134" s="403">
        <v>0.38</v>
      </c>
      <c r="D134" s="414" t="s">
        <v>29</v>
      </c>
    </row>
    <row r="135" spans="1:4" ht="13.8" thickBot="1" x14ac:dyDescent="0.3">
      <c r="A135" s="413" t="s">
        <v>44</v>
      </c>
      <c r="B135" s="414" t="s">
        <v>697</v>
      </c>
      <c r="C135" s="403">
        <v>1</v>
      </c>
      <c r="D135" s="414" t="s">
        <v>29</v>
      </c>
    </row>
    <row r="136" spans="1:4" ht="13.8" thickBot="1" x14ac:dyDescent="0.3">
      <c r="A136" s="413" t="s">
        <v>45</v>
      </c>
      <c r="B136" s="414" t="s">
        <v>698</v>
      </c>
      <c r="C136" s="403">
        <v>5.51</v>
      </c>
      <c r="D136" s="414" t="s">
        <v>42</v>
      </c>
    </row>
    <row r="137" spans="1:4" ht="13.8" thickBot="1" x14ac:dyDescent="0.3">
      <c r="A137" s="413" t="s">
        <v>46</v>
      </c>
      <c r="B137" s="414" t="s">
        <v>699</v>
      </c>
      <c r="C137" s="403">
        <v>0.14000000000000001</v>
      </c>
      <c r="D137" s="414" t="s">
        <v>29</v>
      </c>
    </row>
    <row r="138" spans="1:4" ht="13.8" thickBot="1" x14ac:dyDescent="0.3">
      <c r="A138" s="413" t="s">
        <v>47</v>
      </c>
      <c r="B138" s="414" t="s">
        <v>700</v>
      </c>
      <c r="C138" s="403">
        <v>7.0000000000000007E-2</v>
      </c>
      <c r="D138" s="414" t="s">
        <v>29</v>
      </c>
    </row>
    <row r="139" spans="1:4" ht="13.8" thickBot="1" x14ac:dyDescent="0.3">
      <c r="A139" s="413" t="s">
        <v>48</v>
      </c>
      <c r="B139" s="414" t="s">
        <v>701</v>
      </c>
      <c r="C139" s="403">
        <v>0.21</v>
      </c>
      <c r="D139" s="414" t="s">
        <v>29</v>
      </c>
    </row>
    <row r="140" spans="1:4" ht="13.8" thickBot="1" x14ac:dyDescent="0.3">
      <c r="A140" s="413" t="s">
        <v>49</v>
      </c>
      <c r="B140" s="414" t="s">
        <v>702</v>
      </c>
      <c r="C140" s="403">
        <v>0.11</v>
      </c>
      <c r="D140" s="414" t="s">
        <v>29</v>
      </c>
    </row>
    <row r="141" spans="1:4" ht="13.8" thickBot="1" x14ac:dyDescent="0.3">
      <c r="A141" s="413" t="s">
        <v>50</v>
      </c>
      <c r="B141" s="414" t="s">
        <v>703</v>
      </c>
      <c r="C141" s="403">
        <v>0.14000000000000001</v>
      </c>
      <c r="D141" s="414" t="s">
        <v>29</v>
      </c>
    </row>
    <row r="142" spans="1:4" ht="13.8" thickBot="1" x14ac:dyDescent="0.3">
      <c r="A142" s="413" t="s">
        <v>51</v>
      </c>
      <c r="B142" s="414" t="s">
        <v>704</v>
      </c>
      <c r="C142" s="403">
        <v>0.17</v>
      </c>
      <c r="D142" s="414" t="s">
        <v>29</v>
      </c>
    </row>
    <row r="143" spans="1:4" ht="13.8" thickBot="1" x14ac:dyDescent="0.3">
      <c r="A143" s="413" t="s">
        <v>52</v>
      </c>
      <c r="B143" s="414" t="s">
        <v>705</v>
      </c>
      <c r="C143" s="403">
        <v>100</v>
      </c>
      <c r="D143" s="414" t="s">
        <v>29</v>
      </c>
    </row>
    <row r="144" spans="1:4" ht="13.8" thickBot="1" x14ac:dyDescent="0.3">
      <c r="A144" s="413" t="s">
        <v>53</v>
      </c>
      <c r="B144" s="414" t="s">
        <v>706</v>
      </c>
      <c r="C144" s="403">
        <v>196</v>
      </c>
      <c r="D144" s="414" t="s">
        <v>29</v>
      </c>
    </row>
    <row r="145" spans="1:4" ht="13.8" thickBot="1" x14ac:dyDescent="0.3">
      <c r="A145" s="413" t="s">
        <v>54</v>
      </c>
      <c r="B145" s="414" t="s">
        <v>707</v>
      </c>
      <c r="C145" s="403">
        <v>232</v>
      </c>
      <c r="D145" s="414" t="s">
        <v>29</v>
      </c>
    </row>
    <row r="146" spans="1:4" ht="13.8" thickBot="1" x14ac:dyDescent="0.3">
      <c r="A146" s="413" t="s">
        <v>55</v>
      </c>
      <c r="B146" s="414" t="s">
        <v>708</v>
      </c>
      <c r="C146" s="403">
        <v>239.86</v>
      </c>
      <c r="D146" s="414" t="s">
        <v>29</v>
      </c>
    </row>
    <row r="147" spans="1:4" ht="13.8" thickBot="1" x14ac:dyDescent="0.3">
      <c r="A147" s="413" t="s">
        <v>492</v>
      </c>
      <c r="B147" s="414" t="s">
        <v>493</v>
      </c>
      <c r="C147" s="403">
        <v>273.83999999999997</v>
      </c>
      <c r="D147" s="414" t="s">
        <v>29</v>
      </c>
    </row>
    <row r="148" spans="1:4" ht="13.8" thickBot="1" x14ac:dyDescent="0.3">
      <c r="A148" s="413" t="s">
        <v>56</v>
      </c>
      <c r="B148" s="414" t="s">
        <v>709</v>
      </c>
      <c r="C148" s="403">
        <v>261.63</v>
      </c>
      <c r="D148" s="414" t="s">
        <v>29</v>
      </c>
    </row>
    <row r="149" spans="1:4" ht="13.8" thickBot="1" x14ac:dyDescent="0.3">
      <c r="A149" s="413" t="s">
        <v>57</v>
      </c>
      <c r="B149" s="414" t="s">
        <v>710</v>
      </c>
      <c r="C149" s="403">
        <v>354.77</v>
      </c>
      <c r="D149" s="414" t="s">
        <v>29</v>
      </c>
    </row>
    <row r="150" spans="1:4" ht="13.8" thickBot="1" x14ac:dyDescent="0.3">
      <c r="A150" s="413" t="s">
        <v>58</v>
      </c>
      <c r="B150" s="414" t="s">
        <v>711</v>
      </c>
      <c r="C150" s="403">
        <v>395</v>
      </c>
      <c r="D150" s="414" t="s">
        <v>29</v>
      </c>
    </row>
    <row r="151" spans="1:4" ht="13.8" thickBot="1" x14ac:dyDescent="0.3">
      <c r="A151" s="413" t="s">
        <v>59</v>
      </c>
      <c r="B151" s="414" t="s">
        <v>712</v>
      </c>
      <c r="C151" s="403">
        <v>639</v>
      </c>
      <c r="D151" s="414" t="s">
        <v>29</v>
      </c>
    </row>
    <row r="152" spans="1:4" ht="13.8" thickBot="1" x14ac:dyDescent="0.3">
      <c r="A152" s="413" t="s">
        <v>60</v>
      </c>
      <c r="B152" s="414" t="s">
        <v>713</v>
      </c>
      <c r="C152" s="403">
        <v>519</v>
      </c>
      <c r="D152" s="414" t="s">
        <v>29</v>
      </c>
    </row>
    <row r="153" spans="1:4" ht="13.8" thickBot="1" x14ac:dyDescent="0.3">
      <c r="A153" s="413" t="s">
        <v>61</v>
      </c>
      <c r="B153" s="414" t="s">
        <v>714</v>
      </c>
      <c r="C153" s="403">
        <v>565</v>
      </c>
      <c r="D153" s="414" t="s">
        <v>29</v>
      </c>
    </row>
    <row r="154" spans="1:4" ht="13.8" thickBot="1" x14ac:dyDescent="0.3">
      <c r="A154" s="413" t="s">
        <v>62</v>
      </c>
      <c r="B154" s="414" t="s">
        <v>505</v>
      </c>
      <c r="C154" s="403">
        <v>995</v>
      </c>
      <c r="D154" s="414" t="s">
        <v>29</v>
      </c>
    </row>
    <row r="155" spans="1:4" ht="13.8" thickBot="1" x14ac:dyDescent="0.3">
      <c r="A155" s="413" t="s">
        <v>63</v>
      </c>
      <c r="B155" s="414" t="s">
        <v>715</v>
      </c>
      <c r="C155" s="403">
        <v>118</v>
      </c>
      <c r="D155" s="414" t="s">
        <v>29</v>
      </c>
    </row>
    <row r="156" spans="1:4" ht="13.8" thickBot="1" x14ac:dyDescent="0.3">
      <c r="A156" s="413" t="s">
        <v>401</v>
      </c>
      <c r="B156" s="414" t="s">
        <v>716</v>
      </c>
      <c r="C156" s="403">
        <v>55.28</v>
      </c>
      <c r="D156" s="414" t="s">
        <v>29</v>
      </c>
    </row>
    <row r="157" spans="1:4" ht="13.8" thickBot="1" x14ac:dyDescent="0.3">
      <c r="A157" s="413" t="s">
        <v>64</v>
      </c>
      <c r="B157" s="414" t="s">
        <v>717</v>
      </c>
      <c r="C157" s="403">
        <v>2.48</v>
      </c>
      <c r="D157" s="414" t="s">
        <v>29</v>
      </c>
    </row>
    <row r="158" spans="1:4" ht="13.8" thickBot="1" x14ac:dyDescent="0.3">
      <c r="A158" s="413" t="s">
        <v>65</v>
      </c>
      <c r="B158" s="414" t="s">
        <v>718</v>
      </c>
      <c r="C158" s="403">
        <v>4.99</v>
      </c>
      <c r="D158" s="414" t="s">
        <v>29</v>
      </c>
    </row>
    <row r="159" spans="1:4" ht="13.8" thickBot="1" x14ac:dyDescent="0.3">
      <c r="A159" s="413" t="s">
        <v>474</v>
      </c>
      <c r="B159" s="414" t="s">
        <v>719</v>
      </c>
      <c r="C159" s="403">
        <v>0.48</v>
      </c>
      <c r="D159" s="414" t="s">
        <v>25</v>
      </c>
    </row>
    <row r="160" spans="1:4" ht="13.8" thickBot="1" x14ac:dyDescent="0.3">
      <c r="A160" s="413" t="s">
        <v>66</v>
      </c>
      <c r="B160" s="414" t="s">
        <v>720</v>
      </c>
      <c r="C160" s="403">
        <v>0.39</v>
      </c>
      <c r="D160" s="414" t="s">
        <v>29</v>
      </c>
    </row>
    <row r="161" spans="1:4" ht="13.8" thickBot="1" x14ac:dyDescent="0.3">
      <c r="A161" s="413" t="s">
        <v>472</v>
      </c>
      <c r="B161" s="414" t="s">
        <v>473</v>
      </c>
      <c r="C161" s="403">
        <v>0.65</v>
      </c>
      <c r="D161" s="414" t="s">
        <v>25</v>
      </c>
    </row>
    <row r="162" spans="1:4" ht="13.8" thickBot="1" x14ac:dyDescent="0.3">
      <c r="A162" s="413" t="s">
        <v>476</v>
      </c>
      <c r="B162" s="414" t="s">
        <v>475</v>
      </c>
      <c r="C162" s="403">
        <v>5.85</v>
      </c>
      <c r="D162" s="414" t="s">
        <v>29</v>
      </c>
    </row>
    <row r="163" spans="1:4" ht="13.8" thickBot="1" x14ac:dyDescent="0.3">
      <c r="A163" s="413" t="s">
        <v>67</v>
      </c>
      <c r="B163" s="414" t="s">
        <v>721</v>
      </c>
      <c r="C163" s="403">
        <v>33</v>
      </c>
      <c r="D163" s="414" t="s">
        <v>29</v>
      </c>
    </row>
    <row r="164" spans="1:4" ht="13.8" thickBot="1" x14ac:dyDescent="0.3">
      <c r="A164" s="413" t="s">
        <v>68</v>
      </c>
      <c r="B164" s="414" t="s">
        <v>722</v>
      </c>
      <c r="C164" s="403">
        <v>33.4</v>
      </c>
      <c r="D164" s="414" t="s">
        <v>29</v>
      </c>
    </row>
    <row r="165" spans="1:4" ht="13.8" thickBot="1" x14ac:dyDescent="0.3">
      <c r="A165" s="413" t="s">
        <v>69</v>
      </c>
      <c r="B165" s="414" t="s">
        <v>723</v>
      </c>
      <c r="C165" s="403">
        <v>35.75</v>
      </c>
      <c r="D165" s="414" t="s">
        <v>29</v>
      </c>
    </row>
    <row r="166" spans="1:4" ht="13.8" thickBot="1" x14ac:dyDescent="0.3">
      <c r="A166" s="413" t="s">
        <v>70</v>
      </c>
      <c r="B166" s="414" t="s">
        <v>724</v>
      </c>
      <c r="C166" s="403">
        <v>33.1</v>
      </c>
      <c r="D166" s="414" t="s">
        <v>29</v>
      </c>
    </row>
    <row r="167" spans="1:4" ht="13.8" thickBot="1" x14ac:dyDescent="0.3">
      <c r="A167" s="413" t="s">
        <v>71</v>
      </c>
      <c r="B167" s="414" t="s">
        <v>725</v>
      </c>
      <c r="C167" s="403">
        <v>33.5</v>
      </c>
      <c r="D167" s="414" t="s">
        <v>29</v>
      </c>
    </row>
    <row r="168" spans="1:4" ht="13.8" thickBot="1" x14ac:dyDescent="0.3">
      <c r="A168" s="413" t="s">
        <v>72</v>
      </c>
      <c r="B168" s="414" t="s">
        <v>726</v>
      </c>
      <c r="C168" s="403">
        <v>35.799999999999997</v>
      </c>
      <c r="D168" s="414" t="s">
        <v>29</v>
      </c>
    </row>
    <row r="169" spans="1:4" ht="13.8" thickBot="1" x14ac:dyDescent="0.3">
      <c r="A169" s="413" t="s">
        <v>73</v>
      </c>
      <c r="B169" s="414" t="s">
        <v>727</v>
      </c>
      <c r="C169" s="403">
        <v>90.55</v>
      </c>
      <c r="D169" s="414" t="s">
        <v>29</v>
      </c>
    </row>
    <row r="170" spans="1:4" ht="13.8" thickBot="1" x14ac:dyDescent="0.3">
      <c r="A170" s="413" t="s">
        <v>74</v>
      </c>
      <c r="B170" s="414" t="s">
        <v>728</v>
      </c>
      <c r="C170" s="403">
        <v>91.9</v>
      </c>
      <c r="D170" s="414" t="s">
        <v>29</v>
      </c>
    </row>
    <row r="171" spans="1:4" ht="13.8" thickBot="1" x14ac:dyDescent="0.3">
      <c r="A171" s="413" t="s">
        <v>75</v>
      </c>
      <c r="B171" s="414" t="s">
        <v>729</v>
      </c>
      <c r="C171" s="403">
        <v>93.1</v>
      </c>
      <c r="D171" s="414" t="s">
        <v>29</v>
      </c>
    </row>
    <row r="172" spans="1:4" ht="13.8" thickBot="1" x14ac:dyDescent="0.3">
      <c r="A172" s="413" t="s">
        <v>76</v>
      </c>
      <c r="B172" s="414" t="s">
        <v>730</v>
      </c>
      <c r="C172" s="403">
        <v>89.65</v>
      </c>
      <c r="D172" s="414" t="s">
        <v>29</v>
      </c>
    </row>
    <row r="173" spans="1:4" ht="13.8" thickBot="1" x14ac:dyDescent="0.3">
      <c r="A173" s="413" t="s">
        <v>77</v>
      </c>
      <c r="B173" s="414" t="s">
        <v>731</v>
      </c>
      <c r="C173" s="403">
        <v>91</v>
      </c>
      <c r="D173" s="414" t="s">
        <v>29</v>
      </c>
    </row>
    <row r="174" spans="1:4" ht="13.8" thickBot="1" x14ac:dyDescent="0.3">
      <c r="A174" s="413" t="s">
        <v>78</v>
      </c>
      <c r="B174" s="414" t="s">
        <v>732</v>
      </c>
      <c r="C174" s="403">
        <v>92.2</v>
      </c>
      <c r="D174" s="414" t="s">
        <v>29</v>
      </c>
    </row>
    <row r="175" spans="1:4" ht="13.8" thickBot="1" x14ac:dyDescent="0.3">
      <c r="A175" s="413" t="s">
        <v>79</v>
      </c>
      <c r="B175" s="414" t="s">
        <v>733</v>
      </c>
      <c r="C175" s="403">
        <v>92.5</v>
      </c>
      <c r="D175" s="414" t="s">
        <v>29</v>
      </c>
    </row>
    <row r="176" spans="1:4" ht="13.8" thickBot="1" x14ac:dyDescent="0.3">
      <c r="A176" s="413" t="s">
        <v>80</v>
      </c>
      <c r="B176" s="414" t="s">
        <v>734</v>
      </c>
      <c r="C176" s="403">
        <v>88.5</v>
      </c>
      <c r="D176" s="414" t="s">
        <v>29</v>
      </c>
    </row>
    <row r="177" spans="1:4" ht="13.8" thickBot="1" x14ac:dyDescent="0.3">
      <c r="A177" s="413" t="s">
        <v>81</v>
      </c>
      <c r="B177" s="414" t="s">
        <v>735</v>
      </c>
      <c r="C177" s="403">
        <v>125.08</v>
      </c>
      <c r="D177" s="414" t="s">
        <v>29</v>
      </c>
    </row>
    <row r="178" spans="1:4" ht="13.8" thickBot="1" x14ac:dyDescent="0.3">
      <c r="A178" s="413" t="s">
        <v>82</v>
      </c>
      <c r="B178" s="414" t="s">
        <v>736</v>
      </c>
      <c r="C178" s="403">
        <v>50.35</v>
      </c>
      <c r="D178" s="414" t="s">
        <v>29</v>
      </c>
    </row>
    <row r="179" spans="1:4" ht="13.8" thickBot="1" x14ac:dyDescent="0.3">
      <c r="A179" s="413" t="s">
        <v>83</v>
      </c>
      <c r="B179" s="414" t="s">
        <v>737</v>
      </c>
      <c r="C179" s="403">
        <v>51.75</v>
      </c>
      <c r="D179" s="414" t="s">
        <v>29</v>
      </c>
    </row>
    <row r="180" spans="1:4" ht="13.8" thickBot="1" x14ac:dyDescent="0.3">
      <c r="A180" s="413" t="s">
        <v>84</v>
      </c>
      <c r="B180" s="414" t="s">
        <v>738</v>
      </c>
      <c r="C180" s="403">
        <v>50</v>
      </c>
      <c r="D180" s="414" t="s">
        <v>29</v>
      </c>
    </row>
    <row r="181" spans="1:4" ht="13.8" thickBot="1" x14ac:dyDescent="0.3">
      <c r="A181" s="413" t="s">
        <v>85</v>
      </c>
      <c r="B181" s="414" t="s">
        <v>739</v>
      </c>
      <c r="C181" s="403">
        <v>50.3</v>
      </c>
      <c r="D181" s="414" t="s">
        <v>29</v>
      </c>
    </row>
    <row r="182" spans="1:4" ht="13.8" thickBot="1" x14ac:dyDescent="0.3">
      <c r="A182" s="413" t="s">
        <v>86</v>
      </c>
      <c r="B182" s="414" t="s">
        <v>740</v>
      </c>
      <c r="C182" s="403">
        <v>50.85</v>
      </c>
      <c r="D182" s="414" t="s">
        <v>29</v>
      </c>
    </row>
    <row r="183" spans="1:4" ht="13.8" thickBot="1" x14ac:dyDescent="0.3">
      <c r="A183" s="413" t="s">
        <v>87</v>
      </c>
      <c r="B183" s="414" t="s">
        <v>741</v>
      </c>
      <c r="C183" s="403">
        <v>52.05</v>
      </c>
      <c r="D183" s="414" t="s">
        <v>29</v>
      </c>
    </row>
    <row r="184" spans="1:4" ht="13.8" thickBot="1" x14ac:dyDescent="0.3">
      <c r="A184" s="413" t="s">
        <v>88</v>
      </c>
      <c r="B184" s="414" t="s">
        <v>742</v>
      </c>
      <c r="C184" s="403">
        <v>94.8</v>
      </c>
      <c r="D184" s="414" t="s">
        <v>29</v>
      </c>
    </row>
    <row r="185" spans="1:4" ht="13.8" thickBot="1" x14ac:dyDescent="0.3">
      <c r="A185" s="413" t="s">
        <v>89</v>
      </c>
      <c r="B185" s="414" t="s">
        <v>743</v>
      </c>
      <c r="C185" s="403">
        <v>183</v>
      </c>
      <c r="D185" s="414" t="s">
        <v>29</v>
      </c>
    </row>
    <row r="186" spans="1:4" ht="13.8" thickBot="1" x14ac:dyDescent="0.3">
      <c r="A186" s="413" t="s">
        <v>90</v>
      </c>
      <c r="B186" s="414" t="s">
        <v>744</v>
      </c>
      <c r="C186" s="403">
        <v>90.8</v>
      </c>
      <c r="D186" s="414" t="s">
        <v>29</v>
      </c>
    </row>
    <row r="187" spans="1:4" ht="13.8" thickBot="1" x14ac:dyDescent="0.3">
      <c r="A187" s="413" t="s">
        <v>91</v>
      </c>
      <c r="B187" s="414" t="s">
        <v>745</v>
      </c>
      <c r="C187" s="403">
        <v>123.6</v>
      </c>
      <c r="D187" s="414" t="s">
        <v>29</v>
      </c>
    </row>
    <row r="188" spans="1:4" ht="13.8" thickBot="1" x14ac:dyDescent="0.3">
      <c r="A188" s="413" t="s">
        <v>92</v>
      </c>
      <c r="B188" s="414" t="s">
        <v>746</v>
      </c>
      <c r="C188" s="403">
        <v>108.65</v>
      </c>
      <c r="D188" s="414" t="s">
        <v>29</v>
      </c>
    </row>
    <row r="189" spans="1:4" ht="13.8" thickBot="1" x14ac:dyDescent="0.3">
      <c r="A189" s="413" t="s">
        <v>93</v>
      </c>
      <c r="B189" s="414" t="s">
        <v>747</v>
      </c>
      <c r="C189" s="403">
        <v>100.9</v>
      </c>
      <c r="D189" s="414" t="s">
        <v>29</v>
      </c>
    </row>
    <row r="190" spans="1:4" ht="13.8" thickBot="1" x14ac:dyDescent="0.3">
      <c r="A190" s="413" t="s">
        <v>94</v>
      </c>
      <c r="B190" s="414" t="s">
        <v>748</v>
      </c>
      <c r="C190" s="403">
        <v>24.56</v>
      </c>
      <c r="D190" s="414" t="s">
        <v>29</v>
      </c>
    </row>
    <row r="191" spans="1:4" ht="13.8" thickBot="1" x14ac:dyDescent="0.3">
      <c r="A191" s="413" t="s">
        <v>95</v>
      </c>
      <c r="B191" s="414" t="s">
        <v>749</v>
      </c>
      <c r="C191" s="403">
        <v>5.77</v>
      </c>
      <c r="D191" s="414" t="s">
        <v>29</v>
      </c>
    </row>
    <row r="192" spans="1:4" ht="13.8" thickBot="1" x14ac:dyDescent="0.3">
      <c r="A192" s="413" t="s">
        <v>96</v>
      </c>
      <c r="B192" s="414" t="s">
        <v>750</v>
      </c>
      <c r="C192" s="403">
        <v>6.42</v>
      </c>
      <c r="D192" s="414" t="s">
        <v>29</v>
      </c>
    </row>
    <row r="193" spans="1:4" ht="13.8" thickBot="1" x14ac:dyDescent="0.3">
      <c r="A193" s="413" t="s">
        <v>97</v>
      </c>
      <c r="B193" s="414" t="s">
        <v>751</v>
      </c>
      <c r="C193" s="403">
        <v>28</v>
      </c>
      <c r="D193" s="414" t="s">
        <v>29</v>
      </c>
    </row>
    <row r="194" spans="1:4" ht="13.8" thickBot="1" x14ac:dyDescent="0.3">
      <c r="A194" s="413" t="s">
        <v>98</v>
      </c>
      <c r="B194" s="414" t="s">
        <v>752</v>
      </c>
      <c r="C194" s="403">
        <v>5.57</v>
      </c>
      <c r="D194" s="414" t="s">
        <v>29</v>
      </c>
    </row>
    <row r="195" spans="1:4" ht="13.8" thickBot="1" x14ac:dyDescent="0.3">
      <c r="A195" s="415" t="s">
        <v>99</v>
      </c>
      <c r="B195" s="414" t="s">
        <v>753</v>
      </c>
      <c r="C195" s="403">
        <v>5.71</v>
      </c>
      <c r="D195" s="414" t="s">
        <v>29</v>
      </c>
    </row>
    <row r="196" spans="1:4" ht="13.8" thickBot="1" x14ac:dyDescent="0.3">
      <c r="A196" s="413" t="s">
        <v>100</v>
      </c>
      <c r="B196" s="414" t="s">
        <v>754</v>
      </c>
      <c r="C196" s="403">
        <v>6.42</v>
      </c>
      <c r="D196" s="414" t="s">
        <v>29</v>
      </c>
    </row>
    <row r="197" spans="1:4" ht="13.8" thickBot="1" x14ac:dyDescent="0.3">
      <c r="A197" s="413" t="s">
        <v>101</v>
      </c>
      <c r="B197" s="414" t="s">
        <v>755</v>
      </c>
      <c r="C197" s="403">
        <v>5.81</v>
      </c>
      <c r="D197" s="414" t="s">
        <v>29</v>
      </c>
    </row>
    <row r="198" spans="1:4" ht="13.8" thickBot="1" x14ac:dyDescent="0.3">
      <c r="A198" s="413" t="s">
        <v>102</v>
      </c>
      <c r="B198" s="414" t="s">
        <v>756</v>
      </c>
      <c r="C198" s="403">
        <v>4.3899999999999997</v>
      </c>
      <c r="D198" s="414" t="s">
        <v>29</v>
      </c>
    </row>
    <row r="199" spans="1:4" ht="13.8" thickBot="1" x14ac:dyDescent="0.3">
      <c r="A199" s="413" t="s">
        <v>103</v>
      </c>
      <c r="B199" s="414" t="s">
        <v>757</v>
      </c>
      <c r="C199" s="403">
        <v>6.88</v>
      </c>
      <c r="D199" s="414" t="s">
        <v>29</v>
      </c>
    </row>
    <row r="200" spans="1:4" ht="13.8" thickBot="1" x14ac:dyDescent="0.3">
      <c r="A200" s="413" t="s">
        <v>104</v>
      </c>
      <c r="B200" s="414" t="s">
        <v>758</v>
      </c>
      <c r="C200" s="403">
        <v>229.45</v>
      </c>
      <c r="D200" s="414" t="s">
        <v>29</v>
      </c>
    </row>
    <row r="201" spans="1:4" ht="13.8" thickBot="1" x14ac:dyDescent="0.3">
      <c r="A201" s="413" t="s">
        <v>105</v>
      </c>
      <c r="B201" s="414" t="s">
        <v>759</v>
      </c>
      <c r="C201" s="403">
        <v>25.72</v>
      </c>
      <c r="D201" s="414" t="s">
        <v>29</v>
      </c>
    </row>
    <row r="202" spans="1:4" ht="13.8" thickBot="1" x14ac:dyDescent="0.3">
      <c r="A202" s="413" t="s">
        <v>106</v>
      </c>
      <c r="B202" s="414" t="s">
        <v>760</v>
      </c>
      <c r="C202" s="403">
        <v>37.4</v>
      </c>
      <c r="D202" s="414" t="s">
        <v>29</v>
      </c>
    </row>
    <row r="203" spans="1:4" ht="13.8" thickBot="1" x14ac:dyDescent="0.3">
      <c r="A203" s="413" t="s">
        <v>107</v>
      </c>
      <c r="B203" s="414" t="s">
        <v>761</v>
      </c>
      <c r="C203" s="403">
        <v>79.27</v>
      </c>
      <c r="D203" s="414" t="s">
        <v>29</v>
      </c>
    </row>
    <row r="204" spans="1:4" ht="13.8" thickBot="1" x14ac:dyDescent="0.3">
      <c r="A204" s="415" t="s">
        <v>108</v>
      </c>
      <c r="B204" s="414" t="s">
        <v>762</v>
      </c>
      <c r="C204" s="403">
        <v>3.37</v>
      </c>
      <c r="D204" s="414" t="s">
        <v>29</v>
      </c>
    </row>
    <row r="205" spans="1:4" ht="13.8" thickBot="1" x14ac:dyDescent="0.3">
      <c r="A205" s="413" t="s">
        <v>402</v>
      </c>
      <c r="B205" s="414" t="s">
        <v>763</v>
      </c>
      <c r="C205" s="403">
        <v>9.2899999999999991</v>
      </c>
      <c r="D205" s="414" t="s">
        <v>29</v>
      </c>
    </row>
    <row r="206" spans="1:4" ht="13.8" thickBot="1" x14ac:dyDescent="0.3">
      <c r="A206" s="413" t="s">
        <v>109</v>
      </c>
      <c r="B206" s="414" t="s">
        <v>764</v>
      </c>
      <c r="C206" s="403">
        <v>13.69</v>
      </c>
      <c r="D206" s="414" t="s">
        <v>29</v>
      </c>
    </row>
    <row r="207" spans="1:4" ht="13.8" thickBot="1" x14ac:dyDescent="0.3">
      <c r="A207" s="413" t="s">
        <v>110</v>
      </c>
      <c r="B207" s="414" t="s">
        <v>765</v>
      </c>
      <c r="C207" s="403">
        <v>3.08</v>
      </c>
      <c r="D207" s="414" t="s">
        <v>29</v>
      </c>
    </row>
    <row r="208" spans="1:4" ht="13.8" thickBot="1" x14ac:dyDescent="0.3">
      <c r="A208" s="413" t="s">
        <v>111</v>
      </c>
      <c r="B208" s="414" t="s">
        <v>766</v>
      </c>
      <c r="C208" s="403">
        <v>2.69</v>
      </c>
      <c r="D208" s="414" t="s">
        <v>29</v>
      </c>
    </row>
    <row r="209" spans="1:4" ht="13.8" thickBot="1" x14ac:dyDescent="0.3">
      <c r="A209" s="413" t="s">
        <v>403</v>
      </c>
      <c r="B209" s="414" t="s">
        <v>767</v>
      </c>
      <c r="C209" s="403">
        <v>0.74</v>
      </c>
      <c r="D209" s="414" t="s">
        <v>29</v>
      </c>
    </row>
    <row r="210" spans="1:4" ht="13.8" thickBot="1" x14ac:dyDescent="0.3">
      <c r="A210" s="413" t="s">
        <v>112</v>
      </c>
      <c r="B210" s="414" t="s">
        <v>113</v>
      </c>
      <c r="C210" s="403">
        <v>362</v>
      </c>
      <c r="D210" s="414" t="s">
        <v>29</v>
      </c>
    </row>
    <row r="211" spans="1:4" ht="13.8" thickBot="1" x14ac:dyDescent="0.3">
      <c r="A211" s="413" t="s">
        <v>114</v>
      </c>
      <c r="B211" s="414" t="s">
        <v>115</v>
      </c>
      <c r="C211" s="403">
        <v>5.0199999999999996</v>
      </c>
      <c r="D211" s="414" t="s">
        <v>29</v>
      </c>
    </row>
    <row r="212" spans="1:4" ht="13.8" thickBot="1" x14ac:dyDescent="0.3">
      <c r="A212" s="413" t="s">
        <v>116</v>
      </c>
      <c r="B212" s="414" t="s">
        <v>117</v>
      </c>
      <c r="C212" s="403">
        <v>5.64</v>
      </c>
      <c r="D212" s="414" t="s">
        <v>29</v>
      </c>
    </row>
    <row r="213" spans="1:4" ht="13.8" thickBot="1" x14ac:dyDescent="0.3">
      <c r="A213" s="413" t="s">
        <v>118</v>
      </c>
      <c r="B213" s="414" t="s">
        <v>768</v>
      </c>
      <c r="C213" s="403">
        <v>11.19</v>
      </c>
      <c r="D213" s="414" t="s">
        <v>29</v>
      </c>
    </row>
    <row r="214" spans="1:4" ht="13.8" thickBot="1" x14ac:dyDescent="0.3">
      <c r="A214" s="413" t="s">
        <v>119</v>
      </c>
      <c r="B214" s="414" t="s">
        <v>769</v>
      </c>
      <c r="C214" s="403">
        <v>8.85</v>
      </c>
      <c r="D214" s="414" t="s">
        <v>29</v>
      </c>
    </row>
    <row r="215" spans="1:4" ht="13.8" thickBot="1" x14ac:dyDescent="0.3">
      <c r="A215" s="413" t="s">
        <v>120</v>
      </c>
      <c r="B215" s="414" t="s">
        <v>770</v>
      </c>
      <c r="C215" s="403">
        <v>8.85</v>
      </c>
      <c r="D215" s="414" t="s">
        <v>29</v>
      </c>
    </row>
    <row r="216" spans="1:4" ht="13.8" thickBot="1" x14ac:dyDescent="0.3">
      <c r="A216" s="413" t="s">
        <v>121</v>
      </c>
      <c r="B216" s="416" t="s">
        <v>771</v>
      </c>
      <c r="C216" s="403">
        <v>0.36</v>
      </c>
      <c r="D216" s="414" t="s">
        <v>29</v>
      </c>
    </row>
    <row r="217" spans="1:4" ht="13.8" thickBot="1" x14ac:dyDescent="0.3">
      <c r="A217" s="413" t="s">
        <v>122</v>
      </c>
      <c r="B217" s="416" t="s">
        <v>772</v>
      </c>
      <c r="C217" s="403">
        <v>1.77</v>
      </c>
      <c r="D217" s="414" t="s">
        <v>29</v>
      </c>
    </row>
    <row r="218" spans="1:4" ht="13.8" thickBot="1" x14ac:dyDescent="0.3">
      <c r="A218" s="413" t="s">
        <v>123</v>
      </c>
      <c r="B218" s="416" t="s">
        <v>773</v>
      </c>
      <c r="C218" s="403">
        <v>40.58</v>
      </c>
      <c r="D218" s="414" t="s">
        <v>29</v>
      </c>
    </row>
    <row r="219" spans="1:4" ht="14.4" x14ac:dyDescent="0.3">
      <c r="A219" s="393"/>
      <c r="C219"/>
    </row>
  </sheetData>
  <sortState ref="A2:E35517">
    <sortCondition ref="C24910"/>
  </sortState>
  <mergeCells count="2">
    <mergeCell ref="A3:D3"/>
    <mergeCell ref="A115:D11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1"/>
  <sheetViews>
    <sheetView workbookViewId="0">
      <selection activeCell="A2" sqref="A1:A2"/>
    </sheetView>
  </sheetViews>
  <sheetFormatPr defaultRowHeight="13.2" x14ac:dyDescent="0.25"/>
  <cols>
    <col min="6" max="8" width="15.6640625" customWidth="1"/>
  </cols>
  <sheetData>
    <row r="1" spans="1:20" x14ac:dyDescent="0.25">
      <c r="A1" s="773" t="s">
        <v>934</v>
      </c>
    </row>
    <row r="2" spans="1:20" x14ac:dyDescent="0.25">
      <c r="A2" s="773" t="s">
        <v>923</v>
      </c>
    </row>
    <row r="4" spans="1:20" ht="17.399999999999999" x14ac:dyDescent="0.3">
      <c r="A4" s="2" t="str">
        <f>'SL-1 CoS'!A4</f>
        <v>2016 Cost of Service</v>
      </c>
      <c r="G4" s="40"/>
      <c r="H4" s="40"/>
    </row>
    <row r="5" spans="1:20" x14ac:dyDescent="0.25">
      <c r="A5" s="4"/>
      <c r="B5" s="4"/>
      <c r="C5" s="4"/>
      <c r="D5" s="4"/>
      <c r="E5" s="4"/>
      <c r="F5" s="73"/>
      <c r="G5" s="14" t="s">
        <v>124</v>
      </c>
      <c r="H5" s="14" t="s">
        <v>124</v>
      </c>
    </row>
    <row r="6" spans="1:20" x14ac:dyDescent="0.25">
      <c r="A6" s="12" t="s">
        <v>125</v>
      </c>
      <c r="B6" s="12"/>
      <c r="C6" s="12"/>
      <c r="D6" s="12"/>
      <c r="E6" s="12"/>
      <c r="F6" s="14" t="s">
        <v>124</v>
      </c>
      <c r="G6" s="14" t="s">
        <v>126</v>
      </c>
      <c r="H6" s="14" t="s">
        <v>126</v>
      </c>
    </row>
    <row r="7" spans="1:20" x14ac:dyDescent="0.25">
      <c r="A7" s="72"/>
      <c r="B7" s="12"/>
      <c r="C7" s="12"/>
      <c r="D7" s="12"/>
      <c r="E7" s="12"/>
      <c r="F7" s="14" t="s">
        <v>126</v>
      </c>
      <c r="G7" s="14" t="s">
        <v>127</v>
      </c>
      <c r="H7" s="14" t="s">
        <v>128</v>
      </c>
    </row>
    <row r="8" spans="1:20" x14ac:dyDescent="0.25">
      <c r="A8" s="12"/>
      <c r="B8" s="12"/>
      <c r="C8" s="12"/>
      <c r="D8" s="12"/>
      <c r="E8" s="12"/>
      <c r="F8" s="15" t="s">
        <v>129</v>
      </c>
      <c r="G8" s="15" t="s">
        <v>130</v>
      </c>
      <c r="H8" s="15" t="s">
        <v>130</v>
      </c>
    </row>
    <row r="9" spans="1:20" x14ac:dyDescent="0.25">
      <c r="A9" s="12" t="s">
        <v>131</v>
      </c>
      <c r="B9" s="13"/>
      <c r="C9" s="13"/>
      <c r="D9" s="13"/>
      <c r="E9" s="13"/>
      <c r="F9" s="6"/>
      <c r="G9" s="6"/>
      <c r="H9" s="6"/>
    </row>
    <row r="10" spans="1:20" ht="13.8" thickBot="1" x14ac:dyDescent="0.3">
      <c r="A10" s="13" t="s">
        <v>464</v>
      </c>
      <c r="B10" s="13"/>
      <c r="C10" s="13"/>
      <c r="D10" s="13"/>
      <c r="E10" s="13"/>
      <c r="F10" s="434">
        <v>85</v>
      </c>
      <c r="G10" s="434">
        <v>85</v>
      </c>
      <c r="H10" s="434">
        <v>85</v>
      </c>
    </row>
    <row r="11" spans="1:20" ht="13.8" thickBot="1" x14ac:dyDescent="0.3">
      <c r="A11" s="13" t="s">
        <v>133</v>
      </c>
      <c r="B11" s="468"/>
      <c r="C11" s="469"/>
      <c r="D11" s="469"/>
      <c r="E11" s="469"/>
      <c r="F11" s="470">
        <f>TRUNC(+F10*(1/12)*4.24)</f>
        <v>30</v>
      </c>
      <c r="G11" s="470">
        <f>TRUNC(+G10*(1/12)*4.24)</f>
        <v>30</v>
      </c>
      <c r="H11" s="471">
        <f>TRUNC(+H10*(1/12)*4.24)</f>
        <v>30</v>
      </c>
    </row>
    <row r="12" spans="1:20" x14ac:dyDescent="0.25">
      <c r="A12" s="13" t="s">
        <v>134</v>
      </c>
      <c r="B12" s="13"/>
      <c r="C12" s="13"/>
      <c r="D12" s="13"/>
      <c r="E12" s="13"/>
      <c r="F12" s="434">
        <v>60</v>
      </c>
      <c r="G12" s="434">
        <v>60</v>
      </c>
      <c r="H12" s="434">
        <v>60</v>
      </c>
    </row>
    <row r="13" spans="1:20" x14ac:dyDescent="0.25">
      <c r="A13" s="296" t="s">
        <v>569</v>
      </c>
      <c r="B13" s="13"/>
      <c r="C13" s="13"/>
      <c r="D13" s="13"/>
      <c r="E13" s="13"/>
      <c r="F13" s="435"/>
      <c r="G13" s="435"/>
      <c r="H13" s="435"/>
      <c r="T13" t="s">
        <v>803</v>
      </c>
    </row>
    <row r="14" spans="1:20" x14ac:dyDescent="0.25">
      <c r="A14" s="12" t="s">
        <v>135</v>
      </c>
      <c r="B14" s="13"/>
      <c r="C14" s="13"/>
      <c r="D14" s="13"/>
      <c r="E14" s="13"/>
      <c r="F14" s="435"/>
      <c r="G14" s="435"/>
      <c r="H14" s="435"/>
      <c r="P14" t="s">
        <v>802</v>
      </c>
      <c r="R14">
        <v>12</v>
      </c>
      <c r="S14">
        <f>L15/R14</f>
        <v>0.96799999999999997</v>
      </c>
      <c r="T14" s="472">
        <f>1-S14</f>
        <v>3.2000000000000028E-2</v>
      </c>
    </row>
    <row r="15" spans="1:20" x14ac:dyDescent="0.25">
      <c r="A15" s="13" t="s">
        <v>136</v>
      </c>
      <c r="B15" s="13"/>
      <c r="C15" s="13"/>
      <c r="D15" s="13"/>
      <c r="E15" s="13"/>
      <c r="F15" s="436">
        <f>+'27'!G31</f>
        <v>87.924840159999988</v>
      </c>
      <c r="G15" s="437">
        <f>+'28'!G31</f>
        <v>108.90239615999998</v>
      </c>
      <c r="H15" s="437">
        <f>+'29'!G31</f>
        <v>110.15612415999999</v>
      </c>
      <c r="L15">
        <v>11.616</v>
      </c>
      <c r="M15">
        <v>365</v>
      </c>
      <c r="N15">
        <f>M15*L15</f>
        <v>4239.84</v>
      </c>
      <c r="P15">
        <f>0.616*60</f>
        <v>36.96</v>
      </c>
    </row>
    <row r="16" spans="1:20" x14ac:dyDescent="0.25">
      <c r="A16" s="13" t="s">
        <v>428</v>
      </c>
      <c r="B16" s="13"/>
      <c r="C16" s="13"/>
      <c r="D16" s="13"/>
      <c r="E16" s="13"/>
      <c r="F16" s="437">
        <f>+F15*$H$56/2</f>
        <v>0.23739706843199998</v>
      </c>
      <c r="G16" s="437">
        <f>+G15*$H$56/2</f>
        <v>0.29403646963199997</v>
      </c>
      <c r="H16" s="437">
        <f>+H15*$H$56/2</f>
        <v>0.29742153523199999</v>
      </c>
      <c r="L16">
        <v>365.25</v>
      </c>
      <c r="M16">
        <f>4.24*1000</f>
        <v>4240</v>
      </c>
      <c r="N16">
        <f>M16/L16</f>
        <v>11.60848733744011</v>
      </c>
      <c r="R16">
        <f>M16/12</f>
        <v>353.33333333333331</v>
      </c>
    </row>
    <row r="17" spans="1:16" x14ac:dyDescent="0.25">
      <c r="A17" s="13" t="s">
        <v>137</v>
      </c>
      <c r="B17" s="13"/>
      <c r="C17" s="13"/>
      <c r="D17" s="13"/>
      <c r="E17" s="13"/>
      <c r="F17" s="437">
        <f>+'67'!H20</f>
        <v>100.88000000000002</v>
      </c>
      <c r="G17" s="437">
        <f>+'67'!H20</f>
        <v>100.88000000000002</v>
      </c>
      <c r="H17" s="437">
        <f>+'67'!H20</f>
        <v>100.88000000000002</v>
      </c>
    </row>
    <row r="18" spans="1:16" x14ac:dyDescent="0.25">
      <c r="A18" s="13" t="s">
        <v>427</v>
      </c>
      <c r="B18" s="13"/>
      <c r="C18" s="13"/>
      <c r="D18" s="13"/>
      <c r="E18" s="13"/>
      <c r="F18" s="326">
        <f>+F17*$H$57/2</f>
        <v>1.5585960000000003</v>
      </c>
      <c r="G18" s="326">
        <f>+G17*$H$57/2</f>
        <v>1.5585960000000003</v>
      </c>
      <c r="H18" s="326">
        <f>+H17*$H$57/2</f>
        <v>1.5585960000000003</v>
      </c>
      <c r="N18">
        <f>(N16-11)*60</f>
        <v>36.509240246406591</v>
      </c>
    </row>
    <row r="19" spans="1:16" x14ac:dyDescent="0.25">
      <c r="A19" s="13"/>
      <c r="B19" s="13"/>
      <c r="C19" s="13"/>
      <c r="D19" s="13"/>
      <c r="E19" s="13"/>
      <c r="F19" s="437">
        <f>SUM(F15:F18)</f>
        <v>190.60083322843201</v>
      </c>
      <c r="G19" s="437">
        <f>SUM(G15:G18)</f>
        <v>211.63502862963199</v>
      </c>
      <c r="H19" s="437">
        <f>SUM(H15:H18)</f>
        <v>212.89214169523203</v>
      </c>
    </row>
    <row r="20" spans="1:16" ht="13.8" thickBot="1" x14ac:dyDescent="0.3">
      <c r="A20" s="13" t="s">
        <v>424</v>
      </c>
      <c r="B20" s="13"/>
      <c r="C20" s="13"/>
      <c r="D20" s="13"/>
      <c r="E20" s="13"/>
      <c r="F20" s="437">
        <f>+F19*$H$52</f>
        <v>48.450731806667413</v>
      </c>
      <c r="G20" s="437">
        <f>+G19*$H$52</f>
        <v>53.797624277652446</v>
      </c>
      <c r="H20" s="437">
        <f>+H19*$H$52</f>
        <v>54.117182418927975</v>
      </c>
      <c r="P20" s="473">
        <v>0.5</v>
      </c>
    </row>
    <row r="21" spans="1:16" ht="13.8" thickBot="1" x14ac:dyDescent="0.3">
      <c r="A21" s="12" t="s">
        <v>138</v>
      </c>
      <c r="B21" s="13"/>
      <c r="C21" s="13"/>
      <c r="D21" s="13"/>
      <c r="E21" s="307" t="s">
        <v>556</v>
      </c>
      <c r="F21" s="488">
        <f>SUM(F19:F20)</f>
        <v>239.05156503509943</v>
      </c>
      <c r="G21" s="490">
        <f>SUM(G19:G20)</f>
        <v>265.43265290728442</v>
      </c>
      <c r="H21" s="489">
        <f>SUM(H19:H20)</f>
        <v>267.00932411415999</v>
      </c>
    </row>
    <row r="22" spans="1:16" x14ac:dyDescent="0.25">
      <c r="A22" s="13"/>
      <c r="B22" s="13"/>
      <c r="C22" s="13"/>
      <c r="D22" s="13"/>
      <c r="E22" s="13"/>
      <c r="F22" s="437"/>
      <c r="G22" s="437"/>
      <c r="H22" s="437"/>
      <c r="J22" s="306" t="s">
        <v>562</v>
      </c>
      <c r="K22">
        <f>1/12</f>
        <v>8.3333333333333329E-2</v>
      </c>
    </row>
    <row r="23" spans="1:16" x14ac:dyDescent="0.25">
      <c r="A23" s="13" t="s">
        <v>139</v>
      </c>
      <c r="B23" s="13"/>
      <c r="C23" s="13"/>
      <c r="D23" s="13"/>
      <c r="E23" s="13"/>
      <c r="F23" s="437"/>
      <c r="G23" s="437"/>
      <c r="H23" s="437"/>
    </row>
    <row r="24" spans="1:16" x14ac:dyDescent="0.25">
      <c r="A24" s="13" t="s">
        <v>140</v>
      </c>
      <c r="B24" s="13"/>
      <c r="C24" s="13"/>
      <c r="D24" s="13"/>
      <c r="E24" s="13"/>
      <c r="F24" s="437">
        <f>+H58*(1+$H$61)*(1+$H$53)+H59</f>
        <v>5.5168346799999997</v>
      </c>
      <c r="G24" s="437">
        <f>+F24</f>
        <v>5.5168346799999997</v>
      </c>
      <c r="H24" s="437">
        <f>+F24</f>
        <v>5.5168346799999997</v>
      </c>
    </row>
    <row r="25" spans="1:16" x14ac:dyDescent="0.25">
      <c r="A25" s="277" t="s">
        <v>567</v>
      </c>
      <c r="B25" s="13"/>
      <c r="C25" s="13"/>
      <c r="D25" s="13"/>
      <c r="E25" s="13"/>
      <c r="F25" s="437">
        <f>+$H$60*(1+$H$61)*(1+$H$53)</f>
        <v>4.23357428</v>
      </c>
      <c r="G25" s="437">
        <f>+$H$60*(1+$H$61)*(1+$H$53)</f>
        <v>4.23357428</v>
      </c>
      <c r="H25" s="437">
        <f>+$H$60*(1+$H$61)*(1+$H$53)</f>
        <v>4.23357428</v>
      </c>
    </row>
    <row r="26" spans="1:16" x14ac:dyDescent="0.25">
      <c r="A26" s="13" t="s">
        <v>429</v>
      </c>
      <c r="B26" s="13"/>
      <c r="C26" s="13"/>
      <c r="D26" s="13"/>
      <c r="E26" s="13"/>
      <c r="F26" s="437">
        <f>+F24*$H$56/2</f>
        <v>1.4895453636E-2</v>
      </c>
      <c r="G26" s="437">
        <f>+G24*$H$56/2</f>
        <v>1.4895453636E-2</v>
      </c>
      <c r="H26" s="437">
        <f>+H24*$H$56/2</f>
        <v>1.4895453636E-2</v>
      </c>
    </row>
    <row r="27" spans="1:16" x14ac:dyDescent="0.25">
      <c r="A27" s="13" t="s">
        <v>141</v>
      </c>
      <c r="B27" s="13"/>
      <c r="C27" s="13"/>
      <c r="D27" s="13"/>
      <c r="E27" s="13"/>
      <c r="F27" s="437">
        <f>+$H$55</f>
        <v>97</v>
      </c>
      <c r="G27" s="437">
        <f>+$H$55</f>
        <v>97</v>
      </c>
      <c r="H27" s="437">
        <f>+$H$55</f>
        <v>97</v>
      </c>
    </row>
    <row r="28" spans="1:16" x14ac:dyDescent="0.25">
      <c r="A28" s="13" t="s">
        <v>430</v>
      </c>
      <c r="B28" s="13"/>
      <c r="C28" s="13"/>
      <c r="D28" s="13"/>
      <c r="E28" s="13"/>
      <c r="F28" s="326">
        <f>+F27*$H$57/2</f>
        <v>1.49865</v>
      </c>
      <c r="G28" s="326">
        <f>+G27*$H$57/2</f>
        <v>1.49865</v>
      </c>
      <c r="H28" s="326">
        <f>+H27*$H$57/2</f>
        <v>1.49865</v>
      </c>
    </row>
    <row r="29" spans="1:16" x14ac:dyDescent="0.25">
      <c r="A29" s="12" t="s">
        <v>467</v>
      </c>
      <c r="B29" s="13"/>
      <c r="C29" s="13"/>
      <c r="D29" s="13"/>
      <c r="E29" s="13"/>
      <c r="F29" s="438">
        <f>SUM(F24:F28)</f>
        <v>108.263954413636</v>
      </c>
      <c r="G29" s="438">
        <f>SUM(G24:G28)</f>
        <v>108.263954413636</v>
      </c>
      <c r="H29" s="438">
        <f>SUM(H24:H28)</f>
        <v>108.263954413636</v>
      </c>
    </row>
    <row r="30" spans="1:16" x14ac:dyDescent="0.25">
      <c r="A30" s="12" t="s">
        <v>143</v>
      </c>
      <c r="B30" s="13"/>
      <c r="C30" s="13"/>
      <c r="D30" s="13"/>
      <c r="E30" s="13"/>
      <c r="F30" s="438">
        <f>+F29/F12</f>
        <v>1.8043992402272666</v>
      </c>
      <c r="G30" s="438">
        <f>+G29/G12</f>
        <v>1.8043992402272666</v>
      </c>
      <c r="H30" s="438">
        <f>+H29/H12</f>
        <v>1.8043992402272666</v>
      </c>
    </row>
    <row r="31" spans="1:16" x14ac:dyDescent="0.25">
      <c r="A31" s="13"/>
      <c r="B31" s="13"/>
      <c r="C31" s="13"/>
      <c r="D31" s="13"/>
      <c r="E31" s="13"/>
      <c r="F31" s="437"/>
      <c r="G31" s="437"/>
      <c r="H31" s="437"/>
    </row>
    <row r="32" spans="1:16" ht="13.8" thickBot="1" x14ac:dyDescent="0.3">
      <c r="A32" s="12" t="s">
        <v>144</v>
      </c>
      <c r="B32" s="13"/>
      <c r="C32" s="13"/>
      <c r="D32" s="13"/>
      <c r="E32" s="13"/>
      <c r="F32" s="437"/>
      <c r="G32" s="437"/>
      <c r="H32" s="437"/>
      <c r="K32">
        <f>1/12</f>
        <v>8.3333333333333329E-2</v>
      </c>
      <c r="L32">
        <f>1/0.083333</f>
        <v>12.000048000192001</v>
      </c>
    </row>
    <row r="33" spans="1:17" x14ac:dyDescent="0.25">
      <c r="A33" s="9" t="s">
        <v>145</v>
      </c>
      <c r="B33" s="276"/>
      <c r="C33" s="276"/>
      <c r="D33" s="276"/>
      <c r="E33" s="276"/>
      <c r="F33" s="439">
        <f>ROUND(+$H$46*0.083333*F21*$H$47,2)</f>
        <v>3.04</v>
      </c>
      <c r="G33" s="439">
        <f>ROUND(+$H$46*0.083333*G21*$H$47,2)</f>
        <v>3.38</v>
      </c>
      <c r="H33" s="440">
        <f>ROUND(+$H$46*0.083333*H21*$H$47,2)</f>
        <v>3.4</v>
      </c>
      <c r="M33" s="279"/>
      <c r="N33" s="303" t="s">
        <v>805</v>
      </c>
      <c r="O33" s="305" t="s">
        <v>804</v>
      </c>
      <c r="P33" s="304" t="s">
        <v>247</v>
      </c>
    </row>
    <row r="34" spans="1:17" ht="13.8" thickBot="1" x14ac:dyDescent="0.3">
      <c r="A34" s="13" t="s">
        <v>146</v>
      </c>
      <c r="B34" s="13"/>
      <c r="C34" s="13"/>
      <c r="D34" s="13"/>
      <c r="E34" s="13"/>
      <c r="F34" s="437">
        <f>ROUND(+$H$47*0.083333*F21*$H$49,2)</f>
        <v>0.87</v>
      </c>
      <c r="G34" s="437">
        <f>ROUND(+$H$47*0.083333*G21*$H$49,2)</f>
        <v>0.97</v>
      </c>
      <c r="H34" s="437">
        <f>ROUND(+$H$47*0.083333*H21*$H$49,2)</f>
        <v>0.97</v>
      </c>
      <c r="M34" s="279"/>
      <c r="N34" s="301">
        <v>12</v>
      </c>
      <c r="O34" s="302">
        <v>365</v>
      </c>
      <c r="P34" s="206">
        <f t="shared" ref="P34:P39" si="0">N34*O34</f>
        <v>4380</v>
      </c>
    </row>
    <row r="35" spans="1:17" ht="13.8" thickBot="1" x14ac:dyDescent="0.3">
      <c r="A35" s="13" t="s">
        <v>147</v>
      </c>
      <c r="B35" s="13"/>
      <c r="C35" s="13"/>
      <c r="D35" s="13"/>
      <c r="E35" s="13"/>
      <c r="F35" s="437">
        <f>ROUND(+F30*$H$47,2)</f>
        <v>1.81</v>
      </c>
      <c r="G35" s="437">
        <f>ROUND(+G30*$H$47,2)</f>
        <v>1.81</v>
      </c>
      <c r="H35" s="437">
        <f>ROUND(+H30*$H$47,2)</f>
        <v>1.81</v>
      </c>
      <c r="N35" s="301">
        <v>12</v>
      </c>
      <c r="O35" s="302">
        <v>365.25</v>
      </c>
      <c r="P35" s="206">
        <f t="shared" si="0"/>
        <v>4383</v>
      </c>
    </row>
    <row r="36" spans="1:17" ht="13.8" thickBot="1" x14ac:dyDescent="0.3">
      <c r="A36" s="13" t="s">
        <v>148</v>
      </c>
      <c r="B36" s="13"/>
      <c r="C36" s="13"/>
      <c r="D36" s="13"/>
      <c r="E36" s="13"/>
      <c r="F36" s="326">
        <f>ROUND(+$H$51*F11,2)</f>
        <v>0.8</v>
      </c>
      <c r="G36" s="326">
        <f>ROUND(+$H$51*G11,2)</f>
        <v>0.8</v>
      </c>
      <c r="H36" s="326">
        <f>ROUND(+$H$51*H11,2)</f>
        <v>0.8</v>
      </c>
      <c r="N36" s="301">
        <v>11.5</v>
      </c>
      <c r="O36" s="302">
        <v>365</v>
      </c>
      <c r="P36" s="206">
        <f t="shared" si="0"/>
        <v>4197.5</v>
      </c>
    </row>
    <row r="37" spans="1:17" ht="13.8" thickBot="1" x14ac:dyDescent="0.3">
      <c r="A37" s="12" t="s">
        <v>149</v>
      </c>
      <c r="B37" s="13"/>
      <c r="C37" s="13"/>
      <c r="D37" s="13"/>
      <c r="E37" s="13"/>
      <c r="F37" s="491">
        <f>SUM(F33:F36)</f>
        <v>6.5200000000000005</v>
      </c>
      <c r="G37" s="491">
        <f>SUM(G33:G36)</f>
        <v>6.96</v>
      </c>
      <c r="H37" s="491">
        <f>SUM(H33:H36)</f>
        <v>6.9799999999999995</v>
      </c>
      <c r="N37" s="477">
        <v>11.5</v>
      </c>
      <c r="O37" s="478">
        <v>365.25</v>
      </c>
      <c r="P37" s="479">
        <f t="shared" si="0"/>
        <v>4200.375</v>
      </c>
    </row>
    <row r="38" spans="1:17" ht="13.8" thickBot="1" x14ac:dyDescent="0.3">
      <c r="A38" s="13"/>
      <c r="B38" s="13"/>
      <c r="C38" s="13"/>
      <c r="D38" s="13"/>
      <c r="E38" s="13"/>
      <c r="F38" s="437"/>
      <c r="G38" s="437"/>
      <c r="H38" s="437"/>
      <c r="N38" s="301">
        <v>11.6</v>
      </c>
      <c r="O38" s="302">
        <v>365</v>
      </c>
      <c r="P38" s="206">
        <f t="shared" si="0"/>
        <v>4234</v>
      </c>
    </row>
    <row r="39" spans="1:17" ht="13.8" thickBot="1" x14ac:dyDescent="0.3">
      <c r="A39" s="12" t="s">
        <v>150</v>
      </c>
      <c r="B39" s="13"/>
      <c r="C39" s="13"/>
      <c r="D39" s="13"/>
      <c r="E39" s="13"/>
      <c r="F39" s="437"/>
      <c r="G39" s="437"/>
      <c r="H39" s="437"/>
      <c r="N39" s="301">
        <v>11.6</v>
      </c>
      <c r="O39" s="478">
        <v>365.25</v>
      </c>
      <c r="P39" s="479">
        <f t="shared" si="0"/>
        <v>4236.8999999999996</v>
      </c>
    </row>
    <row r="40" spans="1:17" x14ac:dyDescent="0.25">
      <c r="A40" s="13" t="s">
        <v>145</v>
      </c>
      <c r="B40" s="13"/>
      <c r="C40" s="13"/>
      <c r="D40" s="13"/>
      <c r="E40" s="13"/>
      <c r="F40" s="437">
        <f>+F33</f>
        <v>3.04</v>
      </c>
      <c r="G40" s="437">
        <f>+G33</f>
        <v>3.38</v>
      </c>
      <c r="H40" s="437">
        <f>+H33</f>
        <v>3.4</v>
      </c>
    </row>
    <row r="41" spans="1:17" x14ac:dyDescent="0.25">
      <c r="A41" s="13" t="s">
        <v>151</v>
      </c>
      <c r="B41" s="13"/>
      <c r="C41" s="13"/>
      <c r="D41" s="13"/>
      <c r="E41" s="13"/>
      <c r="F41" s="437">
        <f>ROUND(+$H$47*0.083333*F21*$H$50,2)</f>
        <v>0.79</v>
      </c>
      <c r="G41" s="437">
        <f>ROUND(+$H$47*0.083333*G21*$H$50,2)</f>
        <v>0.88</v>
      </c>
      <c r="H41" s="437">
        <f>ROUND(+$H$47*0.083333*H21*$H$50,2)</f>
        <v>0.89</v>
      </c>
    </row>
    <row r="42" spans="1:17" x14ac:dyDescent="0.25">
      <c r="A42" s="13" t="s">
        <v>147</v>
      </c>
      <c r="B42" s="13"/>
      <c r="C42" s="13"/>
      <c r="D42" s="13"/>
      <c r="E42" s="13"/>
      <c r="F42" s="437">
        <f>ROUND(+F30*$H$47,2)</f>
        <v>1.81</v>
      </c>
      <c r="G42" s="437">
        <f>ROUND(+G30*$H$47,2)</f>
        <v>1.81</v>
      </c>
      <c r="H42" s="437">
        <f>ROUND(+H30*$H$47,2)</f>
        <v>1.81</v>
      </c>
      <c r="O42" t="s">
        <v>807</v>
      </c>
      <c r="P42" t="s">
        <v>808</v>
      </c>
    </row>
    <row r="43" spans="1:17" x14ac:dyDescent="0.25">
      <c r="A43" s="13" t="s">
        <v>148</v>
      </c>
      <c r="B43" s="13"/>
      <c r="C43" s="13"/>
      <c r="D43" s="13"/>
      <c r="E43" s="13"/>
      <c r="F43" s="326">
        <f>ROUND(+$I$51*F11,2)</f>
        <v>0.8</v>
      </c>
      <c r="G43" s="326">
        <f>ROUND(+$I$51*G11,2)</f>
        <v>0.8</v>
      </c>
      <c r="H43" s="326">
        <f>ROUND(+$I$51*H11,2)</f>
        <v>0.8</v>
      </c>
      <c r="N43" t="s">
        <v>806</v>
      </c>
      <c r="O43">
        <v>4200</v>
      </c>
      <c r="P43">
        <v>350</v>
      </c>
      <c r="Q43">
        <f>O43/P43</f>
        <v>12</v>
      </c>
    </row>
    <row r="44" spans="1:17" x14ac:dyDescent="0.25">
      <c r="A44" s="12" t="s">
        <v>149</v>
      </c>
      <c r="B44" s="13"/>
      <c r="C44" s="13"/>
      <c r="D44" s="13"/>
      <c r="E44" s="13"/>
      <c r="F44" s="22">
        <f>SUM(F40:F43)</f>
        <v>6.44</v>
      </c>
      <c r="G44" s="22">
        <f>SUM(G40:G43)</f>
        <v>6.87</v>
      </c>
      <c r="H44" s="22">
        <f>SUM(H40:H43)</f>
        <v>6.8999999999999995</v>
      </c>
      <c r="P44">
        <v>30</v>
      </c>
    </row>
    <row r="45" spans="1:17" ht="13.8" thickBot="1" x14ac:dyDescent="0.3">
      <c r="P45">
        <f>P43/P44</f>
        <v>11.666666666666666</v>
      </c>
    </row>
    <row r="46" spans="1:17" x14ac:dyDescent="0.25">
      <c r="A46" s="474" t="s">
        <v>466</v>
      </c>
      <c r="B46" s="475"/>
      <c r="C46" s="475"/>
      <c r="D46" s="475"/>
      <c r="E46" s="476"/>
      <c r="F46" s="276" t="s">
        <v>152</v>
      </c>
      <c r="G46" s="8"/>
      <c r="H46" s="23">
        <f>+'Data Entry'!C9</f>
        <v>0.15265000000000001</v>
      </c>
      <c r="I46" s="279"/>
    </row>
    <row r="47" spans="1:17" x14ac:dyDescent="0.25">
      <c r="A47" s="298" t="s">
        <v>153</v>
      </c>
      <c r="B47" s="299"/>
      <c r="C47" s="299"/>
      <c r="D47" s="299"/>
      <c r="E47" s="300"/>
      <c r="F47" s="297" t="s">
        <v>3</v>
      </c>
      <c r="G47" s="7"/>
      <c r="H47" s="24">
        <f>+'Data Entry'!C10</f>
        <v>1.0007205187735171</v>
      </c>
    </row>
    <row r="48" spans="1:17" x14ac:dyDescent="0.25">
      <c r="A48" s="298" t="s">
        <v>154</v>
      </c>
      <c r="B48" s="299"/>
      <c r="C48" s="299"/>
      <c r="D48" s="299"/>
      <c r="E48" s="300"/>
      <c r="F48" s="18" t="s">
        <v>4</v>
      </c>
      <c r="H48" s="25"/>
    </row>
    <row r="49" spans="1:9" x14ac:dyDescent="0.25">
      <c r="A49" s="298" t="s">
        <v>155</v>
      </c>
      <c r="B49" s="299"/>
      <c r="C49" s="299"/>
      <c r="D49" s="299"/>
      <c r="E49" s="300"/>
      <c r="F49" s="18" t="s">
        <v>5</v>
      </c>
      <c r="H49" s="26">
        <f>+'Data Entry'!C12</f>
        <v>4.36E-2</v>
      </c>
    </row>
    <row r="50" spans="1:9" x14ac:dyDescent="0.25">
      <c r="A50" s="298" t="s">
        <v>156</v>
      </c>
      <c r="B50" s="299"/>
      <c r="C50" s="299"/>
      <c r="D50" s="299"/>
      <c r="E50" s="300"/>
      <c r="F50" s="297" t="s">
        <v>6</v>
      </c>
      <c r="G50" s="7"/>
      <c r="H50" s="27">
        <f>+'Data Entry'!C13</f>
        <v>3.9780000000000003E-2</v>
      </c>
      <c r="I50" s="236" t="s">
        <v>504</v>
      </c>
    </row>
    <row r="51" spans="1:9" x14ac:dyDescent="0.25">
      <c r="A51" s="298" t="s">
        <v>157</v>
      </c>
      <c r="B51" s="299"/>
      <c r="C51" s="299"/>
      <c r="D51" s="299"/>
      <c r="E51" s="300"/>
      <c r="F51" s="297" t="s">
        <v>7</v>
      </c>
      <c r="G51" s="7"/>
      <c r="H51" s="237">
        <f>+'Data Entry'!C14</f>
        <v>2.6519999999999998E-2</v>
      </c>
      <c r="I51" s="238">
        <f>+'Data Entry'!D14</f>
        <v>2.6759999999999999E-2</v>
      </c>
    </row>
    <row r="52" spans="1:9" x14ac:dyDescent="0.25">
      <c r="A52" s="298" t="s">
        <v>158</v>
      </c>
      <c r="B52" s="299"/>
      <c r="C52" s="299"/>
      <c r="D52" s="299"/>
      <c r="E52" s="300"/>
      <c r="F52" s="297" t="s">
        <v>8</v>
      </c>
      <c r="G52" s="7"/>
      <c r="H52" s="27">
        <f>+'Data Entry'!C15</f>
        <v>0.25419999999999998</v>
      </c>
    </row>
    <row r="53" spans="1:9" x14ac:dyDescent="0.25">
      <c r="A53" s="298" t="s">
        <v>159</v>
      </c>
      <c r="B53" s="299"/>
      <c r="C53" s="299"/>
      <c r="D53" s="299"/>
      <c r="E53" s="300"/>
      <c r="F53" s="297" t="s">
        <v>9</v>
      </c>
      <c r="G53" s="7"/>
      <c r="H53" s="27">
        <f>+'Data Entry'!C16</f>
        <v>5.9400000000000001E-2</v>
      </c>
    </row>
    <row r="54" spans="1:9" x14ac:dyDescent="0.25">
      <c r="A54" s="298" t="s">
        <v>160</v>
      </c>
      <c r="B54" s="299"/>
      <c r="C54" s="299"/>
      <c r="D54" s="299"/>
      <c r="E54" s="300"/>
      <c r="F54" s="297" t="s">
        <v>161</v>
      </c>
      <c r="G54" s="7"/>
      <c r="H54" s="29">
        <f>+'Data Entry'!C17</f>
        <v>97</v>
      </c>
    </row>
    <row r="55" spans="1:9" x14ac:dyDescent="0.25">
      <c r="A55" s="298" t="s">
        <v>162</v>
      </c>
      <c r="B55" s="299"/>
      <c r="C55" s="299"/>
      <c r="D55" s="299"/>
      <c r="E55" s="300"/>
      <c r="F55" s="297" t="s">
        <v>12</v>
      </c>
      <c r="G55" s="7"/>
      <c r="H55" s="29">
        <f>+'Data Entry'!C18</f>
        <v>97</v>
      </c>
    </row>
    <row r="56" spans="1:9" x14ac:dyDescent="0.25">
      <c r="A56" s="298" t="s">
        <v>163</v>
      </c>
      <c r="B56" s="299"/>
      <c r="C56" s="299"/>
      <c r="D56" s="299"/>
      <c r="E56" s="300"/>
      <c r="F56" s="297" t="s">
        <v>14</v>
      </c>
      <c r="G56" s="7"/>
      <c r="H56" s="27">
        <f>+'Data Entry'!C19</f>
        <v>5.4000000000000003E-3</v>
      </c>
    </row>
    <row r="57" spans="1:9" x14ac:dyDescent="0.25">
      <c r="A57" s="298" t="s">
        <v>164</v>
      </c>
      <c r="B57" s="299"/>
      <c r="C57" s="299"/>
      <c r="D57" s="299"/>
      <c r="E57" s="300"/>
      <c r="F57" s="297" t="s">
        <v>17</v>
      </c>
      <c r="G57" s="7"/>
      <c r="H57" s="27">
        <f>+'Data Entry'!C20</f>
        <v>3.09E-2</v>
      </c>
    </row>
    <row r="58" spans="1:9" ht="13.8" thickBot="1" x14ac:dyDescent="0.3">
      <c r="A58" s="301"/>
      <c r="B58" s="302"/>
      <c r="C58" s="302"/>
      <c r="D58" s="302"/>
      <c r="E58" s="206"/>
      <c r="F58" s="7" t="s">
        <v>165</v>
      </c>
      <c r="G58" s="7"/>
      <c r="H58" s="29">
        <f>+'Data Entry'!D104</f>
        <v>4.87</v>
      </c>
    </row>
    <row r="59" spans="1:9" x14ac:dyDescent="0.25">
      <c r="F59" s="69" t="s">
        <v>166</v>
      </c>
      <c r="G59" s="7"/>
      <c r="H59" s="29">
        <f>+'Data Entry'!E20</f>
        <v>4.8000000000000001E-2</v>
      </c>
    </row>
    <row r="60" spans="1:9" x14ac:dyDescent="0.25">
      <c r="F60" s="319" t="s">
        <v>568</v>
      </c>
      <c r="G60" s="7"/>
      <c r="H60" s="29">
        <f>+'Data Entry'!D113</f>
        <v>3.77</v>
      </c>
    </row>
    <row r="61" spans="1:9" x14ac:dyDescent="0.25">
      <c r="F61" s="69" t="s">
        <v>167</v>
      </c>
      <c r="G61" s="7"/>
      <c r="H61" s="27">
        <f>+'Data Entry'!C21</f>
        <v>0.06</v>
      </c>
    </row>
  </sheetData>
  <phoneticPr fontId="28" type="noConversion"/>
  <pageMargins left="0.75" right="0.25" top="0.25" bottom="0.25" header="0.5" footer="0.22"/>
  <pageSetup scale="95" orientation="portrait" horizontalDpi="300" verticalDpi="300" r:id="rId1"/>
  <headerFooter alignWithMargins="0">
    <oddFooter>&amp;R&amp;A</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1"/>
  <sheetViews>
    <sheetView workbookViewId="0">
      <selection sqref="A1:A2"/>
    </sheetView>
  </sheetViews>
  <sheetFormatPr defaultRowHeight="13.2" x14ac:dyDescent="0.25"/>
  <cols>
    <col min="6" max="8" width="15.6640625" customWidth="1"/>
    <col min="9" max="9" width="9.6640625" bestFit="1" customWidth="1"/>
  </cols>
  <sheetData>
    <row r="1" spans="1:8" x14ac:dyDescent="0.25">
      <c r="A1" s="773" t="s">
        <v>935</v>
      </c>
    </row>
    <row r="2" spans="1:8" x14ac:dyDescent="0.25">
      <c r="A2" s="773" t="s">
        <v>923</v>
      </c>
    </row>
    <row r="4" spans="1:8" ht="17.399999999999999" x14ac:dyDescent="0.3">
      <c r="A4" s="2" t="str">
        <f>'70wOH5'!A4</f>
        <v>2016 Cost of Service</v>
      </c>
    </row>
    <row r="5" spans="1:8" x14ac:dyDescent="0.25">
      <c r="A5" s="4"/>
      <c r="B5" s="4"/>
      <c r="C5" s="4"/>
      <c r="D5" s="4"/>
      <c r="E5" s="4"/>
      <c r="F5" s="14" t="s">
        <v>124</v>
      </c>
      <c r="G5" s="14" t="s">
        <v>124</v>
      </c>
      <c r="H5" s="14"/>
    </row>
    <row r="6" spans="1:8" x14ac:dyDescent="0.25">
      <c r="A6" s="12" t="s">
        <v>125</v>
      </c>
      <c r="B6" s="12"/>
      <c r="C6" s="12"/>
      <c r="D6" s="12"/>
      <c r="E6" s="12"/>
      <c r="F6" s="14" t="s">
        <v>126</v>
      </c>
      <c r="G6" s="14" t="s">
        <v>126</v>
      </c>
      <c r="H6" s="14"/>
    </row>
    <row r="7" spans="1:8" x14ac:dyDescent="0.25">
      <c r="A7" s="12" t="s">
        <v>433</v>
      </c>
      <c r="B7" s="12"/>
      <c r="C7" s="12"/>
      <c r="D7" s="12"/>
      <c r="E7" s="12"/>
      <c r="F7" s="14" t="s">
        <v>168</v>
      </c>
      <c r="G7" s="14" t="s">
        <v>169</v>
      </c>
      <c r="H7" s="14"/>
    </row>
    <row r="8" spans="1:8" x14ac:dyDescent="0.25">
      <c r="A8" s="12"/>
      <c r="B8" s="12"/>
      <c r="C8" s="12"/>
      <c r="D8" s="12"/>
      <c r="E8" s="12"/>
      <c r="F8" s="15" t="s">
        <v>170</v>
      </c>
      <c r="G8" s="15" t="s">
        <v>170</v>
      </c>
      <c r="H8" s="15"/>
    </row>
    <row r="9" spans="1:8" x14ac:dyDescent="0.25">
      <c r="A9" s="12" t="s">
        <v>131</v>
      </c>
      <c r="B9" s="13"/>
      <c r="C9" s="13"/>
      <c r="D9" s="13"/>
      <c r="E9" s="13"/>
      <c r="F9" s="6"/>
      <c r="G9" s="6"/>
      <c r="H9" s="6"/>
    </row>
    <row r="10" spans="1:8" x14ac:dyDescent="0.25">
      <c r="A10" s="13" t="s">
        <v>464</v>
      </c>
      <c r="B10" s="13"/>
      <c r="C10" s="13"/>
      <c r="D10" s="13"/>
      <c r="E10" s="13"/>
      <c r="F10" s="16">
        <v>85</v>
      </c>
      <c r="G10" s="16">
        <v>85</v>
      </c>
      <c r="H10" s="16"/>
    </row>
    <row r="11" spans="1:8" x14ac:dyDescent="0.25">
      <c r="A11" s="13" t="s">
        <v>133</v>
      </c>
      <c r="B11" s="13"/>
      <c r="C11" s="13"/>
      <c r="D11" s="13"/>
      <c r="E11" s="13"/>
      <c r="F11" s="235">
        <f>TRUNC(+F10*(1/12)*4.24)</f>
        <v>30</v>
      </c>
      <c r="G11" s="235">
        <f>TRUNC(+G10*(1/12)*4.24)</f>
        <v>30</v>
      </c>
      <c r="H11" s="17"/>
    </row>
    <row r="12" spans="1:8" x14ac:dyDescent="0.25">
      <c r="A12" s="13" t="s">
        <v>134</v>
      </c>
      <c r="B12" s="13"/>
      <c r="C12" s="13"/>
      <c r="D12" s="13"/>
      <c r="E12" s="13"/>
      <c r="F12" s="16">
        <v>60</v>
      </c>
      <c r="G12" s="16">
        <v>60</v>
      </c>
      <c r="H12" s="16"/>
    </row>
    <row r="13" spans="1:8" x14ac:dyDescent="0.25">
      <c r="A13" s="13"/>
      <c r="B13" s="13"/>
      <c r="C13" s="13"/>
      <c r="D13" s="13"/>
      <c r="E13" s="13"/>
      <c r="F13" s="18"/>
      <c r="G13" s="18"/>
      <c r="H13" s="18"/>
    </row>
    <row r="14" spans="1:8" x14ac:dyDescent="0.25">
      <c r="A14" s="12" t="s">
        <v>135</v>
      </c>
      <c r="B14" s="13"/>
      <c r="C14" s="13"/>
      <c r="D14" s="13"/>
      <c r="E14" s="13"/>
      <c r="F14" s="18"/>
      <c r="G14" s="18"/>
      <c r="H14" s="18"/>
    </row>
    <row r="15" spans="1:8" x14ac:dyDescent="0.25">
      <c r="A15" s="13" t="s">
        <v>136</v>
      </c>
      <c r="B15" s="13"/>
      <c r="C15" s="13"/>
      <c r="D15" s="13"/>
      <c r="E15" s="13"/>
      <c r="F15" s="19">
        <f>+'30'!G21</f>
        <v>120.30807470000001</v>
      </c>
      <c r="G15" s="19">
        <f>+'30'!G43</f>
        <v>121.51702669999999</v>
      </c>
      <c r="H15" s="19"/>
    </row>
    <row r="16" spans="1:8" x14ac:dyDescent="0.25">
      <c r="A16" s="13" t="s">
        <v>428</v>
      </c>
      <c r="B16" s="13"/>
      <c r="C16" s="13"/>
      <c r="D16" s="13"/>
      <c r="E16" s="13"/>
      <c r="F16" s="19">
        <f>+F15*$H$56/2</f>
        <v>0.32483180169000003</v>
      </c>
      <c r="G16" s="19">
        <f>+G15*$H$56/2</f>
        <v>0.32809597208999997</v>
      </c>
      <c r="H16" s="19"/>
    </row>
    <row r="17" spans="1:8" x14ac:dyDescent="0.25">
      <c r="A17" s="13" t="s">
        <v>137</v>
      </c>
      <c r="B17" s="13"/>
      <c r="C17" s="13"/>
      <c r="D17" s="13"/>
      <c r="E17" s="13"/>
      <c r="F17" s="19">
        <f>+'67'!H39</f>
        <v>43.650000000000006</v>
      </c>
      <c r="G17" s="19">
        <f>+'67'!H39</f>
        <v>43.650000000000006</v>
      </c>
      <c r="H17" s="19"/>
    </row>
    <row r="18" spans="1:8" x14ac:dyDescent="0.25">
      <c r="A18" s="13" t="s">
        <v>427</v>
      </c>
      <c r="B18" s="13"/>
      <c r="C18" s="13"/>
      <c r="D18" s="13"/>
      <c r="E18" s="13"/>
      <c r="F18" s="232">
        <f>+F17*$H$57/2</f>
        <v>0.67439250000000006</v>
      </c>
      <c r="G18" s="232">
        <f>+G17*$H$57/2</f>
        <v>0.67439250000000006</v>
      </c>
      <c r="H18" s="20"/>
    </row>
    <row r="19" spans="1:8" x14ac:dyDescent="0.25">
      <c r="A19" s="13"/>
      <c r="B19" s="13"/>
      <c r="C19" s="13"/>
      <c r="D19" s="13"/>
      <c r="E19" s="13"/>
      <c r="F19" s="19">
        <f>SUM(F15:F18)</f>
        <v>164.95729900169002</v>
      </c>
      <c r="G19" s="19">
        <f>SUM(G15:G18)</f>
        <v>166.16951517209</v>
      </c>
      <c r="H19" s="19"/>
    </row>
    <row r="20" spans="1:8" ht="13.8" thickBot="1" x14ac:dyDescent="0.3">
      <c r="A20" s="13" t="s">
        <v>424</v>
      </c>
      <c r="B20" s="13"/>
      <c r="C20" s="13"/>
      <c r="D20" s="13"/>
      <c r="E20" s="13"/>
      <c r="F20" s="19">
        <f>+F19*$H$52</f>
        <v>41.932145406229601</v>
      </c>
      <c r="G20" s="19">
        <f>+G19*$H$52</f>
        <v>42.240290756745274</v>
      </c>
      <c r="H20" s="20"/>
    </row>
    <row r="21" spans="1:8" ht="13.8" thickBot="1" x14ac:dyDescent="0.3">
      <c r="A21" s="12" t="s">
        <v>138</v>
      </c>
      <c r="B21" s="13"/>
      <c r="C21" s="13"/>
      <c r="D21" s="13"/>
      <c r="E21" s="13"/>
      <c r="F21" s="480">
        <f>SUM(F19:F20)</f>
        <v>206.88944440791963</v>
      </c>
      <c r="G21" s="482">
        <f>SUM(G19:G20)</f>
        <v>208.40980592883528</v>
      </c>
      <c r="H21" s="21"/>
    </row>
    <row r="22" spans="1:8" x14ac:dyDescent="0.25">
      <c r="A22" s="13"/>
      <c r="B22" s="13"/>
      <c r="C22" s="13"/>
      <c r="D22" s="13"/>
      <c r="E22" s="13"/>
      <c r="F22" s="19"/>
      <c r="G22" s="19"/>
      <c r="H22" s="19"/>
    </row>
    <row r="23" spans="1:8" x14ac:dyDescent="0.25">
      <c r="A23" s="13" t="s">
        <v>139</v>
      </c>
      <c r="B23" s="13"/>
      <c r="C23" s="13"/>
      <c r="D23" s="13"/>
      <c r="E23" s="13"/>
      <c r="F23" s="19"/>
      <c r="G23" s="19"/>
      <c r="H23" s="19"/>
    </row>
    <row r="24" spans="1:8" x14ac:dyDescent="0.25">
      <c r="A24" s="13" t="s">
        <v>140</v>
      </c>
      <c r="B24" s="13"/>
      <c r="C24" s="13"/>
      <c r="D24" s="13"/>
      <c r="E24" s="13"/>
      <c r="F24" s="19">
        <f>+H58*(1+$H$61)*(1+$H$53)+H59</f>
        <v>5.5168346799999997</v>
      </c>
      <c r="G24" s="19">
        <f>F24</f>
        <v>5.5168346799999997</v>
      </c>
      <c r="H24" s="19"/>
    </row>
    <row r="25" spans="1:8" x14ac:dyDescent="0.25">
      <c r="A25" s="277" t="s">
        <v>567</v>
      </c>
      <c r="B25" s="13"/>
      <c r="C25" s="13"/>
      <c r="D25" s="13"/>
      <c r="E25" s="13"/>
      <c r="F25" s="19">
        <f>+$H$60*(1+$H$61)*(1+$H$53)</f>
        <v>4.23357428</v>
      </c>
      <c r="G25" s="19">
        <f>+$H$60*(1+$H$61)*(1+$H$53)</f>
        <v>4.23357428</v>
      </c>
      <c r="H25" s="19"/>
    </row>
    <row r="26" spans="1:8" x14ac:dyDescent="0.25">
      <c r="A26" s="13" t="s">
        <v>429</v>
      </c>
      <c r="B26" s="13"/>
      <c r="C26" s="13"/>
      <c r="D26" s="13"/>
      <c r="E26" s="13"/>
      <c r="F26" s="19">
        <f>+F24*$H$56/2</f>
        <v>1.4895453636E-2</v>
      </c>
      <c r="G26" s="19">
        <f>+G24*$H$56/2</f>
        <v>1.4895453636E-2</v>
      </c>
      <c r="H26" s="19"/>
    </row>
    <row r="27" spans="1:8" x14ac:dyDescent="0.25">
      <c r="A27" s="13" t="s">
        <v>141</v>
      </c>
      <c r="B27" s="13"/>
      <c r="C27" s="13"/>
      <c r="D27" s="13"/>
      <c r="E27" s="13"/>
      <c r="F27" s="19">
        <f>+$H$55</f>
        <v>97</v>
      </c>
      <c r="G27" s="19">
        <f>+$H$55</f>
        <v>97</v>
      </c>
      <c r="H27" s="19"/>
    </row>
    <row r="28" spans="1:8" x14ac:dyDescent="0.25">
      <c r="A28" s="13" t="s">
        <v>425</v>
      </c>
      <c r="B28" s="13"/>
      <c r="C28" s="13"/>
      <c r="D28" s="13"/>
      <c r="E28" s="13"/>
      <c r="F28" s="20">
        <f>+F27*$H$57/2</f>
        <v>1.49865</v>
      </c>
      <c r="G28" s="20">
        <f>+G27*$H$57/2</f>
        <v>1.49865</v>
      </c>
      <c r="H28" s="20"/>
    </row>
    <row r="29" spans="1:8" x14ac:dyDescent="0.25">
      <c r="A29" s="12" t="s">
        <v>467</v>
      </c>
      <c r="B29" s="13"/>
      <c r="C29" s="13"/>
      <c r="D29" s="13"/>
      <c r="E29" s="13"/>
      <c r="F29" s="22">
        <f>SUM(F24:F28)</f>
        <v>108.263954413636</v>
      </c>
      <c r="G29" s="22">
        <f>SUM(G24:G28)</f>
        <v>108.263954413636</v>
      </c>
      <c r="H29" s="22"/>
    </row>
    <row r="30" spans="1:8" x14ac:dyDescent="0.25">
      <c r="A30" s="12" t="s">
        <v>143</v>
      </c>
      <c r="B30" s="13"/>
      <c r="C30" s="13"/>
      <c r="D30" s="13"/>
      <c r="E30" s="13"/>
      <c r="F30" s="22">
        <f>+F29/F12</f>
        <v>1.8043992402272666</v>
      </c>
      <c r="G30" s="22">
        <f>+G29/G12</f>
        <v>1.8043992402272666</v>
      </c>
      <c r="H30" s="22"/>
    </row>
    <row r="31" spans="1:8" x14ac:dyDescent="0.25">
      <c r="A31" s="13"/>
      <c r="B31" s="13"/>
      <c r="C31" s="13"/>
      <c r="D31" s="13"/>
      <c r="E31" s="13"/>
      <c r="F31" s="19"/>
      <c r="G31" s="19"/>
      <c r="H31" s="19"/>
    </row>
    <row r="32" spans="1:8" x14ac:dyDescent="0.25">
      <c r="A32" s="12" t="s">
        <v>144</v>
      </c>
      <c r="B32" s="13"/>
      <c r="C32" s="13"/>
      <c r="D32" s="13"/>
      <c r="E32" s="13"/>
      <c r="F32" s="19"/>
      <c r="G32" s="19"/>
      <c r="H32" s="19"/>
    </row>
    <row r="33" spans="1:9" x14ac:dyDescent="0.25">
      <c r="A33" s="13" t="s">
        <v>145</v>
      </c>
      <c r="B33" s="13"/>
      <c r="C33" s="13"/>
      <c r="D33" s="13"/>
      <c r="E33" s="13"/>
      <c r="F33" s="239">
        <f>ROUND(+$H$46*0.083333*F21*$H$47,2)</f>
        <v>2.63</v>
      </c>
      <c r="G33" s="239">
        <f>ROUND(+$H$46*0.083333*G21*$H$47,2)</f>
        <v>2.65</v>
      </c>
      <c r="H33" s="19"/>
    </row>
    <row r="34" spans="1:9" x14ac:dyDescent="0.25">
      <c r="A34" s="13" t="s">
        <v>146</v>
      </c>
      <c r="B34" s="13"/>
      <c r="C34" s="13"/>
      <c r="D34" s="13"/>
      <c r="E34" s="13"/>
      <c r="F34" s="239">
        <f>ROUND(+$H$47*0.083333*F21*$H$49,2)</f>
        <v>0.75</v>
      </c>
      <c r="G34" s="239">
        <f>ROUND(+$H$47*0.083333*G21*$H$49,2)</f>
        <v>0.76</v>
      </c>
      <c r="H34" s="19"/>
    </row>
    <row r="35" spans="1:9" x14ac:dyDescent="0.25">
      <c r="A35" s="13" t="s">
        <v>147</v>
      </c>
      <c r="B35" s="13"/>
      <c r="C35" s="13"/>
      <c r="D35" s="13"/>
      <c r="E35" s="13"/>
      <c r="F35" s="239">
        <f>ROUND(+F30*$H$47,2)</f>
        <v>1.81</v>
      </c>
      <c r="G35" s="239">
        <f>ROUND(+G30*$H$47,2)</f>
        <v>1.81</v>
      </c>
      <c r="H35" s="19"/>
    </row>
    <row r="36" spans="1:9" x14ac:dyDescent="0.25">
      <c r="A36" s="13" t="s">
        <v>148</v>
      </c>
      <c r="B36" s="13"/>
      <c r="C36" s="13"/>
      <c r="D36" s="13"/>
      <c r="E36" s="13"/>
      <c r="F36" s="232">
        <f>ROUND(+$H$51*F11,2)</f>
        <v>0.8</v>
      </c>
      <c r="G36" s="232">
        <f>ROUND(+$H$51*G11,2)</f>
        <v>0.8</v>
      </c>
      <c r="H36" s="20"/>
    </row>
    <row r="37" spans="1:9" x14ac:dyDescent="0.25">
      <c r="A37" s="12" t="s">
        <v>149</v>
      </c>
      <c r="B37" s="13"/>
      <c r="C37" s="13"/>
      <c r="D37" s="13"/>
      <c r="E37" s="13"/>
      <c r="F37" s="22">
        <f>SUM(F33:F36)</f>
        <v>5.9899999999999993</v>
      </c>
      <c r="G37" s="22">
        <f>SUM(G33:G36)</f>
        <v>6.0200000000000005</v>
      </c>
      <c r="H37" s="22"/>
    </row>
    <row r="38" spans="1:9" x14ac:dyDescent="0.25">
      <c r="A38" s="13"/>
      <c r="B38" s="13"/>
      <c r="C38" s="13"/>
      <c r="D38" s="13"/>
      <c r="E38" s="13"/>
      <c r="F38" s="19"/>
      <c r="G38" s="19"/>
      <c r="H38" s="19"/>
    </row>
    <row r="39" spans="1:9" x14ac:dyDescent="0.25">
      <c r="A39" s="12" t="s">
        <v>150</v>
      </c>
      <c r="B39" s="13"/>
      <c r="C39" s="13"/>
      <c r="D39" s="13"/>
      <c r="E39" s="13"/>
      <c r="F39" s="19"/>
      <c r="G39" s="19"/>
      <c r="H39" s="19"/>
    </row>
    <row r="40" spans="1:9" x14ac:dyDescent="0.25">
      <c r="A40" s="13" t="s">
        <v>145</v>
      </c>
      <c r="B40" s="13"/>
      <c r="C40" s="13"/>
      <c r="D40" s="13"/>
      <c r="E40" s="13"/>
      <c r="F40" s="19">
        <f>+F33</f>
        <v>2.63</v>
      </c>
      <c r="G40" s="19">
        <f>+G33</f>
        <v>2.65</v>
      </c>
      <c r="H40" s="19"/>
    </row>
    <row r="41" spans="1:9" x14ac:dyDescent="0.25">
      <c r="A41" s="13" t="s">
        <v>151</v>
      </c>
      <c r="B41" s="13"/>
      <c r="C41" s="13"/>
      <c r="D41" s="13"/>
      <c r="E41" s="13"/>
      <c r="F41" s="239">
        <f>ROUND(+$H$47*0.083333*F21*$H$50,2)</f>
        <v>0.69</v>
      </c>
      <c r="G41" s="239">
        <f>ROUND(+$H$47*0.083333*G21*$H$50,2)</f>
        <v>0.69</v>
      </c>
      <c r="H41" s="19"/>
    </row>
    <row r="42" spans="1:9" x14ac:dyDescent="0.25">
      <c r="A42" s="13" t="s">
        <v>147</v>
      </c>
      <c r="B42" s="13"/>
      <c r="C42" s="13"/>
      <c r="D42" s="13"/>
      <c r="E42" s="13"/>
      <c r="F42" s="239">
        <f>ROUND(+F30*$H$47,2)</f>
        <v>1.81</v>
      </c>
      <c r="G42" s="239">
        <f>ROUND(+G30*$H$47,2)</f>
        <v>1.81</v>
      </c>
      <c r="H42" s="19"/>
    </row>
    <row r="43" spans="1:9" x14ac:dyDescent="0.25">
      <c r="A43" s="13" t="s">
        <v>148</v>
      </c>
      <c r="B43" s="13"/>
      <c r="C43" s="13"/>
      <c r="D43" s="13"/>
      <c r="E43" s="13"/>
      <c r="F43" s="232">
        <f>+$I$51*F11</f>
        <v>0.80279999999999996</v>
      </c>
      <c r="G43" s="232">
        <f>+$I$51*G11</f>
        <v>0.80279999999999996</v>
      </c>
      <c r="H43" s="20"/>
      <c r="I43" s="234"/>
    </row>
    <row r="44" spans="1:9" x14ac:dyDescent="0.25">
      <c r="A44" s="12" t="s">
        <v>149</v>
      </c>
      <c r="B44" s="13"/>
      <c r="C44" s="13"/>
      <c r="D44" s="13"/>
      <c r="E44" s="13"/>
      <c r="F44" s="22">
        <f>SUM(F40:F43)</f>
        <v>5.9328000000000003</v>
      </c>
      <c r="G44" s="22">
        <f>SUM(G40:G43)</f>
        <v>5.9527999999999999</v>
      </c>
      <c r="H44" s="22"/>
    </row>
    <row r="46" spans="1:9" x14ac:dyDescent="0.25">
      <c r="A46" s="64" t="s">
        <v>466</v>
      </c>
      <c r="B46" s="64"/>
      <c r="C46" s="64"/>
      <c r="D46" s="64"/>
      <c r="E46" s="64"/>
      <c r="F46" s="9" t="s">
        <v>152</v>
      </c>
      <c r="G46" s="8"/>
      <c r="H46" s="23">
        <f>+'Data Entry'!C9</f>
        <v>0.15265000000000001</v>
      </c>
    </row>
    <row r="47" spans="1:9" x14ac:dyDescent="0.25">
      <c r="A47" s="64" t="s">
        <v>153</v>
      </c>
      <c r="B47" s="64"/>
      <c r="C47" s="64"/>
      <c r="D47" s="64"/>
      <c r="E47" s="64"/>
      <c r="F47" s="10" t="s">
        <v>3</v>
      </c>
      <c r="G47" s="7"/>
      <c r="H47" s="24">
        <f>+'Data Entry'!C10</f>
        <v>1.0007205187735171</v>
      </c>
    </row>
    <row r="48" spans="1:9" x14ac:dyDescent="0.25">
      <c r="A48" s="64" t="s">
        <v>154</v>
      </c>
      <c r="B48" s="64"/>
      <c r="C48" s="64"/>
      <c r="D48" s="64"/>
      <c r="E48" s="64"/>
      <c r="F48" s="11" t="s">
        <v>4</v>
      </c>
      <c r="H48" s="25"/>
    </row>
    <row r="49" spans="1:9" x14ac:dyDescent="0.25">
      <c r="A49" s="64" t="s">
        <v>155</v>
      </c>
      <c r="B49" s="64"/>
      <c r="C49" s="64"/>
      <c r="D49" s="64"/>
      <c r="E49" s="64"/>
      <c r="F49" s="11" t="s">
        <v>5</v>
      </c>
      <c r="H49" s="26">
        <f>+'Data Entry'!C12</f>
        <v>4.36E-2</v>
      </c>
    </row>
    <row r="50" spans="1:9" x14ac:dyDescent="0.25">
      <c r="A50" s="64" t="s">
        <v>156</v>
      </c>
      <c r="B50" s="64"/>
      <c r="C50" s="64"/>
      <c r="D50" s="64"/>
      <c r="E50" s="64"/>
      <c r="F50" s="10" t="s">
        <v>6</v>
      </c>
      <c r="G50" s="7"/>
      <c r="H50" s="27">
        <f>+'Data Entry'!C13</f>
        <v>3.9780000000000003E-2</v>
      </c>
      <c r="I50" s="236" t="s">
        <v>504</v>
      </c>
    </row>
    <row r="51" spans="1:9" x14ac:dyDescent="0.25">
      <c r="A51" s="64" t="s">
        <v>157</v>
      </c>
      <c r="B51" s="64"/>
      <c r="C51" s="64"/>
      <c r="D51" s="64"/>
      <c r="E51" s="64"/>
      <c r="F51" s="10" t="s">
        <v>7</v>
      </c>
      <c r="G51" s="7"/>
      <c r="H51" s="237">
        <f>+'Data Entry'!C14</f>
        <v>2.6519999999999998E-2</v>
      </c>
      <c r="I51" s="238">
        <f>+'Data Entry'!D14</f>
        <v>2.6759999999999999E-2</v>
      </c>
    </row>
    <row r="52" spans="1:9" x14ac:dyDescent="0.25">
      <c r="A52" s="64" t="s">
        <v>158</v>
      </c>
      <c r="B52" s="64"/>
      <c r="C52" s="64"/>
      <c r="D52" s="64"/>
      <c r="E52" s="64"/>
      <c r="F52" s="10" t="s">
        <v>8</v>
      </c>
      <c r="G52" s="7"/>
      <c r="H52" s="27">
        <f>+'Data Entry'!C15</f>
        <v>0.25419999999999998</v>
      </c>
    </row>
    <row r="53" spans="1:9" x14ac:dyDescent="0.25">
      <c r="A53" s="64" t="s">
        <v>159</v>
      </c>
      <c r="B53" s="64"/>
      <c r="C53" s="64"/>
      <c r="D53" s="64"/>
      <c r="E53" s="64"/>
      <c r="F53" s="10" t="s">
        <v>9</v>
      </c>
      <c r="G53" s="7"/>
      <c r="H53" s="27">
        <f>+'Data Entry'!C16</f>
        <v>5.9400000000000001E-2</v>
      </c>
    </row>
    <row r="54" spans="1:9" x14ac:dyDescent="0.25">
      <c r="A54" s="64" t="s">
        <v>160</v>
      </c>
      <c r="B54" s="64"/>
      <c r="C54" s="64"/>
      <c r="D54" s="64"/>
      <c r="E54" s="64"/>
      <c r="F54" s="10" t="s">
        <v>161</v>
      </c>
      <c r="G54" s="7"/>
      <c r="H54" s="29">
        <f>+'Data Entry'!C17</f>
        <v>97</v>
      </c>
    </row>
    <row r="55" spans="1:9" x14ac:dyDescent="0.25">
      <c r="A55" s="64" t="s">
        <v>162</v>
      </c>
      <c r="B55" s="64"/>
      <c r="C55" s="64"/>
      <c r="D55" s="64"/>
      <c r="E55" s="64"/>
      <c r="F55" s="10" t="s">
        <v>12</v>
      </c>
      <c r="G55" s="7"/>
      <c r="H55" s="29">
        <f>+'Data Entry'!C18</f>
        <v>97</v>
      </c>
    </row>
    <row r="56" spans="1:9" x14ac:dyDescent="0.25">
      <c r="A56" s="64" t="s">
        <v>163</v>
      </c>
      <c r="B56" s="64"/>
      <c r="C56" s="64"/>
      <c r="D56" s="64"/>
      <c r="E56" s="64"/>
      <c r="F56" s="10" t="s">
        <v>14</v>
      </c>
      <c r="G56" s="7"/>
      <c r="H56" s="27">
        <f>+'Data Entry'!C19</f>
        <v>5.4000000000000003E-3</v>
      </c>
    </row>
    <row r="57" spans="1:9" x14ac:dyDescent="0.25">
      <c r="A57" s="64" t="s">
        <v>164</v>
      </c>
      <c r="B57" s="64"/>
      <c r="C57" s="64"/>
      <c r="D57" s="64"/>
      <c r="E57" s="64"/>
      <c r="F57" s="10" t="s">
        <v>17</v>
      </c>
      <c r="G57" s="7"/>
      <c r="H57" s="27">
        <f>+'Data Entry'!C20</f>
        <v>3.09E-2</v>
      </c>
    </row>
    <row r="58" spans="1:9" x14ac:dyDescent="0.25">
      <c r="F58" s="69" t="s">
        <v>165</v>
      </c>
      <c r="G58" s="7"/>
      <c r="H58" s="29">
        <f>+'Data Entry'!D104</f>
        <v>4.87</v>
      </c>
    </row>
    <row r="59" spans="1:9" x14ac:dyDescent="0.25">
      <c r="F59" s="69" t="s">
        <v>166</v>
      </c>
      <c r="G59" s="7"/>
      <c r="H59" s="77">
        <f>+'Data Entry'!E20</f>
        <v>4.8000000000000001E-2</v>
      </c>
    </row>
    <row r="60" spans="1:9" x14ac:dyDescent="0.25">
      <c r="F60" s="319" t="s">
        <v>568</v>
      </c>
      <c r="G60" s="7"/>
      <c r="H60" s="77">
        <f>+'Data Entry'!D113</f>
        <v>3.77</v>
      </c>
    </row>
    <row r="61" spans="1:9" x14ac:dyDescent="0.25">
      <c r="F61" s="69" t="s">
        <v>167</v>
      </c>
      <c r="G61" s="7"/>
      <c r="H61" s="27">
        <f>+'Data Entry'!C21</f>
        <v>0.06</v>
      </c>
    </row>
  </sheetData>
  <phoneticPr fontId="28" type="noConversion"/>
  <pageMargins left="0.75" right="0.25" top="0.25" bottom="0.25" header="0.5" footer="0.22"/>
  <pageSetup scale="95" orientation="portrait" horizontalDpi="300" verticalDpi="300" r:id="rId1"/>
  <headerFooter alignWithMargins="0">
    <oddFooter>&amp;R&amp;A</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1"/>
  <sheetViews>
    <sheetView workbookViewId="0">
      <selection activeCell="A2" sqref="A1:A2"/>
    </sheetView>
  </sheetViews>
  <sheetFormatPr defaultRowHeight="13.2" x14ac:dyDescent="0.25"/>
  <cols>
    <col min="6" max="8" width="15.6640625" customWidth="1"/>
  </cols>
  <sheetData>
    <row r="1" spans="1:8" x14ac:dyDescent="0.25">
      <c r="A1" s="773" t="s">
        <v>936</v>
      </c>
    </row>
    <row r="2" spans="1:8" x14ac:dyDescent="0.25">
      <c r="A2" s="773" t="s">
        <v>923</v>
      </c>
    </row>
    <row r="4" spans="1:8" ht="17.399999999999999" x14ac:dyDescent="0.3">
      <c r="A4" s="2" t="str">
        <f>'70wOH5'!A4</f>
        <v>2016 Cost of Service</v>
      </c>
    </row>
    <row r="5" spans="1:8" x14ac:dyDescent="0.25">
      <c r="A5" s="4"/>
      <c r="B5" s="4"/>
      <c r="C5" s="4"/>
      <c r="D5" s="4"/>
      <c r="E5" s="4"/>
      <c r="F5" s="14" t="s">
        <v>124</v>
      </c>
      <c r="G5" s="14"/>
      <c r="H5" s="14"/>
    </row>
    <row r="6" spans="1:8" x14ac:dyDescent="0.25">
      <c r="A6" s="12" t="s">
        <v>125</v>
      </c>
      <c r="B6" s="12"/>
      <c r="C6" s="12"/>
      <c r="D6" s="12"/>
      <c r="E6" s="12"/>
      <c r="F6" s="14" t="s">
        <v>126</v>
      </c>
      <c r="G6" s="14"/>
      <c r="H6" s="14"/>
    </row>
    <row r="7" spans="1:8" x14ac:dyDescent="0.25">
      <c r="A7" s="12" t="s">
        <v>433</v>
      </c>
      <c r="B7" s="12"/>
      <c r="C7" s="12"/>
      <c r="D7" s="12"/>
      <c r="E7" s="12"/>
      <c r="F7" s="14" t="s">
        <v>171</v>
      </c>
      <c r="G7" s="14"/>
      <c r="H7" s="14"/>
    </row>
    <row r="8" spans="1:8" x14ac:dyDescent="0.25">
      <c r="A8" s="12"/>
      <c r="B8" s="12"/>
      <c r="C8" s="12"/>
      <c r="D8" s="12"/>
      <c r="E8" s="12"/>
      <c r="F8" s="15" t="s">
        <v>172</v>
      </c>
      <c r="G8" s="15"/>
      <c r="H8" s="15"/>
    </row>
    <row r="9" spans="1:8" x14ac:dyDescent="0.25">
      <c r="A9" s="12" t="s">
        <v>131</v>
      </c>
      <c r="B9" s="13"/>
      <c r="C9" s="13"/>
      <c r="D9" s="13"/>
      <c r="E9" s="13"/>
      <c r="F9" s="6"/>
      <c r="G9" s="6"/>
      <c r="H9" s="6"/>
    </row>
    <row r="10" spans="1:8" x14ac:dyDescent="0.25">
      <c r="A10" s="13" t="s">
        <v>464</v>
      </c>
      <c r="B10" s="13"/>
      <c r="C10" s="13"/>
      <c r="D10" s="13"/>
      <c r="E10" s="13"/>
      <c r="F10" s="16">
        <v>85</v>
      </c>
      <c r="G10" s="16"/>
      <c r="H10" s="16"/>
    </row>
    <row r="11" spans="1:8" x14ac:dyDescent="0.25">
      <c r="A11" s="13" t="s">
        <v>133</v>
      </c>
      <c r="B11" s="13"/>
      <c r="C11" s="13"/>
      <c r="D11" s="13"/>
      <c r="E11" s="13"/>
      <c r="F11" s="235">
        <f>TRUNC(+F10*(1/12)*4.24)</f>
        <v>30</v>
      </c>
      <c r="G11" s="17"/>
      <c r="H11" s="17"/>
    </row>
    <row r="12" spans="1:8" x14ac:dyDescent="0.25">
      <c r="A12" s="13" t="s">
        <v>134</v>
      </c>
      <c r="B12" s="13"/>
      <c r="C12" s="13"/>
      <c r="D12" s="13"/>
      <c r="E12" s="13"/>
      <c r="F12" s="16">
        <v>60</v>
      </c>
      <c r="G12" s="16"/>
      <c r="H12" s="16"/>
    </row>
    <row r="13" spans="1:8" x14ac:dyDescent="0.25">
      <c r="A13" s="13"/>
      <c r="B13" s="13"/>
      <c r="C13" s="13"/>
      <c r="D13" s="13"/>
      <c r="E13" s="13"/>
      <c r="F13" s="18"/>
      <c r="G13" s="18"/>
      <c r="H13" s="18"/>
    </row>
    <row r="14" spans="1:8" x14ac:dyDescent="0.25">
      <c r="A14" s="12" t="s">
        <v>135</v>
      </c>
      <c r="B14" s="13"/>
      <c r="C14" s="13"/>
      <c r="D14" s="13"/>
      <c r="E14" s="13"/>
      <c r="F14" s="18"/>
      <c r="G14" s="18"/>
      <c r="H14" s="18"/>
    </row>
    <row r="15" spans="1:8" x14ac:dyDescent="0.25">
      <c r="A15" s="13" t="s">
        <v>136</v>
      </c>
      <c r="B15" s="13"/>
      <c r="C15" s="13"/>
      <c r="D15" s="13"/>
      <c r="E15" s="13"/>
      <c r="F15" s="19">
        <f>+'31'!G33</f>
        <v>167.71959006</v>
      </c>
      <c r="G15" s="19"/>
      <c r="H15" s="19"/>
    </row>
    <row r="16" spans="1:8" x14ac:dyDescent="0.25">
      <c r="A16" s="13" t="s">
        <v>428</v>
      </c>
      <c r="B16" s="13"/>
      <c r="C16" s="13"/>
      <c r="D16" s="13"/>
      <c r="E16" s="13"/>
      <c r="F16" s="19">
        <f>+F15*$H$56/2</f>
        <v>0.45284289316200005</v>
      </c>
      <c r="G16" s="19"/>
      <c r="H16" s="19"/>
    </row>
    <row r="17" spans="1:8" x14ac:dyDescent="0.25">
      <c r="A17" s="13" t="s">
        <v>137</v>
      </c>
      <c r="B17" s="13"/>
      <c r="C17" s="13"/>
      <c r="D17" s="13"/>
      <c r="E17" s="13"/>
      <c r="F17" s="19">
        <f>+'67'!H20</f>
        <v>100.88000000000002</v>
      </c>
      <c r="G17" s="19"/>
      <c r="H17" s="19"/>
    </row>
    <row r="18" spans="1:8" x14ac:dyDescent="0.25">
      <c r="A18" s="13" t="s">
        <v>427</v>
      </c>
      <c r="B18" s="13"/>
      <c r="C18" s="13"/>
      <c r="D18" s="13"/>
      <c r="E18" s="13"/>
      <c r="F18" s="232">
        <f>+F17*$H$57/2</f>
        <v>1.5585960000000003</v>
      </c>
      <c r="G18" s="20"/>
      <c r="H18" s="20"/>
    </row>
    <row r="19" spans="1:8" x14ac:dyDescent="0.25">
      <c r="A19" s="13"/>
      <c r="B19" s="13"/>
      <c r="C19" s="13"/>
      <c r="D19" s="13"/>
      <c r="E19" s="13"/>
      <c r="F19" s="19">
        <f>SUM(F15:F18)</f>
        <v>270.61102895316202</v>
      </c>
      <c r="G19" s="19"/>
      <c r="H19" s="19"/>
    </row>
    <row r="20" spans="1:8" x14ac:dyDescent="0.25">
      <c r="A20" s="13" t="s">
        <v>424</v>
      </c>
      <c r="B20" s="13"/>
      <c r="C20" s="13"/>
      <c r="D20" s="13"/>
      <c r="E20" s="13"/>
      <c r="F20" s="20">
        <f>+F19*$H$52</f>
        <v>68.789323559893774</v>
      </c>
      <c r="G20" s="20"/>
      <c r="H20" s="20"/>
    </row>
    <row r="21" spans="1:8" x14ac:dyDescent="0.25">
      <c r="A21" s="12" t="s">
        <v>138</v>
      </c>
      <c r="B21" s="13"/>
      <c r="C21" s="13"/>
      <c r="D21" s="13"/>
      <c r="E21" s="13"/>
      <c r="F21" s="21">
        <f>SUM(F19:F20)</f>
        <v>339.40035251305579</v>
      </c>
      <c r="G21" s="21"/>
      <c r="H21" s="21"/>
    </row>
    <row r="22" spans="1:8" x14ac:dyDescent="0.25">
      <c r="A22" s="13"/>
      <c r="B22" s="13"/>
      <c r="C22" s="13"/>
      <c r="D22" s="13"/>
      <c r="E22" s="13"/>
      <c r="F22" s="19"/>
      <c r="G22" s="19"/>
      <c r="H22" s="19"/>
    </row>
    <row r="23" spans="1:8" x14ac:dyDescent="0.25">
      <c r="A23" s="13" t="s">
        <v>139</v>
      </c>
      <c r="B23" s="13"/>
      <c r="C23" s="13"/>
      <c r="D23" s="13"/>
      <c r="E23" s="13"/>
      <c r="F23" s="19"/>
      <c r="G23" s="19"/>
      <c r="H23" s="19"/>
    </row>
    <row r="24" spans="1:8" x14ac:dyDescent="0.25">
      <c r="A24" s="13" t="s">
        <v>140</v>
      </c>
      <c r="B24" s="13"/>
      <c r="C24" s="13"/>
      <c r="D24" s="13"/>
      <c r="E24" s="13"/>
      <c r="F24" s="19">
        <f>+H58*(1+$H$61)*(1+$H$53)+H59</f>
        <v>5.5168346799999997</v>
      </c>
      <c r="G24" s="19"/>
      <c r="H24" s="19"/>
    </row>
    <row r="25" spans="1:8" x14ac:dyDescent="0.25">
      <c r="A25" s="277" t="s">
        <v>567</v>
      </c>
      <c r="B25" s="13"/>
      <c r="C25" s="13"/>
      <c r="D25" s="13"/>
      <c r="E25" s="13"/>
      <c r="F25" s="19">
        <f>+$H$60*(1+$H$61)*(1+$H$53)</f>
        <v>4.23357428</v>
      </c>
      <c r="G25" s="19"/>
      <c r="H25" s="19"/>
    </row>
    <row r="26" spans="1:8" x14ac:dyDescent="0.25">
      <c r="A26" s="13" t="s">
        <v>429</v>
      </c>
      <c r="B26" s="13"/>
      <c r="C26" s="13"/>
      <c r="D26" s="13"/>
      <c r="E26" s="13"/>
      <c r="F26" s="19">
        <f>+F24*$H$56/2</f>
        <v>1.4895453636E-2</v>
      </c>
      <c r="G26" s="19"/>
      <c r="H26" s="19"/>
    </row>
    <row r="27" spans="1:8" x14ac:dyDescent="0.25">
      <c r="A27" s="13" t="s">
        <v>141</v>
      </c>
      <c r="B27" s="13"/>
      <c r="C27" s="13"/>
      <c r="D27" s="13"/>
      <c r="E27" s="13"/>
      <c r="F27" s="19">
        <f>+$H$55</f>
        <v>97</v>
      </c>
      <c r="G27" s="19"/>
      <c r="H27" s="19"/>
    </row>
    <row r="28" spans="1:8" x14ac:dyDescent="0.25">
      <c r="A28" s="13" t="s">
        <v>430</v>
      </c>
      <c r="B28" s="13"/>
      <c r="C28" s="13"/>
      <c r="D28" s="13"/>
      <c r="E28" s="13"/>
      <c r="F28" s="20">
        <f>+F27*$H$57/2</f>
        <v>1.49865</v>
      </c>
      <c r="G28" s="20"/>
      <c r="H28" s="20"/>
    </row>
    <row r="29" spans="1:8" x14ac:dyDescent="0.25">
      <c r="A29" s="12" t="s">
        <v>467</v>
      </c>
      <c r="B29" s="13"/>
      <c r="C29" s="13"/>
      <c r="D29" s="13"/>
      <c r="E29" s="13"/>
      <c r="F29" s="22">
        <f>SUM(F24:F28)</f>
        <v>108.263954413636</v>
      </c>
      <c r="G29" s="22"/>
      <c r="H29" s="22"/>
    </row>
    <row r="30" spans="1:8" x14ac:dyDescent="0.25">
      <c r="A30" s="12" t="s">
        <v>143</v>
      </c>
      <c r="B30" s="13"/>
      <c r="C30" s="13"/>
      <c r="D30" s="13"/>
      <c r="E30" s="13"/>
      <c r="F30" s="22">
        <f>+F29/F12</f>
        <v>1.8043992402272666</v>
      </c>
      <c r="G30" s="22"/>
      <c r="H30" s="22"/>
    </row>
    <row r="31" spans="1:8" x14ac:dyDescent="0.25">
      <c r="A31" s="13"/>
      <c r="B31" s="13"/>
      <c r="C31" s="13"/>
      <c r="D31" s="13"/>
      <c r="E31" s="13"/>
      <c r="F31" s="19"/>
      <c r="G31" s="19"/>
      <c r="H31" s="19"/>
    </row>
    <row r="32" spans="1:8" x14ac:dyDescent="0.25">
      <c r="A32" s="12" t="s">
        <v>144</v>
      </c>
      <c r="B32" s="13"/>
      <c r="C32" s="13"/>
      <c r="D32" s="13"/>
      <c r="E32" s="13"/>
      <c r="F32" s="19"/>
      <c r="G32" s="19"/>
      <c r="H32" s="19"/>
    </row>
    <row r="33" spans="1:8" x14ac:dyDescent="0.25">
      <c r="A33" s="13" t="s">
        <v>145</v>
      </c>
      <c r="B33" s="13"/>
      <c r="C33" s="13"/>
      <c r="D33" s="13"/>
      <c r="E33" s="13"/>
      <c r="F33" s="239">
        <f>ROUND(+$H$46*0.083333*F21*$H$47,2)</f>
        <v>4.32</v>
      </c>
      <c r="G33" s="19"/>
      <c r="H33" s="19"/>
    </row>
    <row r="34" spans="1:8" x14ac:dyDescent="0.25">
      <c r="A34" s="13" t="s">
        <v>146</v>
      </c>
      <c r="B34" s="13"/>
      <c r="C34" s="13"/>
      <c r="D34" s="13"/>
      <c r="E34" s="13"/>
      <c r="F34" s="239">
        <f>ROUND(+$H$47*0.083333*F21*$H$49,2)</f>
        <v>1.23</v>
      </c>
      <c r="G34" s="19"/>
      <c r="H34" s="19"/>
    </row>
    <row r="35" spans="1:8" x14ac:dyDescent="0.25">
      <c r="A35" s="13" t="s">
        <v>147</v>
      </c>
      <c r="B35" s="13"/>
      <c r="C35" s="13"/>
      <c r="D35" s="13"/>
      <c r="E35" s="13"/>
      <c r="F35" s="239">
        <f>ROUND(+F30*$H$47,2)</f>
        <v>1.81</v>
      </c>
      <c r="G35" s="19"/>
      <c r="H35" s="19"/>
    </row>
    <row r="36" spans="1:8" x14ac:dyDescent="0.25">
      <c r="A36" s="13" t="s">
        <v>148</v>
      </c>
      <c r="B36" s="13"/>
      <c r="C36" s="13"/>
      <c r="D36" s="13"/>
      <c r="E36" s="13"/>
      <c r="F36" s="232">
        <f>ROUND(+$H$51*F11,2)</f>
        <v>0.8</v>
      </c>
      <c r="G36" s="20"/>
      <c r="H36" s="20"/>
    </row>
    <row r="37" spans="1:8" x14ac:dyDescent="0.25">
      <c r="A37" s="12" t="s">
        <v>149</v>
      </c>
      <c r="B37" s="13"/>
      <c r="C37" s="13"/>
      <c r="D37" s="13"/>
      <c r="E37" s="13"/>
      <c r="F37" s="22">
        <f>SUM(F33:F36)</f>
        <v>8.1600000000000019</v>
      </c>
      <c r="G37" s="22"/>
      <c r="H37" s="22"/>
    </row>
    <row r="38" spans="1:8" x14ac:dyDescent="0.25">
      <c r="A38" s="13"/>
      <c r="B38" s="13"/>
      <c r="C38" s="13"/>
      <c r="D38" s="13"/>
      <c r="E38" s="13"/>
      <c r="F38" s="19"/>
      <c r="G38" s="19"/>
      <c r="H38" s="19"/>
    </row>
    <row r="39" spans="1:8" x14ac:dyDescent="0.25">
      <c r="A39" s="12" t="s">
        <v>150</v>
      </c>
      <c r="B39" s="13"/>
      <c r="C39" s="13"/>
      <c r="D39" s="13"/>
      <c r="E39" s="13"/>
      <c r="F39" s="19"/>
      <c r="G39" s="19"/>
      <c r="H39" s="19"/>
    </row>
    <row r="40" spans="1:8" x14ac:dyDescent="0.25">
      <c r="A40" s="13" t="s">
        <v>145</v>
      </c>
      <c r="B40" s="13"/>
      <c r="C40" s="13"/>
      <c r="D40" s="13"/>
      <c r="E40" s="13"/>
      <c r="F40" s="19">
        <f>+F33</f>
        <v>4.32</v>
      </c>
      <c r="G40" s="19"/>
      <c r="H40" s="19"/>
    </row>
    <row r="41" spans="1:8" x14ac:dyDescent="0.25">
      <c r="A41" s="13" t="s">
        <v>151</v>
      </c>
      <c r="B41" s="13"/>
      <c r="C41" s="13"/>
      <c r="D41" s="13"/>
      <c r="E41" s="13"/>
      <c r="F41" s="239">
        <f>+ROUND($H$47*0.083333*F21*$H$50,2)</f>
        <v>1.1299999999999999</v>
      </c>
      <c r="G41" s="19"/>
      <c r="H41" s="19"/>
    </row>
    <row r="42" spans="1:8" x14ac:dyDescent="0.25">
      <c r="A42" s="13" t="s">
        <v>147</v>
      </c>
      <c r="B42" s="13"/>
      <c r="C42" s="13"/>
      <c r="D42" s="13"/>
      <c r="E42" s="13"/>
      <c r="F42" s="239">
        <f>ROUND(+F30*$H$47,2)</f>
        <v>1.81</v>
      </c>
      <c r="G42" s="19"/>
      <c r="H42" s="19"/>
    </row>
    <row r="43" spans="1:8" x14ac:dyDescent="0.25">
      <c r="A43" s="13" t="s">
        <v>148</v>
      </c>
      <c r="B43" s="13"/>
      <c r="C43" s="13"/>
      <c r="D43" s="13"/>
      <c r="E43" s="13"/>
      <c r="F43" s="232">
        <f>ROUND(+$I$51*F11,2)</f>
        <v>0.8</v>
      </c>
      <c r="G43" s="20"/>
      <c r="H43" s="20"/>
    </row>
    <row r="44" spans="1:8" x14ac:dyDescent="0.25">
      <c r="A44" s="12" t="s">
        <v>149</v>
      </c>
      <c r="B44" s="13"/>
      <c r="C44" s="13"/>
      <c r="D44" s="13"/>
      <c r="E44" s="13"/>
      <c r="F44" s="22">
        <f>SUM(F40:F43)</f>
        <v>8.06</v>
      </c>
      <c r="G44" s="22"/>
      <c r="H44" s="22"/>
    </row>
    <row r="46" spans="1:8" x14ac:dyDescent="0.25">
      <c r="A46" s="64" t="s">
        <v>466</v>
      </c>
      <c r="B46" s="64"/>
      <c r="C46" s="64"/>
      <c r="D46" s="64"/>
      <c r="E46" s="64"/>
      <c r="F46" s="9" t="s">
        <v>152</v>
      </c>
      <c r="G46" s="8"/>
      <c r="H46" s="23">
        <f>+'Data Entry'!C9</f>
        <v>0.15265000000000001</v>
      </c>
    </row>
    <row r="47" spans="1:8" x14ac:dyDescent="0.25">
      <c r="A47" s="64" t="s">
        <v>153</v>
      </c>
      <c r="B47" s="64"/>
      <c r="C47" s="64"/>
      <c r="D47" s="64"/>
      <c r="E47" s="64"/>
      <c r="F47" s="10" t="s">
        <v>3</v>
      </c>
      <c r="G47" s="7"/>
      <c r="H47" s="24">
        <f>+'Data Entry'!C10</f>
        <v>1.0007205187735171</v>
      </c>
    </row>
    <row r="48" spans="1:8" x14ac:dyDescent="0.25">
      <c r="A48" s="64" t="s">
        <v>154</v>
      </c>
      <c r="B48" s="64"/>
      <c r="C48" s="64"/>
      <c r="D48" s="64"/>
      <c r="E48" s="64"/>
      <c r="F48" s="11" t="s">
        <v>4</v>
      </c>
      <c r="H48" s="25"/>
    </row>
    <row r="49" spans="1:9" x14ac:dyDescent="0.25">
      <c r="A49" s="64" t="s">
        <v>155</v>
      </c>
      <c r="B49" s="64"/>
      <c r="C49" s="64"/>
      <c r="D49" s="64"/>
      <c r="E49" s="64"/>
      <c r="F49" s="11" t="s">
        <v>5</v>
      </c>
      <c r="H49" s="26">
        <f>+'Data Entry'!C12</f>
        <v>4.36E-2</v>
      </c>
    </row>
    <row r="50" spans="1:9" x14ac:dyDescent="0.25">
      <c r="A50" s="64" t="s">
        <v>156</v>
      </c>
      <c r="B50" s="64"/>
      <c r="C50" s="64"/>
      <c r="D50" s="64"/>
      <c r="E50" s="64"/>
      <c r="F50" s="10" t="s">
        <v>6</v>
      </c>
      <c r="G50" s="7"/>
      <c r="H50" s="27">
        <f>+'Data Entry'!C13</f>
        <v>3.9780000000000003E-2</v>
      </c>
      <c r="I50" s="236" t="s">
        <v>504</v>
      </c>
    </row>
    <row r="51" spans="1:9" x14ac:dyDescent="0.25">
      <c r="A51" s="64" t="s">
        <v>157</v>
      </c>
      <c r="B51" s="64"/>
      <c r="C51" s="64"/>
      <c r="D51" s="64"/>
      <c r="E51" s="64"/>
      <c r="F51" s="10" t="s">
        <v>7</v>
      </c>
      <c r="G51" s="7"/>
      <c r="H51" s="237">
        <f>+'Data Entry'!C14</f>
        <v>2.6519999999999998E-2</v>
      </c>
      <c r="I51" s="238">
        <f>+'Data Entry'!D14</f>
        <v>2.6759999999999999E-2</v>
      </c>
    </row>
    <row r="52" spans="1:9" x14ac:dyDescent="0.25">
      <c r="A52" s="64" t="s">
        <v>158</v>
      </c>
      <c r="B52" s="64"/>
      <c r="C52" s="64"/>
      <c r="D52" s="64"/>
      <c r="E52" s="64"/>
      <c r="F52" s="10" t="s">
        <v>8</v>
      </c>
      <c r="G52" s="7"/>
      <c r="H52" s="27">
        <f>+'Data Entry'!C15</f>
        <v>0.25419999999999998</v>
      </c>
    </row>
    <row r="53" spans="1:9" x14ac:dyDescent="0.25">
      <c r="A53" s="64" t="s">
        <v>159</v>
      </c>
      <c r="B53" s="64"/>
      <c r="C53" s="64"/>
      <c r="D53" s="64"/>
      <c r="E53" s="64"/>
      <c r="F53" s="10" t="s">
        <v>9</v>
      </c>
      <c r="G53" s="7"/>
      <c r="H53" s="27">
        <f>+'Data Entry'!C16</f>
        <v>5.9400000000000001E-2</v>
      </c>
    </row>
    <row r="54" spans="1:9" x14ac:dyDescent="0.25">
      <c r="A54" s="64" t="s">
        <v>160</v>
      </c>
      <c r="B54" s="64"/>
      <c r="C54" s="64"/>
      <c r="D54" s="64"/>
      <c r="E54" s="64"/>
      <c r="F54" s="10" t="s">
        <v>161</v>
      </c>
      <c r="G54" s="7"/>
      <c r="H54" s="29">
        <f>+'Data Entry'!C17</f>
        <v>97</v>
      </c>
    </row>
    <row r="55" spans="1:9" x14ac:dyDescent="0.25">
      <c r="A55" s="64" t="s">
        <v>162</v>
      </c>
      <c r="B55" s="64"/>
      <c r="C55" s="64"/>
      <c r="D55" s="64"/>
      <c r="E55" s="64"/>
      <c r="F55" s="10" t="s">
        <v>12</v>
      </c>
      <c r="G55" s="7"/>
      <c r="H55" s="29">
        <f>+'Data Entry'!C18</f>
        <v>97</v>
      </c>
    </row>
    <row r="56" spans="1:9" x14ac:dyDescent="0.25">
      <c r="A56" s="64" t="s">
        <v>163</v>
      </c>
      <c r="B56" s="64"/>
      <c r="C56" s="64"/>
      <c r="D56" s="64"/>
      <c r="E56" s="64"/>
      <c r="F56" s="10" t="s">
        <v>14</v>
      </c>
      <c r="G56" s="7"/>
      <c r="H56" s="27">
        <f>+'Data Entry'!C19</f>
        <v>5.4000000000000003E-3</v>
      </c>
    </row>
    <row r="57" spans="1:9" x14ac:dyDescent="0.25">
      <c r="A57" s="64" t="s">
        <v>164</v>
      </c>
      <c r="B57" s="64"/>
      <c r="C57" s="64"/>
      <c r="D57" s="64"/>
      <c r="E57" s="64"/>
      <c r="F57" s="10" t="s">
        <v>17</v>
      </c>
      <c r="G57" s="7"/>
      <c r="H57" s="27">
        <f>+'Data Entry'!C20</f>
        <v>3.09E-2</v>
      </c>
    </row>
    <row r="58" spans="1:9" x14ac:dyDescent="0.25">
      <c r="F58" s="69" t="s">
        <v>165</v>
      </c>
      <c r="G58" s="7"/>
      <c r="H58" s="29">
        <f>+'Data Entry'!D104</f>
        <v>4.87</v>
      </c>
    </row>
    <row r="59" spans="1:9" x14ac:dyDescent="0.25">
      <c r="F59" s="69" t="s">
        <v>166</v>
      </c>
      <c r="G59" s="7"/>
      <c r="H59" s="29">
        <f>+'Data Entry'!E20</f>
        <v>4.8000000000000001E-2</v>
      </c>
    </row>
    <row r="60" spans="1:9" x14ac:dyDescent="0.25">
      <c r="F60" s="319" t="s">
        <v>568</v>
      </c>
      <c r="G60" s="7"/>
      <c r="H60" s="29">
        <f>+'Data Entry'!D113</f>
        <v>3.77</v>
      </c>
    </row>
    <row r="61" spans="1:9" x14ac:dyDescent="0.25">
      <c r="F61" s="69" t="s">
        <v>167</v>
      </c>
      <c r="G61" s="7"/>
      <c r="H61" s="27">
        <f>+'Data Entry'!C21</f>
        <v>0.06</v>
      </c>
    </row>
  </sheetData>
  <phoneticPr fontId="28" type="noConversion"/>
  <pageMargins left="0.75" right="0.25" top="0.25" bottom="0.25" header="0.5" footer="0.22"/>
  <pageSetup scale="95" orientation="portrait" horizontalDpi="300" verticalDpi="300" r:id="rId1"/>
  <headerFooter alignWithMargins="0">
    <oddFooter>&amp;R&amp;A</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1"/>
  <sheetViews>
    <sheetView workbookViewId="0">
      <selection activeCell="A2" sqref="A1:A2"/>
    </sheetView>
  </sheetViews>
  <sheetFormatPr defaultRowHeight="13.2" x14ac:dyDescent="0.25"/>
  <cols>
    <col min="6" max="8" width="15.6640625" customWidth="1"/>
  </cols>
  <sheetData>
    <row r="1" spans="1:10" x14ac:dyDescent="0.25">
      <c r="A1" s="773" t="s">
        <v>937</v>
      </c>
    </row>
    <row r="2" spans="1:10" x14ac:dyDescent="0.25">
      <c r="A2" s="773" t="s">
        <v>923</v>
      </c>
    </row>
    <row r="4" spans="1:10" ht="17.399999999999999" x14ac:dyDescent="0.3">
      <c r="A4" s="2" t="str">
        <f>'70wOH5'!A4</f>
        <v>2016 Cost of Service</v>
      </c>
    </row>
    <row r="5" spans="1:10" x14ac:dyDescent="0.25">
      <c r="A5" s="4"/>
      <c r="B5" s="4"/>
      <c r="C5" s="4"/>
      <c r="D5" s="4"/>
      <c r="E5" s="4"/>
      <c r="F5" s="14" t="s">
        <v>173</v>
      </c>
      <c r="G5" s="14" t="s">
        <v>173</v>
      </c>
      <c r="H5" s="14" t="s">
        <v>173</v>
      </c>
    </row>
    <row r="6" spans="1:10" x14ac:dyDescent="0.25">
      <c r="A6" s="12" t="s">
        <v>125</v>
      </c>
      <c r="B6" s="12"/>
      <c r="C6" s="12"/>
      <c r="D6" s="12"/>
      <c r="E6" s="12"/>
      <c r="F6" s="14" t="s">
        <v>126</v>
      </c>
      <c r="G6" s="14" t="s">
        <v>126</v>
      </c>
      <c r="H6" s="14" t="s">
        <v>126</v>
      </c>
    </row>
    <row r="7" spans="1:10" x14ac:dyDescent="0.25">
      <c r="A7" s="12"/>
      <c r="B7" s="12"/>
      <c r="C7" s="12"/>
      <c r="D7" s="12"/>
      <c r="E7" s="12"/>
      <c r="F7" s="14" t="s">
        <v>174</v>
      </c>
      <c r="G7" s="14" t="s">
        <v>127</v>
      </c>
      <c r="H7" s="14" t="s">
        <v>128</v>
      </c>
    </row>
    <row r="8" spans="1:10" x14ac:dyDescent="0.25">
      <c r="A8" s="12"/>
      <c r="B8" s="12"/>
      <c r="C8" s="12"/>
      <c r="D8" s="12"/>
      <c r="E8" s="12"/>
      <c r="F8" s="15" t="s">
        <v>175</v>
      </c>
      <c r="G8" s="15" t="s">
        <v>130</v>
      </c>
      <c r="H8" s="15" t="s">
        <v>130</v>
      </c>
    </row>
    <row r="9" spans="1:10" x14ac:dyDescent="0.25">
      <c r="A9" s="12" t="s">
        <v>131</v>
      </c>
      <c r="B9" s="13"/>
      <c r="C9" s="13"/>
      <c r="D9" s="13"/>
      <c r="E9" s="13"/>
      <c r="F9" s="6"/>
      <c r="G9" s="6"/>
      <c r="H9" s="6"/>
    </row>
    <row r="10" spans="1:10" x14ac:dyDescent="0.25">
      <c r="A10" s="13" t="s">
        <v>465</v>
      </c>
      <c r="B10" s="13"/>
      <c r="C10" s="13"/>
      <c r="D10" s="13"/>
      <c r="E10" s="13"/>
      <c r="F10" s="16">
        <v>117</v>
      </c>
      <c r="G10" s="16">
        <v>117</v>
      </c>
      <c r="H10" s="16">
        <v>117</v>
      </c>
    </row>
    <row r="11" spans="1:10" x14ac:dyDescent="0.25">
      <c r="A11" s="13" t="s">
        <v>133</v>
      </c>
      <c r="B11" s="13"/>
      <c r="C11" s="13"/>
      <c r="D11" s="13"/>
      <c r="E11" s="13"/>
      <c r="F11" s="235">
        <f>TRUNC(+F10*(1/12)*4.24)</f>
        <v>41</v>
      </c>
      <c r="G11" s="235">
        <f>TRUNC(+G10*(1/12)*4.24)</f>
        <v>41</v>
      </c>
      <c r="H11" s="235">
        <f>TRUNC(+H10*(1/12)*4.24)</f>
        <v>41</v>
      </c>
    </row>
    <row r="12" spans="1:10" x14ac:dyDescent="0.25">
      <c r="A12" s="13" t="s">
        <v>134</v>
      </c>
      <c r="B12" s="13"/>
      <c r="C12" s="13"/>
      <c r="D12" s="13"/>
      <c r="E12" s="13"/>
      <c r="F12" s="16">
        <v>60</v>
      </c>
      <c r="G12" s="16">
        <v>60</v>
      </c>
      <c r="H12" s="16">
        <v>60</v>
      </c>
    </row>
    <row r="13" spans="1:10" x14ac:dyDescent="0.25">
      <c r="A13" s="13"/>
      <c r="B13" s="13"/>
      <c r="C13" s="13"/>
      <c r="D13" s="13"/>
      <c r="E13" s="13"/>
      <c r="F13" s="18"/>
      <c r="G13" s="18"/>
      <c r="H13" s="18"/>
    </row>
    <row r="14" spans="1:10" x14ac:dyDescent="0.25">
      <c r="A14" s="12" t="s">
        <v>135</v>
      </c>
      <c r="B14" s="13"/>
      <c r="C14" s="13"/>
      <c r="D14" s="13"/>
      <c r="E14" s="13"/>
      <c r="F14" s="18"/>
      <c r="G14" s="18"/>
      <c r="H14" s="18"/>
    </row>
    <row r="15" spans="1:10" x14ac:dyDescent="0.25">
      <c r="A15" s="13" t="s">
        <v>136</v>
      </c>
      <c r="B15" s="13"/>
      <c r="C15" s="13"/>
      <c r="D15" s="13"/>
      <c r="E15" s="13"/>
      <c r="F15" s="441">
        <f>+'33'!G31</f>
        <v>87.857676159999983</v>
      </c>
      <c r="G15" s="441">
        <f>+'34'!G31</f>
        <v>114.86879816</v>
      </c>
      <c r="H15" s="441">
        <f>+'35'!G31</f>
        <v>115.83148216000001</v>
      </c>
    </row>
    <row r="16" spans="1:10" x14ac:dyDescent="0.25">
      <c r="A16" s="13" t="s">
        <v>428</v>
      </c>
      <c r="B16" s="13"/>
      <c r="C16" s="13"/>
      <c r="D16" s="13"/>
      <c r="E16" s="13"/>
      <c r="F16" s="441">
        <f>+F15*$H$56/2</f>
        <v>0.23721572563199997</v>
      </c>
      <c r="G16" s="441">
        <f>+G15*$H$56/2</f>
        <v>0.31014575503199998</v>
      </c>
      <c r="H16" s="441">
        <f>+H15*$H$56/2</f>
        <v>0.31274500183200005</v>
      </c>
      <c r="J16" s="3"/>
    </row>
    <row r="17" spans="1:8" x14ac:dyDescent="0.25">
      <c r="A17" s="13" t="s">
        <v>137</v>
      </c>
      <c r="B17" s="13"/>
      <c r="C17" s="13"/>
      <c r="D17" s="13"/>
      <c r="E17" s="13"/>
      <c r="F17" s="19">
        <f>+'67'!H20</f>
        <v>100.88000000000002</v>
      </c>
      <c r="G17" s="19">
        <f>+'67'!H20</f>
        <v>100.88000000000002</v>
      </c>
      <c r="H17" s="19">
        <f>+'67'!H20</f>
        <v>100.88000000000002</v>
      </c>
    </row>
    <row r="18" spans="1:8" x14ac:dyDescent="0.25">
      <c r="A18" s="13" t="s">
        <v>427</v>
      </c>
      <c r="B18" s="13"/>
      <c r="C18" s="13"/>
      <c r="D18" s="13"/>
      <c r="E18" s="13"/>
      <c r="F18" s="232">
        <f>+F17*$H$57/2</f>
        <v>1.5585960000000003</v>
      </c>
      <c r="G18" s="232">
        <f>+G17*$H$57/2</f>
        <v>1.5585960000000003</v>
      </c>
      <c r="H18" s="232">
        <f>+H17*$H$57/2</f>
        <v>1.5585960000000003</v>
      </c>
    </row>
    <row r="19" spans="1:8" x14ac:dyDescent="0.25">
      <c r="A19" s="13"/>
      <c r="B19" s="13"/>
      <c r="C19" s="13"/>
      <c r="D19" s="13"/>
      <c r="E19" s="13"/>
      <c r="F19" s="19">
        <f>SUM(F15:F18)</f>
        <v>190.53348788563201</v>
      </c>
      <c r="G19" s="19">
        <f>SUM(G15:G18)</f>
        <v>217.61753991503201</v>
      </c>
      <c r="H19" s="19">
        <f>SUM(H15:H18)</f>
        <v>218.58282316183201</v>
      </c>
    </row>
    <row r="20" spans="1:8" ht="13.8" thickBot="1" x14ac:dyDescent="0.3">
      <c r="A20" s="13" t="s">
        <v>424</v>
      </c>
      <c r="B20" s="13"/>
      <c r="C20" s="13"/>
      <c r="D20" s="13"/>
      <c r="E20" s="13"/>
      <c r="F20" s="19">
        <f>+F19*$H$52</f>
        <v>48.433612620527654</v>
      </c>
      <c r="G20" s="19">
        <f>+G19*$H$52</f>
        <v>55.318378646401136</v>
      </c>
      <c r="H20" s="19">
        <f>+H19*$H$52</f>
        <v>55.563753647737691</v>
      </c>
    </row>
    <row r="21" spans="1:8" ht="13.8" thickBot="1" x14ac:dyDescent="0.3">
      <c r="A21" s="12" t="s">
        <v>138</v>
      </c>
      <c r="B21" s="13"/>
      <c r="C21" s="13"/>
      <c r="D21" s="13"/>
      <c r="E21" s="13"/>
      <c r="F21" s="480">
        <f>SUM(F19:F20)</f>
        <v>238.96710050615968</v>
      </c>
      <c r="G21" s="481">
        <f>SUM(G19:G20)</f>
        <v>272.93591856143314</v>
      </c>
      <c r="H21" s="482">
        <f>SUM(H19:H20)</f>
        <v>274.14657680956969</v>
      </c>
    </row>
    <row r="22" spans="1:8" x14ac:dyDescent="0.25">
      <c r="A22" s="13"/>
      <c r="B22" s="13"/>
      <c r="C22" s="13"/>
      <c r="D22" s="13"/>
      <c r="E22" s="13"/>
      <c r="F22" s="19"/>
      <c r="G22" s="19"/>
      <c r="H22" s="19"/>
    </row>
    <row r="23" spans="1:8" x14ac:dyDescent="0.25">
      <c r="A23" s="13" t="s">
        <v>139</v>
      </c>
      <c r="B23" s="13"/>
      <c r="C23" s="13"/>
      <c r="D23" s="13"/>
      <c r="E23" s="13"/>
      <c r="F23" s="19"/>
      <c r="G23" s="19"/>
      <c r="H23" s="19"/>
    </row>
    <row r="24" spans="1:8" x14ac:dyDescent="0.25">
      <c r="A24" s="13" t="s">
        <v>140</v>
      </c>
      <c r="B24" s="13"/>
      <c r="C24" s="13"/>
      <c r="D24" s="13"/>
      <c r="E24" s="13"/>
      <c r="F24" s="19">
        <f>+H58*(1+$H$61)*(1+$H$53)+H59</f>
        <v>5.2697826000000001</v>
      </c>
      <c r="G24" s="19">
        <f>+F24</f>
        <v>5.2697826000000001</v>
      </c>
      <c r="H24" s="19">
        <f>+F24</f>
        <v>5.2697826000000001</v>
      </c>
    </row>
    <row r="25" spans="1:8" x14ac:dyDescent="0.25">
      <c r="A25" s="277" t="s">
        <v>567</v>
      </c>
      <c r="B25" s="13"/>
      <c r="C25" s="13"/>
      <c r="D25" s="13"/>
      <c r="E25" s="13"/>
      <c r="F25" s="19">
        <f>+$H$60*(1+$H$61)*(1+$H$53)</f>
        <v>4.23357428</v>
      </c>
      <c r="G25" s="19">
        <f>+$H$60*(1+$H$61)*(1+$H$53)</f>
        <v>4.23357428</v>
      </c>
      <c r="H25" s="19">
        <f>+$H$60*(1+$H$61)*(1+$H$53)</f>
        <v>4.23357428</v>
      </c>
    </row>
    <row r="26" spans="1:8" x14ac:dyDescent="0.25">
      <c r="A26" s="13" t="s">
        <v>429</v>
      </c>
      <c r="B26" s="13"/>
      <c r="C26" s="13"/>
      <c r="D26" s="13"/>
      <c r="E26" s="13"/>
      <c r="F26" s="19">
        <f>+F24*$H$56/2</f>
        <v>1.422841302E-2</v>
      </c>
      <c r="G26" s="19">
        <f>+G24*$H$56/2</f>
        <v>1.422841302E-2</v>
      </c>
      <c r="H26" s="19">
        <f>+H24*$H$56/2</f>
        <v>1.422841302E-2</v>
      </c>
    </row>
    <row r="27" spans="1:8" x14ac:dyDescent="0.25">
      <c r="A27" s="13" t="s">
        <v>141</v>
      </c>
      <c r="B27" s="13"/>
      <c r="C27" s="13"/>
      <c r="D27" s="13"/>
      <c r="E27" s="13"/>
      <c r="F27" s="19">
        <f>+$H$55</f>
        <v>97</v>
      </c>
      <c r="G27" s="19">
        <f>+$H$55</f>
        <v>97</v>
      </c>
      <c r="H27" s="19">
        <f>+$H$55</f>
        <v>97</v>
      </c>
    </row>
    <row r="28" spans="1:8" x14ac:dyDescent="0.25">
      <c r="A28" s="13" t="s">
        <v>425</v>
      </c>
      <c r="B28" s="13"/>
      <c r="C28" s="13"/>
      <c r="D28" s="13"/>
      <c r="E28" s="13"/>
      <c r="F28" s="20">
        <f>+F27*$H$57/2</f>
        <v>1.49865</v>
      </c>
      <c r="G28" s="20">
        <f>+G27*$H$57/2</f>
        <v>1.49865</v>
      </c>
      <c r="H28" s="20">
        <f>+H27*$H$57/2</f>
        <v>1.49865</v>
      </c>
    </row>
    <row r="29" spans="1:8" x14ac:dyDescent="0.25">
      <c r="A29" s="12" t="s">
        <v>467</v>
      </c>
      <c r="B29" s="13"/>
      <c r="C29" s="13"/>
      <c r="D29" s="13"/>
      <c r="E29" s="13"/>
      <c r="F29" s="22">
        <f>SUM(F24:F28)</f>
        <v>108.01623529302</v>
      </c>
      <c r="G29" s="22">
        <f>SUM(G24:G28)</f>
        <v>108.01623529302</v>
      </c>
      <c r="H29" s="22">
        <f>SUM(H24:H28)</f>
        <v>108.01623529302</v>
      </c>
    </row>
    <row r="30" spans="1:8" x14ac:dyDescent="0.25">
      <c r="A30" s="12" t="s">
        <v>143</v>
      </c>
      <c r="B30" s="13"/>
      <c r="C30" s="13"/>
      <c r="D30" s="13"/>
      <c r="E30" s="13"/>
      <c r="F30" s="22">
        <f>+F29/F12</f>
        <v>1.800270588217</v>
      </c>
      <c r="G30" s="22">
        <f>+G29/G12</f>
        <v>1.800270588217</v>
      </c>
      <c r="H30" s="22">
        <f>+H29/H12</f>
        <v>1.800270588217</v>
      </c>
    </row>
    <row r="31" spans="1:8" x14ac:dyDescent="0.25">
      <c r="A31" s="13"/>
      <c r="B31" s="13"/>
      <c r="C31" s="13"/>
      <c r="D31" s="13"/>
      <c r="E31" s="13"/>
      <c r="F31" s="19"/>
      <c r="G31" s="19"/>
      <c r="H31" s="19"/>
    </row>
    <row r="32" spans="1:8" x14ac:dyDescent="0.25">
      <c r="A32" s="12" t="s">
        <v>144</v>
      </c>
      <c r="B32" s="13"/>
      <c r="C32" s="13"/>
      <c r="D32" s="13"/>
      <c r="E32" s="13"/>
      <c r="F32" s="19"/>
      <c r="G32" s="19"/>
      <c r="H32" s="19"/>
    </row>
    <row r="33" spans="1:9" x14ac:dyDescent="0.25">
      <c r="A33" s="13" t="s">
        <v>145</v>
      </c>
      <c r="B33" s="13"/>
      <c r="C33" s="13"/>
      <c r="D33" s="13"/>
      <c r="E33" s="13"/>
      <c r="F33" s="239">
        <f>ROUND(+$H$46*0.083333*F21*$H$47,2)</f>
        <v>3.04</v>
      </c>
      <c r="G33" s="239">
        <f>ROUND(+$H$46*0.083333*G21*$H$47,2)</f>
        <v>3.47</v>
      </c>
      <c r="H33" s="239">
        <f>ROUND(+$H$46*0.083333*H21*$H$47,2)</f>
        <v>3.49</v>
      </c>
    </row>
    <row r="34" spans="1:9" x14ac:dyDescent="0.25">
      <c r="A34" s="13" t="s">
        <v>146</v>
      </c>
      <c r="B34" s="13"/>
      <c r="C34" s="13"/>
      <c r="D34" s="13"/>
      <c r="E34" s="13"/>
      <c r="F34" s="239">
        <f>ROUND(+$H$47*0.083333*F21*$H$49,2)</f>
        <v>0.87</v>
      </c>
      <c r="G34" s="239">
        <f>ROUND(+$H$47*0.083333*G21*$H$49,2)</f>
        <v>0.99</v>
      </c>
      <c r="H34" s="239">
        <f>ROUND(+$H$47*0.083333*H21*$H$49,2)</f>
        <v>1</v>
      </c>
    </row>
    <row r="35" spans="1:9" x14ac:dyDescent="0.25">
      <c r="A35" s="13" t="s">
        <v>147</v>
      </c>
      <c r="B35" s="13"/>
      <c r="C35" s="13"/>
      <c r="D35" s="13"/>
      <c r="E35" s="13"/>
      <c r="F35" s="239">
        <f>ROUND(+F30*$H$47,2)</f>
        <v>1.8</v>
      </c>
      <c r="G35" s="239">
        <f>ROUND(+G30*$H$47,2)</f>
        <v>1.8</v>
      </c>
      <c r="H35" s="239">
        <f>ROUND(+H30*$H$47,2)</f>
        <v>1.8</v>
      </c>
    </row>
    <row r="36" spans="1:9" x14ac:dyDescent="0.25">
      <c r="A36" s="13" t="s">
        <v>148</v>
      </c>
      <c r="B36" s="13"/>
      <c r="C36" s="13"/>
      <c r="D36" s="13"/>
      <c r="E36" s="13"/>
      <c r="F36" s="232">
        <f>ROUND(+$H$51*F11,2)</f>
        <v>1.0900000000000001</v>
      </c>
      <c r="G36" s="232">
        <f>ROUND(+$H$51*G11,2)</f>
        <v>1.0900000000000001</v>
      </c>
      <c r="H36" s="232">
        <f>ROUND(+$H$51*H11,2)</f>
        <v>1.0900000000000001</v>
      </c>
    </row>
    <row r="37" spans="1:9" x14ac:dyDescent="0.25">
      <c r="A37" s="12" t="s">
        <v>149</v>
      </c>
      <c r="B37" s="13"/>
      <c r="C37" s="13"/>
      <c r="D37" s="13"/>
      <c r="E37" s="13"/>
      <c r="F37" s="22">
        <f>SUM(F33:F36)</f>
        <v>6.8</v>
      </c>
      <c r="G37" s="22">
        <f>SUM(G33:G36)</f>
        <v>7.35</v>
      </c>
      <c r="H37" s="22">
        <f>SUM(H33:H36)</f>
        <v>7.38</v>
      </c>
    </row>
    <row r="38" spans="1:9" x14ac:dyDescent="0.25">
      <c r="A38" s="13"/>
      <c r="B38" s="13"/>
      <c r="C38" s="13"/>
      <c r="D38" s="13"/>
      <c r="E38" s="13"/>
      <c r="F38" s="19"/>
      <c r="G38" s="19"/>
      <c r="H38" s="19"/>
    </row>
    <row r="39" spans="1:9" x14ac:dyDescent="0.25">
      <c r="A39" s="12" t="s">
        <v>150</v>
      </c>
      <c r="B39" s="13"/>
      <c r="C39" s="13"/>
      <c r="D39" s="13"/>
      <c r="E39" s="13"/>
      <c r="F39" s="19"/>
      <c r="G39" s="19"/>
      <c r="H39" s="19"/>
    </row>
    <row r="40" spans="1:9" x14ac:dyDescent="0.25">
      <c r="A40" s="13" t="s">
        <v>145</v>
      </c>
      <c r="B40" s="13"/>
      <c r="C40" s="13"/>
      <c r="D40" s="13"/>
      <c r="E40" s="13"/>
      <c r="F40" s="19">
        <f>+F33</f>
        <v>3.04</v>
      </c>
      <c r="G40" s="19">
        <f>+G33</f>
        <v>3.47</v>
      </c>
      <c r="H40" s="19">
        <f>+H33</f>
        <v>3.49</v>
      </c>
    </row>
    <row r="41" spans="1:9" x14ac:dyDescent="0.25">
      <c r="A41" s="13" t="s">
        <v>151</v>
      </c>
      <c r="B41" s="13"/>
      <c r="C41" s="13"/>
      <c r="D41" s="13"/>
      <c r="E41" s="13"/>
      <c r="F41" s="239">
        <f>ROUND(+$H$47*0.083333*F21*$H$50,2)</f>
        <v>0.79</v>
      </c>
      <c r="G41" s="239">
        <f>ROUND(+$H$47*0.083333*G21*$H$50,2)</f>
        <v>0.91</v>
      </c>
      <c r="H41" s="239">
        <f>ROUND(+$H$47*0.083333*H21*$H$50,2)</f>
        <v>0.91</v>
      </c>
    </row>
    <row r="42" spans="1:9" x14ac:dyDescent="0.25">
      <c r="A42" s="13" t="s">
        <v>147</v>
      </c>
      <c r="B42" s="13"/>
      <c r="C42" s="13"/>
      <c r="D42" s="13"/>
      <c r="E42" s="13"/>
      <c r="F42" s="239">
        <f>ROUND(+F30*$H$47,2)</f>
        <v>1.8</v>
      </c>
      <c r="G42" s="239">
        <f>ROUND(+G30*$H$47,2)</f>
        <v>1.8</v>
      </c>
      <c r="H42" s="239">
        <f>ROUND(+H30*$H$47,2)</f>
        <v>1.8</v>
      </c>
    </row>
    <row r="43" spans="1:9" x14ac:dyDescent="0.25">
      <c r="A43" s="13" t="s">
        <v>148</v>
      </c>
      <c r="B43" s="13"/>
      <c r="C43" s="13"/>
      <c r="D43" s="13"/>
      <c r="E43" s="13"/>
      <c r="F43" s="232">
        <f>+ROUND($I$51*F11,2)</f>
        <v>1.1000000000000001</v>
      </c>
      <c r="G43" s="232">
        <f>+ROUND($I$51*G11,2)</f>
        <v>1.1000000000000001</v>
      </c>
      <c r="H43" s="232">
        <f>+ROUND($I$51*H11,2)</f>
        <v>1.1000000000000001</v>
      </c>
      <c r="I43" s="19"/>
    </row>
    <row r="44" spans="1:9" x14ac:dyDescent="0.25">
      <c r="A44" s="12" t="s">
        <v>149</v>
      </c>
      <c r="B44" s="13"/>
      <c r="C44" s="13"/>
      <c r="D44" s="13"/>
      <c r="E44" s="13"/>
      <c r="F44" s="22">
        <f>SUM(F40:F43)</f>
        <v>6.73</v>
      </c>
      <c r="G44" s="22">
        <f>SUM(G40:G43)</f>
        <v>7.2799999999999994</v>
      </c>
      <c r="H44" s="22">
        <f>SUM(H40:H43)</f>
        <v>7.3000000000000007</v>
      </c>
    </row>
    <row r="46" spans="1:9" x14ac:dyDescent="0.25">
      <c r="A46" s="64" t="s">
        <v>466</v>
      </c>
      <c r="B46" s="64"/>
      <c r="C46" s="64"/>
      <c r="D46" s="64"/>
      <c r="E46" s="64"/>
      <c r="F46" s="9" t="s">
        <v>152</v>
      </c>
      <c r="G46" s="8"/>
      <c r="H46" s="23">
        <f>+'Data Entry'!C9</f>
        <v>0.15265000000000001</v>
      </c>
    </row>
    <row r="47" spans="1:9" x14ac:dyDescent="0.25">
      <c r="A47" s="64" t="s">
        <v>153</v>
      </c>
      <c r="B47" s="64"/>
      <c r="C47" s="64"/>
      <c r="D47" s="64"/>
      <c r="E47" s="64"/>
      <c r="F47" s="10" t="s">
        <v>3</v>
      </c>
      <c r="G47" s="7"/>
      <c r="H47" s="24">
        <f>+'Data Entry'!C10</f>
        <v>1.0007205187735171</v>
      </c>
    </row>
    <row r="48" spans="1:9" x14ac:dyDescent="0.25">
      <c r="A48" s="64" t="s">
        <v>154</v>
      </c>
      <c r="B48" s="64"/>
      <c r="C48" s="64"/>
      <c r="D48" s="64"/>
      <c r="E48" s="64"/>
      <c r="F48" s="11" t="s">
        <v>4</v>
      </c>
      <c r="H48" s="25"/>
    </row>
    <row r="49" spans="1:9" x14ac:dyDescent="0.25">
      <c r="A49" s="64" t="s">
        <v>155</v>
      </c>
      <c r="B49" s="64"/>
      <c r="C49" s="64"/>
      <c r="D49" s="64"/>
      <c r="E49" s="64"/>
      <c r="F49" s="11" t="s">
        <v>5</v>
      </c>
      <c r="H49" s="26">
        <f>+'Data Entry'!C12</f>
        <v>4.36E-2</v>
      </c>
    </row>
    <row r="50" spans="1:9" x14ac:dyDescent="0.25">
      <c r="A50" s="64" t="s">
        <v>156</v>
      </c>
      <c r="B50" s="64"/>
      <c r="C50" s="64"/>
      <c r="D50" s="64"/>
      <c r="E50" s="64"/>
      <c r="F50" s="10" t="s">
        <v>6</v>
      </c>
      <c r="G50" s="7"/>
      <c r="H50" s="27">
        <f>+'Data Entry'!C13</f>
        <v>3.9780000000000003E-2</v>
      </c>
      <c r="I50" s="236" t="s">
        <v>504</v>
      </c>
    </row>
    <row r="51" spans="1:9" x14ac:dyDescent="0.25">
      <c r="A51" s="64" t="s">
        <v>157</v>
      </c>
      <c r="B51" s="64"/>
      <c r="C51" s="64"/>
      <c r="D51" s="64"/>
      <c r="E51" s="64"/>
      <c r="F51" s="10" t="s">
        <v>7</v>
      </c>
      <c r="G51" s="7"/>
      <c r="H51" s="237">
        <f>+'Data Entry'!C14</f>
        <v>2.6519999999999998E-2</v>
      </c>
      <c r="I51" s="238">
        <f>+'Data Entry'!D14</f>
        <v>2.6759999999999999E-2</v>
      </c>
    </row>
    <row r="52" spans="1:9" x14ac:dyDescent="0.25">
      <c r="A52" s="64" t="s">
        <v>158</v>
      </c>
      <c r="B52" s="64"/>
      <c r="C52" s="64"/>
      <c r="D52" s="64"/>
      <c r="E52" s="64"/>
      <c r="F52" s="10" t="s">
        <v>8</v>
      </c>
      <c r="G52" s="7"/>
      <c r="H52" s="27">
        <f>+'Data Entry'!C15</f>
        <v>0.25419999999999998</v>
      </c>
    </row>
    <row r="53" spans="1:9" x14ac:dyDescent="0.25">
      <c r="A53" s="64" t="s">
        <v>159</v>
      </c>
      <c r="B53" s="64"/>
      <c r="C53" s="64"/>
      <c r="D53" s="64"/>
      <c r="E53" s="64"/>
      <c r="F53" s="10" t="s">
        <v>9</v>
      </c>
      <c r="G53" s="7"/>
      <c r="H53" s="27">
        <f>+'Data Entry'!C16</f>
        <v>5.9400000000000001E-2</v>
      </c>
    </row>
    <row r="54" spans="1:9" x14ac:dyDescent="0.25">
      <c r="A54" s="64" t="s">
        <v>160</v>
      </c>
      <c r="B54" s="64"/>
      <c r="C54" s="64"/>
      <c r="D54" s="64"/>
      <c r="E54" s="64"/>
      <c r="F54" s="10" t="s">
        <v>161</v>
      </c>
      <c r="G54" s="7"/>
      <c r="H54" s="29">
        <f>+'Data Entry'!C17</f>
        <v>97</v>
      </c>
    </row>
    <row r="55" spans="1:9" x14ac:dyDescent="0.25">
      <c r="A55" s="64" t="s">
        <v>162</v>
      </c>
      <c r="B55" s="64"/>
      <c r="C55" s="64"/>
      <c r="D55" s="64"/>
      <c r="E55" s="64"/>
      <c r="F55" s="10" t="s">
        <v>12</v>
      </c>
      <c r="G55" s="7"/>
      <c r="H55" s="29">
        <f>+'Data Entry'!C18</f>
        <v>97</v>
      </c>
    </row>
    <row r="56" spans="1:9" x14ac:dyDescent="0.25">
      <c r="A56" s="64" t="s">
        <v>163</v>
      </c>
      <c r="B56" s="64"/>
      <c r="C56" s="64"/>
      <c r="D56" s="64"/>
      <c r="E56" s="64"/>
      <c r="F56" s="10" t="s">
        <v>14</v>
      </c>
      <c r="G56" s="7"/>
      <c r="H56" s="27">
        <f>+'Data Entry'!C19</f>
        <v>5.4000000000000003E-3</v>
      </c>
    </row>
    <row r="57" spans="1:9" x14ac:dyDescent="0.25">
      <c r="A57" s="64" t="s">
        <v>164</v>
      </c>
      <c r="B57" s="64"/>
      <c r="C57" s="64"/>
      <c r="D57" s="64"/>
      <c r="E57" s="64"/>
      <c r="F57" s="10" t="s">
        <v>17</v>
      </c>
      <c r="G57" s="7"/>
      <c r="H57" s="27">
        <f>+'Data Entry'!C20</f>
        <v>3.09E-2</v>
      </c>
    </row>
    <row r="58" spans="1:9" x14ac:dyDescent="0.25">
      <c r="F58" s="69" t="s">
        <v>165</v>
      </c>
      <c r="G58" s="7"/>
      <c r="H58" s="29">
        <f>+'Data Entry'!D103</f>
        <v>4.6500000000000004</v>
      </c>
    </row>
    <row r="59" spans="1:9" x14ac:dyDescent="0.25">
      <c r="F59" s="69" t="s">
        <v>166</v>
      </c>
      <c r="G59" s="7"/>
      <c r="H59" s="29">
        <f>+'Data Entry'!E20</f>
        <v>4.8000000000000001E-2</v>
      </c>
    </row>
    <row r="60" spans="1:9" x14ac:dyDescent="0.25">
      <c r="F60" s="319" t="s">
        <v>568</v>
      </c>
      <c r="G60" s="7"/>
      <c r="H60" s="29">
        <f>+'Data Entry'!D113</f>
        <v>3.77</v>
      </c>
    </row>
    <row r="61" spans="1:9" x14ac:dyDescent="0.25">
      <c r="F61" s="69" t="s">
        <v>167</v>
      </c>
      <c r="G61" s="7"/>
      <c r="H61" s="27">
        <f>+'Data Entry'!C21</f>
        <v>0.06</v>
      </c>
    </row>
  </sheetData>
  <phoneticPr fontId="28" type="noConversion"/>
  <pageMargins left="0.75" right="0.25" top="0.25" bottom="0.25" header="0.5" footer="0.22"/>
  <pageSetup scale="95" orientation="portrait" horizontalDpi="300" verticalDpi="300" r:id="rId1"/>
  <headerFooter alignWithMargins="0">
    <oddFooter>&amp;L&amp;F&amp;C&amp;D &amp;T&amp;R&amp;A</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1"/>
  <sheetViews>
    <sheetView workbookViewId="0">
      <selection activeCell="A2" sqref="A1:A2"/>
    </sheetView>
  </sheetViews>
  <sheetFormatPr defaultRowHeight="13.2" x14ac:dyDescent="0.25"/>
  <cols>
    <col min="6" max="8" width="15.6640625" customWidth="1"/>
  </cols>
  <sheetData>
    <row r="1" spans="1:8" x14ac:dyDescent="0.25">
      <c r="A1" s="773" t="s">
        <v>938</v>
      </c>
    </row>
    <row r="2" spans="1:8" x14ac:dyDescent="0.25">
      <c r="A2" s="773" t="s">
        <v>923</v>
      </c>
    </row>
    <row r="4" spans="1:8" ht="17.399999999999999" x14ac:dyDescent="0.3">
      <c r="A4" s="2" t="str">
        <f>'70wOH5'!A4</f>
        <v>2016 Cost of Service</v>
      </c>
    </row>
    <row r="5" spans="1:8" x14ac:dyDescent="0.25">
      <c r="A5" s="4"/>
      <c r="B5" s="4"/>
      <c r="C5" s="4"/>
      <c r="D5" s="4"/>
      <c r="E5" s="4"/>
      <c r="F5" s="14" t="s">
        <v>173</v>
      </c>
      <c r="G5" s="14" t="s">
        <v>173</v>
      </c>
      <c r="H5" s="14"/>
    </row>
    <row r="6" spans="1:8" x14ac:dyDescent="0.25">
      <c r="A6" s="12" t="s">
        <v>125</v>
      </c>
      <c r="B6" s="12"/>
      <c r="C6" s="12"/>
      <c r="D6" s="12"/>
      <c r="E6" s="12"/>
      <c r="F6" s="14" t="s">
        <v>126</v>
      </c>
      <c r="G6" s="14" t="s">
        <v>126</v>
      </c>
      <c r="H6" s="14"/>
    </row>
    <row r="7" spans="1:8" x14ac:dyDescent="0.25">
      <c r="A7" s="12"/>
      <c r="B7" s="12"/>
      <c r="C7" s="12"/>
      <c r="D7" s="12"/>
      <c r="E7" s="12"/>
      <c r="F7" s="14" t="s">
        <v>168</v>
      </c>
      <c r="G7" s="14" t="s">
        <v>169</v>
      </c>
      <c r="H7" s="14"/>
    </row>
    <row r="8" spans="1:8" x14ac:dyDescent="0.25">
      <c r="A8" s="12"/>
      <c r="B8" s="12"/>
      <c r="C8" s="12"/>
      <c r="D8" s="12"/>
      <c r="E8" s="12"/>
      <c r="F8" s="15" t="s">
        <v>170</v>
      </c>
      <c r="G8" s="15" t="s">
        <v>170</v>
      </c>
      <c r="H8" s="30"/>
    </row>
    <row r="9" spans="1:8" x14ac:dyDescent="0.25">
      <c r="A9" s="12" t="s">
        <v>131</v>
      </c>
      <c r="B9" s="13"/>
      <c r="C9" s="13"/>
      <c r="D9" s="13"/>
      <c r="E9" s="13"/>
      <c r="F9" s="6"/>
      <c r="G9" s="6"/>
      <c r="H9" s="6"/>
    </row>
    <row r="10" spans="1:8" x14ac:dyDescent="0.25">
      <c r="A10" s="13" t="s">
        <v>464</v>
      </c>
      <c r="B10" s="13"/>
      <c r="C10" s="13"/>
      <c r="D10" s="13"/>
      <c r="E10" s="13"/>
      <c r="F10" s="16">
        <v>117</v>
      </c>
      <c r="G10" s="16">
        <v>117</v>
      </c>
      <c r="H10" s="16"/>
    </row>
    <row r="11" spans="1:8" x14ac:dyDescent="0.25">
      <c r="A11" s="13" t="s">
        <v>133</v>
      </c>
      <c r="B11" s="13"/>
      <c r="C11" s="13"/>
      <c r="D11" s="13"/>
      <c r="E11" s="13"/>
      <c r="F11" s="235">
        <f>TRUNC(+F10*(1/12)*4.24)</f>
        <v>41</v>
      </c>
      <c r="G11" s="235">
        <f>TRUNC(+G10*(1/12)*4.24)</f>
        <v>41</v>
      </c>
      <c r="H11" s="17"/>
    </row>
    <row r="12" spans="1:8" x14ac:dyDescent="0.25">
      <c r="A12" s="13" t="s">
        <v>134</v>
      </c>
      <c r="B12" s="13"/>
      <c r="C12" s="13"/>
      <c r="D12" s="13"/>
      <c r="E12" s="13"/>
      <c r="F12" s="16">
        <v>60</v>
      </c>
      <c r="G12" s="16">
        <v>60</v>
      </c>
      <c r="H12" s="16"/>
    </row>
    <row r="13" spans="1:8" x14ac:dyDescent="0.25">
      <c r="A13" s="13"/>
      <c r="B13" s="13"/>
      <c r="C13" s="13"/>
      <c r="D13" s="13"/>
      <c r="E13" s="13"/>
      <c r="F13" s="18"/>
      <c r="G13" s="18"/>
      <c r="H13" s="18"/>
    </row>
    <row r="14" spans="1:8" x14ac:dyDescent="0.25">
      <c r="A14" s="12" t="s">
        <v>135</v>
      </c>
      <c r="B14" s="13"/>
      <c r="C14" s="13"/>
      <c r="D14" s="13"/>
      <c r="E14" s="13"/>
      <c r="F14" s="18"/>
      <c r="G14" s="18"/>
      <c r="H14" s="18"/>
    </row>
    <row r="15" spans="1:8" x14ac:dyDescent="0.25">
      <c r="A15" s="13" t="s">
        <v>136</v>
      </c>
      <c r="B15" s="13"/>
      <c r="C15" s="13"/>
      <c r="D15" s="13"/>
      <c r="E15" s="13"/>
      <c r="F15" s="19">
        <f>+'36'!G21</f>
        <v>121.44986270000001</v>
      </c>
      <c r="G15" s="19">
        <f>+'36'!G42</f>
        <v>118.08046870000001</v>
      </c>
      <c r="H15" s="19"/>
    </row>
    <row r="16" spans="1:8" x14ac:dyDescent="0.25">
      <c r="A16" s="13" t="s">
        <v>428</v>
      </c>
      <c r="B16" s="13"/>
      <c r="C16" s="13"/>
      <c r="D16" s="13"/>
      <c r="E16" s="13"/>
      <c r="F16" s="19">
        <f>+F15*$H$56/2</f>
        <v>0.32791462929000004</v>
      </c>
      <c r="G16" s="19">
        <f>+G15*$H$56/2</f>
        <v>0.31881726549000006</v>
      </c>
      <c r="H16" s="19"/>
    </row>
    <row r="17" spans="1:8" x14ac:dyDescent="0.25">
      <c r="A17" s="13" t="s">
        <v>137</v>
      </c>
      <c r="B17" s="13"/>
      <c r="C17" s="13"/>
      <c r="D17" s="13"/>
      <c r="E17" s="13"/>
      <c r="F17" s="19">
        <f>+'67'!H39</f>
        <v>43.650000000000006</v>
      </c>
      <c r="G17" s="19">
        <f>+'67'!H39</f>
        <v>43.650000000000006</v>
      </c>
      <c r="H17" s="19"/>
    </row>
    <row r="18" spans="1:8" x14ac:dyDescent="0.25">
      <c r="A18" s="13" t="s">
        <v>427</v>
      </c>
      <c r="B18" s="13"/>
      <c r="C18" s="13"/>
      <c r="D18" s="13"/>
      <c r="E18" s="13"/>
      <c r="F18" s="232">
        <f>+F17*$H$57/2</f>
        <v>0.67439250000000006</v>
      </c>
      <c r="G18" s="232">
        <f>+G17*$H$57/2</f>
        <v>0.67439250000000006</v>
      </c>
      <c r="H18" s="19"/>
    </row>
    <row r="19" spans="1:8" x14ac:dyDescent="0.25">
      <c r="A19" s="13"/>
      <c r="B19" s="13"/>
      <c r="C19" s="13"/>
      <c r="D19" s="13"/>
      <c r="E19" s="13"/>
      <c r="F19" s="19">
        <f>SUM(F15:F18)</f>
        <v>166.10216982929003</v>
      </c>
      <c r="G19" s="19">
        <f>SUM(G15:G18)</f>
        <v>162.72367846549002</v>
      </c>
      <c r="H19" s="19"/>
    </row>
    <row r="20" spans="1:8" ht="13.8" thickBot="1" x14ac:dyDescent="0.3">
      <c r="A20" s="13" t="s">
        <v>426</v>
      </c>
      <c r="B20" s="13"/>
      <c r="C20" s="13"/>
      <c r="D20" s="13"/>
      <c r="E20" s="13"/>
      <c r="F20" s="19">
        <f>+F19*$H$52</f>
        <v>42.223171570605523</v>
      </c>
      <c r="G20" s="19">
        <f>+G19*$H$52</f>
        <v>41.364359065927559</v>
      </c>
      <c r="H20" s="19"/>
    </row>
    <row r="21" spans="1:8" ht="13.8" thickBot="1" x14ac:dyDescent="0.3">
      <c r="A21" s="12" t="s">
        <v>138</v>
      </c>
      <c r="B21" s="13"/>
      <c r="C21" s="13"/>
      <c r="D21" s="13"/>
      <c r="E21" s="13"/>
      <c r="F21" s="480">
        <f>SUM(F19:F20)</f>
        <v>208.32534139989556</v>
      </c>
      <c r="G21" s="482">
        <f>SUM(G19:G20)</f>
        <v>204.08803753141757</v>
      </c>
      <c r="H21" s="21"/>
    </row>
    <row r="22" spans="1:8" x14ac:dyDescent="0.25">
      <c r="A22" s="13"/>
      <c r="B22" s="13"/>
      <c r="C22" s="13"/>
      <c r="D22" s="13"/>
      <c r="E22" s="13"/>
      <c r="F22" s="19"/>
      <c r="G22" s="19"/>
      <c r="H22" s="19"/>
    </row>
    <row r="23" spans="1:8" x14ac:dyDescent="0.25">
      <c r="A23" s="13" t="s">
        <v>139</v>
      </c>
      <c r="B23" s="13"/>
      <c r="C23" s="13"/>
      <c r="D23" s="13"/>
      <c r="E23" s="13"/>
      <c r="F23" s="19"/>
      <c r="G23" s="19"/>
      <c r="H23" s="19"/>
    </row>
    <row r="24" spans="1:8" x14ac:dyDescent="0.25">
      <c r="A24" s="13" t="s">
        <v>140</v>
      </c>
      <c r="B24" s="13"/>
      <c r="C24" s="13"/>
      <c r="D24" s="13"/>
      <c r="E24" s="13"/>
      <c r="F24" s="19">
        <f>+H58*(1+$H$61)*(1+$H$53)+H59</f>
        <v>5.2697826000000001</v>
      </c>
      <c r="G24" s="19">
        <f>+F24</f>
        <v>5.2697826000000001</v>
      </c>
      <c r="H24" s="19"/>
    </row>
    <row r="25" spans="1:8" x14ac:dyDescent="0.25">
      <c r="A25" s="277" t="s">
        <v>567</v>
      </c>
      <c r="B25" s="13"/>
      <c r="C25" s="13"/>
      <c r="D25" s="13"/>
      <c r="E25" s="13"/>
      <c r="F25" s="19">
        <f>+$H$60*(1+$H$61)*(1+$H$53)</f>
        <v>4.23357428</v>
      </c>
      <c r="G25" s="19">
        <f>+$H$60*(1+$H$61)*(1+$H$53)</f>
        <v>4.23357428</v>
      </c>
      <c r="H25" s="19"/>
    </row>
    <row r="26" spans="1:8" x14ac:dyDescent="0.25">
      <c r="A26" s="13" t="s">
        <v>429</v>
      </c>
      <c r="B26" s="13"/>
      <c r="C26" s="13"/>
      <c r="D26" s="13"/>
      <c r="E26" s="13"/>
      <c r="F26" s="19">
        <f>+F24*$H$56/2</f>
        <v>1.422841302E-2</v>
      </c>
      <c r="G26" s="19">
        <f>+G24*$H$56/2</f>
        <v>1.422841302E-2</v>
      </c>
      <c r="H26" s="19"/>
    </row>
    <row r="27" spans="1:8" x14ac:dyDescent="0.25">
      <c r="A27" s="13" t="s">
        <v>141</v>
      </c>
      <c r="B27" s="13"/>
      <c r="C27" s="13"/>
      <c r="D27" s="13"/>
      <c r="E27" s="13"/>
      <c r="F27" s="19">
        <f>+$H$55</f>
        <v>97</v>
      </c>
      <c r="G27" s="19">
        <f>+$H$55</f>
        <v>97</v>
      </c>
      <c r="H27" s="19"/>
    </row>
    <row r="28" spans="1:8" x14ac:dyDescent="0.25">
      <c r="A28" s="13" t="s">
        <v>430</v>
      </c>
      <c r="B28" s="13"/>
      <c r="C28" s="13"/>
      <c r="D28" s="13"/>
      <c r="E28" s="13"/>
      <c r="F28" s="20">
        <f>+F27*$H$57/2</f>
        <v>1.49865</v>
      </c>
      <c r="G28" s="20">
        <f>+G27*$H$57/2</f>
        <v>1.49865</v>
      </c>
      <c r="H28" s="19"/>
    </row>
    <row r="29" spans="1:8" x14ac:dyDescent="0.25">
      <c r="A29" s="12" t="s">
        <v>467</v>
      </c>
      <c r="B29" s="13"/>
      <c r="C29" s="13"/>
      <c r="D29" s="13"/>
      <c r="E29" s="13"/>
      <c r="F29" s="22">
        <f>SUM(F24:F28)</f>
        <v>108.01623529302</v>
      </c>
      <c r="G29" s="22">
        <f>SUM(G24:G28)</f>
        <v>108.01623529302</v>
      </c>
      <c r="H29" s="22"/>
    </row>
    <row r="30" spans="1:8" x14ac:dyDescent="0.25">
      <c r="A30" s="12" t="s">
        <v>143</v>
      </c>
      <c r="B30" s="13"/>
      <c r="C30" s="13"/>
      <c r="D30" s="13"/>
      <c r="E30" s="13"/>
      <c r="F30" s="22">
        <f>+F29/F12</f>
        <v>1.800270588217</v>
      </c>
      <c r="G30" s="22">
        <f>+G29/G12</f>
        <v>1.800270588217</v>
      </c>
      <c r="H30" s="22"/>
    </row>
    <row r="31" spans="1:8" x14ac:dyDescent="0.25">
      <c r="A31" s="13"/>
      <c r="B31" s="13"/>
      <c r="C31" s="13"/>
      <c r="D31" s="13"/>
      <c r="E31" s="13"/>
      <c r="F31" s="19"/>
      <c r="G31" s="19"/>
      <c r="H31" s="19"/>
    </row>
    <row r="32" spans="1:8" x14ac:dyDescent="0.25">
      <c r="A32" s="12" t="s">
        <v>144</v>
      </c>
      <c r="B32" s="13"/>
      <c r="C32" s="13"/>
      <c r="D32" s="13"/>
      <c r="E32" s="13"/>
      <c r="F32" s="19"/>
      <c r="G32" s="19"/>
      <c r="H32" s="19"/>
    </row>
    <row r="33" spans="1:8" x14ac:dyDescent="0.25">
      <c r="A33" s="13" t="s">
        <v>145</v>
      </c>
      <c r="B33" s="13"/>
      <c r="C33" s="13"/>
      <c r="D33" s="13"/>
      <c r="E33" s="13"/>
      <c r="F33" s="239">
        <f>ROUND(+$H$46*0.083333*F21*$H$47,2)</f>
        <v>2.65</v>
      </c>
      <c r="G33" s="239">
        <f>ROUND(+$H$46*0.083333*G21*$H$47,2)</f>
        <v>2.6</v>
      </c>
      <c r="H33" s="19"/>
    </row>
    <row r="34" spans="1:8" x14ac:dyDescent="0.25">
      <c r="A34" s="13" t="s">
        <v>146</v>
      </c>
      <c r="B34" s="13"/>
      <c r="C34" s="13"/>
      <c r="D34" s="13"/>
      <c r="E34" s="13"/>
      <c r="F34" s="239">
        <f>ROUND(+$H$47*0.083333*F21*$H$49,2)</f>
        <v>0.76</v>
      </c>
      <c r="G34" s="239">
        <f>ROUND(+$H$47*0.083333*G21*$H$49,2)</f>
        <v>0.74</v>
      </c>
      <c r="H34" s="19"/>
    </row>
    <row r="35" spans="1:8" x14ac:dyDescent="0.25">
      <c r="A35" s="13" t="s">
        <v>147</v>
      </c>
      <c r="B35" s="13"/>
      <c r="C35" s="13"/>
      <c r="D35" s="13"/>
      <c r="E35" s="13"/>
      <c r="F35" s="239">
        <f>ROUND(+F30*$H$47,2)</f>
        <v>1.8</v>
      </c>
      <c r="G35" s="239">
        <f>ROUND(+G30*$H$47,2)</f>
        <v>1.8</v>
      </c>
      <c r="H35" s="19"/>
    </row>
    <row r="36" spans="1:8" x14ac:dyDescent="0.25">
      <c r="A36" s="13" t="s">
        <v>148</v>
      </c>
      <c r="B36" s="13"/>
      <c r="C36" s="13"/>
      <c r="D36" s="13"/>
      <c r="E36" s="13"/>
      <c r="F36" s="232">
        <f>ROUND(+$H$51*F11,2)</f>
        <v>1.0900000000000001</v>
      </c>
      <c r="G36" s="232">
        <f>ROUND(+$H$51*G11,2)</f>
        <v>1.0900000000000001</v>
      </c>
      <c r="H36" s="19"/>
    </row>
    <row r="37" spans="1:8" x14ac:dyDescent="0.25">
      <c r="A37" s="12" t="s">
        <v>149</v>
      </c>
      <c r="B37" s="13"/>
      <c r="C37" s="13"/>
      <c r="D37" s="13"/>
      <c r="E37" s="13"/>
      <c r="F37" s="22">
        <f>SUM(F33:F36)</f>
        <v>6.3</v>
      </c>
      <c r="G37" s="22">
        <f>SUM(G33:G36)</f>
        <v>6.2299999999999995</v>
      </c>
      <c r="H37" s="22"/>
    </row>
    <row r="38" spans="1:8" x14ac:dyDescent="0.25">
      <c r="A38" s="13"/>
      <c r="B38" s="13"/>
      <c r="C38" s="13"/>
      <c r="D38" s="13"/>
      <c r="E38" s="13"/>
      <c r="F38" s="19"/>
      <c r="G38" s="19"/>
      <c r="H38" s="19"/>
    </row>
    <row r="39" spans="1:8" x14ac:dyDescent="0.25">
      <c r="A39" s="12" t="s">
        <v>150</v>
      </c>
      <c r="B39" s="13"/>
      <c r="C39" s="13"/>
      <c r="D39" s="13"/>
      <c r="E39" s="13"/>
      <c r="F39" s="19"/>
      <c r="G39" s="19"/>
      <c r="H39" s="19"/>
    </row>
    <row r="40" spans="1:8" x14ac:dyDescent="0.25">
      <c r="A40" s="13" t="s">
        <v>145</v>
      </c>
      <c r="B40" s="13"/>
      <c r="C40" s="13"/>
      <c r="D40" s="13"/>
      <c r="E40" s="13"/>
      <c r="F40" s="19">
        <f>+F33</f>
        <v>2.65</v>
      </c>
      <c r="G40" s="19">
        <f>+G33</f>
        <v>2.6</v>
      </c>
      <c r="H40" s="19"/>
    </row>
    <row r="41" spans="1:8" x14ac:dyDescent="0.25">
      <c r="A41" s="13" t="s">
        <v>151</v>
      </c>
      <c r="B41" s="13"/>
      <c r="C41" s="13"/>
      <c r="D41" s="13"/>
      <c r="E41" s="13"/>
      <c r="F41" s="239">
        <f>ROUND(+$H$47*0.083333*F21*$H$50,2)</f>
        <v>0.69</v>
      </c>
      <c r="G41" s="239">
        <f>ROUND(+$H$47*0.083333*G21*$H$50,2)</f>
        <v>0.68</v>
      </c>
      <c r="H41" s="19"/>
    </row>
    <row r="42" spans="1:8" x14ac:dyDescent="0.25">
      <c r="A42" s="13" t="s">
        <v>147</v>
      </c>
      <c r="B42" s="13"/>
      <c r="C42" s="13"/>
      <c r="D42" s="13"/>
      <c r="E42" s="13"/>
      <c r="F42" s="239">
        <f>ROUND(+F30*$H$47,2)</f>
        <v>1.8</v>
      </c>
      <c r="G42" s="239">
        <f>ROUND(+G30*$H$47,2)</f>
        <v>1.8</v>
      </c>
      <c r="H42" s="19"/>
    </row>
    <row r="43" spans="1:8" x14ac:dyDescent="0.25">
      <c r="A43" s="13" t="s">
        <v>148</v>
      </c>
      <c r="B43" s="13"/>
      <c r="C43" s="13"/>
      <c r="D43" s="13"/>
      <c r="E43" s="13"/>
      <c r="F43" s="232">
        <f>+$I$51*F11</f>
        <v>1.0971599999999999</v>
      </c>
      <c r="G43" s="232">
        <f>+$I$51*G11</f>
        <v>1.0971599999999999</v>
      </c>
      <c r="H43" s="19"/>
    </row>
    <row r="44" spans="1:8" x14ac:dyDescent="0.25">
      <c r="A44" s="12" t="s">
        <v>149</v>
      </c>
      <c r="B44" s="13"/>
      <c r="C44" s="13"/>
      <c r="D44" s="13"/>
      <c r="E44" s="13"/>
      <c r="F44" s="22">
        <f>SUM(F40:F43)</f>
        <v>6.2371599999999994</v>
      </c>
      <c r="G44" s="22">
        <f>SUM(G40:G43)</f>
        <v>6.1771599999999998</v>
      </c>
      <c r="H44" s="22"/>
    </row>
    <row r="46" spans="1:8" x14ac:dyDescent="0.25">
      <c r="A46" s="64" t="s">
        <v>466</v>
      </c>
      <c r="B46" s="64"/>
      <c r="C46" s="64"/>
      <c r="D46" s="64"/>
      <c r="E46" s="64"/>
      <c r="F46" s="9" t="s">
        <v>152</v>
      </c>
      <c r="G46" s="8"/>
      <c r="H46" s="23">
        <f>+'Data Entry'!C9</f>
        <v>0.15265000000000001</v>
      </c>
    </row>
    <row r="47" spans="1:8" x14ac:dyDescent="0.25">
      <c r="A47" s="64" t="s">
        <v>153</v>
      </c>
      <c r="B47" s="64"/>
      <c r="C47" s="64"/>
      <c r="D47" s="64"/>
      <c r="E47" s="64"/>
      <c r="F47" s="10" t="s">
        <v>3</v>
      </c>
      <c r="G47" s="7"/>
      <c r="H47" s="24">
        <f>+'Data Entry'!C10</f>
        <v>1.0007205187735171</v>
      </c>
    </row>
    <row r="48" spans="1:8" x14ac:dyDescent="0.25">
      <c r="A48" s="64" t="s">
        <v>154</v>
      </c>
      <c r="B48" s="64"/>
      <c r="C48" s="64"/>
      <c r="D48" s="64"/>
      <c r="E48" s="64"/>
      <c r="F48" s="11" t="s">
        <v>4</v>
      </c>
      <c r="H48" s="25"/>
    </row>
    <row r="49" spans="1:9" x14ac:dyDescent="0.25">
      <c r="A49" s="64" t="s">
        <v>155</v>
      </c>
      <c r="B49" s="64"/>
      <c r="C49" s="64"/>
      <c r="D49" s="64"/>
      <c r="E49" s="64"/>
      <c r="F49" s="11" t="s">
        <v>5</v>
      </c>
      <c r="H49" s="26">
        <f>+'Data Entry'!C12</f>
        <v>4.36E-2</v>
      </c>
    </row>
    <row r="50" spans="1:9" x14ac:dyDescent="0.25">
      <c r="A50" s="64" t="s">
        <v>156</v>
      </c>
      <c r="B50" s="64"/>
      <c r="C50" s="64"/>
      <c r="D50" s="64"/>
      <c r="E50" s="64"/>
      <c r="F50" s="10" t="s">
        <v>6</v>
      </c>
      <c r="G50" s="7"/>
      <c r="H50" s="27">
        <f>+'Data Entry'!C13</f>
        <v>3.9780000000000003E-2</v>
      </c>
      <c r="I50" s="236" t="s">
        <v>504</v>
      </c>
    </row>
    <row r="51" spans="1:9" x14ac:dyDescent="0.25">
      <c r="A51" s="64" t="s">
        <v>157</v>
      </c>
      <c r="B51" s="64"/>
      <c r="C51" s="64"/>
      <c r="D51" s="64"/>
      <c r="E51" s="64"/>
      <c r="F51" s="10" t="s">
        <v>7</v>
      </c>
      <c r="G51" s="7"/>
      <c r="H51" s="237">
        <f>+'Data Entry'!C14</f>
        <v>2.6519999999999998E-2</v>
      </c>
      <c r="I51" s="238">
        <f>+'Data Entry'!D14</f>
        <v>2.6759999999999999E-2</v>
      </c>
    </row>
    <row r="52" spans="1:9" x14ac:dyDescent="0.25">
      <c r="A52" s="64" t="s">
        <v>158</v>
      </c>
      <c r="B52" s="64"/>
      <c r="C52" s="64"/>
      <c r="D52" s="64"/>
      <c r="E52" s="64"/>
      <c r="F52" s="10" t="s">
        <v>8</v>
      </c>
      <c r="G52" s="7"/>
      <c r="H52" s="27">
        <f>+'Data Entry'!C15</f>
        <v>0.25419999999999998</v>
      </c>
    </row>
    <row r="53" spans="1:9" x14ac:dyDescent="0.25">
      <c r="A53" s="64" t="s">
        <v>159</v>
      </c>
      <c r="B53" s="64"/>
      <c r="C53" s="64"/>
      <c r="D53" s="64"/>
      <c r="E53" s="64"/>
      <c r="F53" s="10" t="s">
        <v>9</v>
      </c>
      <c r="G53" s="7"/>
      <c r="H53" s="27">
        <f>+'Data Entry'!C16</f>
        <v>5.9400000000000001E-2</v>
      </c>
    </row>
    <row r="54" spans="1:9" x14ac:dyDescent="0.25">
      <c r="A54" s="64" t="s">
        <v>160</v>
      </c>
      <c r="B54" s="64"/>
      <c r="C54" s="64"/>
      <c r="D54" s="64"/>
      <c r="E54" s="64"/>
      <c r="F54" s="10" t="s">
        <v>161</v>
      </c>
      <c r="G54" s="7"/>
      <c r="H54" s="29">
        <f>+'Data Entry'!C17</f>
        <v>97</v>
      </c>
    </row>
    <row r="55" spans="1:9" x14ac:dyDescent="0.25">
      <c r="A55" s="64" t="s">
        <v>162</v>
      </c>
      <c r="B55" s="64"/>
      <c r="C55" s="64"/>
      <c r="D55" s="64"/>
      <c r="E55" s="64"/>
      <c r="F55" s="10" t="s">
        <v>12</v>
      </c>
      <c r="G55" s="7"/>
      <c r="H55" s="29">
        <f>+'Data Entry'!C18</f>
        <v>97</v>
      </c>
    </row>
    <row r="56" spans="1:9" x14ac:dyDescent="0.25">
      <c r="A56" s="64" t="s">
        <v>163</v>
      </c>
      <c r="B56" s="64"/>
      <c r="C56" s="64"/>
      <c r="D56" s="64"/>
      <c r="E56" s="64"/>
      <c r="F56" s="10" t="s">
        <v>14</v>
      </c>
      <c r="G56" s="7"/>
      <c r="H56" s="27">
        <f>+'Data Entry'!C19</f>
        <v>5.4000000000000003E-3</v>
      </c>
    </row>
    <row r="57" spans="1:9" x14ac:dyDescent="0.25">
      <c r="A57" s="64" t="s">
        <v>164</v>
      </c>
      <c r="B57" s="64"/>
      <c r="C57" s="64"/>
      <c r="D57" s="64"/>
      <c r="E57" s="64"/>
      <c r="F57" s="10" t="s">
        <v>17</v>
      </c>
      <c r="G57" s="7"/>
      <c r="H57" s="27">
        <f>+'Data Entry'!C20</f>
        <v>3.09E-2</v>
      </c>
    </row>
    <row r="58" spans="1:9" x14ac:dyDescent="0.25">
      <c r="F58" s="69" t="s">
        <v>165</v>
      </c>
      <c r="G58" s="7"/>
      <c r="H58" s="29">
        <f>+'Data Entry'!D103</f>
        <v>4.6500000000000004</v>
      </c>
    </row>
    <row r="59" spans="1:9" x14ac:dyDescent="0.25">
      <c r="F59" s="69" t="s">
        <v>166</v>
      </c>
      <c r="G59" s="7"/>
      <c r="H59" s="29">
        <f>+'Data Entry'!E20</f>
        <v>4.8000000000000001E-2</v>
      </c>
    </row>
    <row r="60" spans="1:9" x14ac:dyDescent="0.25">
      <c r="F60" s="319" t="s">
        <v>568</v>
      </c>
      <c r="G60" s="7"/>
      <c r="H60" s="29">
        <f>+'Data Entry'!D113</f>
        <v>3.77</v>
      </c>
    </row>
    <row r="61" spans="1:9" x14ac:dyDescent="0.25">
      <c r="F61" s="69" t="s">
        <v>167</v>
      </c>
      <c r="G61" s="7"/>
      <c r="H61" s="27">
        <f>+'Data Entry'!C21</f>
        <v>0.06</v>
      </c>
    </row>
  </sheetData>
  <phoneticPr fontId="28" type="noConversion"/>
  <pageMargins left="0.75" right="0.25" top="0.25" bottom="0.25" header="0.5" footer="0.22"/>
  <pageSetup scale="95" orientation="portrait" horizontalDpi="300" verticalDpi="300" r:id="rId1"/>
  <headerFooter alignWithMargins="0">
    <oddFooter>&amp;R&amp;A</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1"/>
  <sheetViews>
    <sheetView workbookViewId="0">
      <selection activeCell="A2" sqref="A1:A2"/>
    </sheetView>
  </sheetViews>
  <sheetFormatPr defaultRowHeight="13.2" x14ac:dyDescent="0.25"/>
  <cols>
    <col min="6" max="8" width="15.6640625" customWidth="1"/>
  </cols>
  <sheetData>
    <row r="1" spans="1:8" x14ac:dyDescent="0.25">
      <c r="A1" s="773" t="s">
        <v>939</v>
      </c>
    </row>
    <row r="2" spans="1:8" x14ac:dyDescent="0.25">
      <c r="A2" s="773" t="s">
        <v>923</v>
      </c>
    </row>
    <row r="4" spans="1:8" ht="17.399999999999999" x14ac:dyDescent="0.3">
      <c r="A4" s="2" t="str">
        <f>'70wOH5'!A4</f>
        <v>2016 Cost of Service</v>
      </c>
    </row>
    <row r="5" spans="1:8" x14ac:dyDescent="0.25">
      <c r="A5" s="4"/>
      <c r="B5" s="4"/>
      <c r="C5" s="4"/>
      <c r="D5" s="4"/>
      <c r="E5" s="4"/>
      <c r="F5" s="14" t="s">
        <v>179</v>
      </c>
      <c r="G5" s="14" t="s">
        <v>179</v>
      </c>
      <c r="H5" s="14" t="s">
        <v>179</v>
      </c>
    </row>
    <row r="6" spans="1:8" x14ac:dyDescent="0.25">
      <c r="A6" s="12" t="s">
        <v>125</v>
      </c>
      <c r="B6" s="12"/>
      <c r="C6" s="12"/>
      <c r="D6" s="12"/>
      <c r="E6" s="12"/>
      <c r="F6" s="14" t="s">
        <v>126</v>
      </c>
      <c r="G6" s="14" t="s">
        <v>126</v>
      </c>
      <c r="H6" s="14" t="s">
        <v>126</v>
      </c>
    </row>
    <row r="7" spans="1:8" x14ac:dyDescent="0.25">
      <c r="A7" s="12"/>
      <c r="B7" s="12"/>
      <c r="C7" s="12"/>
      <c r="D7" s="12"/>
      <c r="E7" s="12"/>
      <c r="F7" s="14" t="s">
        <v>174</v>
      </c>
      <c r="G7" s="14" t="s">
        <v>127</v>
      </c>
      <c r="H7" s="14" t="s">
        <v>128</v>
      </c>
    </row>
    <row r="8" spans="1:8" x14ac:dyDescent="0.25">
      <c r="A8" s="12"/>
      <c r="B8" s="12"/>
      <c r="C8" s="12"/>
      <c r="D8" s="12"/>
      <c r="E8" s="12"/>
      <c r="F8" s="15" t="s">
        <v>175</v>
      </c>
      <c r="G8" s="15" t="s">
        <v>130</v>
      </c>
      <c r="H8" s="15" t="s">
        <v>130</v>
      </c>
    </row>
    <row r="9" spans="1:8" x14ac:dyDescent="0.25">
      <c r="A9" s="12" t="s">
        <v>131</v>
      </c>
      <c r="B9" s="13"/>
      <c r="C9" s="13"/>
      <c r="D9" s="13"/>
      <c r="E9" s="13"/>
      <c r="F9" s="6"/>
      <c r="G9" s="6"/>
      <c r="H9" s="6"/>
    </row>
    <row r="10" spans="1:8" x14ac:dyDescent="0.25">
      <c r="A10" s="13" t="s">
        <v>464</v>
      </c>
      <c r="B10" s="13"/>
      <c r="C10" s="13"/>
      <c r="D10" s="13"/>
      <c r="E10" s="13"/>
      <c r="F10" s="16">
        <v>172</v>
      </c>
      <c r="G10" s="16">
        <v>172</v>
      </c>
      <c r="H10" s="16">
        <v>172</v>
      </c>
    </row>
    <row r="11" spans="1:8" x14ac:dyDescent="0.25">
      <c r="A11" s="13" t="s">
        <v>133</v>
      </c>
      <c r="B11" s="13"/>
      <c r="C11" s="13"/>
      <c r="D11" s="13"/>
      <c r="E11" s="13"/>
      <c r="F11" s="17">
        <f>TRUNC(+F10*(1/12)*4.24)</f>
        <v>60</v>
      </c>
      <c r="G11" s="17">
        <f>TRUNC(+G10*(1/12)*4.24)</f>
        <v>60</v>
      </c>
      <c r="H11" s="17">
        <f>TRUNC(+H10*(1/12)*4.24)</f>
        <v>60</v>
      </c>
    </row>
    <row r="12" spans="1:8" x14ac:dyDescent="0.25">
      <c r="A12" s="13" t="s">
        <v>134</v>
      </c>
      <c r="B12" s="13"/>
      <c r="C12" s="13"/>
      <c r="D12" s="13"/>
      <c r="E12" s="13"/>
      <c r="F12" s="16">
        <v>60</v>
      </c>
      <c r="G12" s="16">
        <v>60</v>
      </c>
      <c r="H12" s="16">
        <v>60</v>
      </c>
    </row>
    <row r="13" spans="1:8" x14ac:dyDescent="0.25">
      <c r="A13" s="13"/>
      <c r="B13" s="13"/>
      <c r="C13" s="13"/>
      <c r="D13" s="13"/>
      <c r="E13" s="13"/>
      <c r="F13" s="18"/>
      <c r="G13" s="18"/>
      <c r="H13" s="18"/>
    </row>
    <row r="14" spans="1:8" x14ac:dyDescent="0.25">
      <c r="A14" s="12" t="s">
        <v>135</v>
      </c>
      <c r="B14" s="13"/>
      <c r="C14" s="13"/>
      <c r="D14" s="13"/>
      <c r="E14" s="13"/>
      <c r="F14" s="18"/>
      <c r="G14" s="18"/>
      <c r="H14" s="18"/>
    </row>
    <row r="15" spans="1:8" x14ac:dyDescent="0.25">
      <c r="A15" s="13" t="s">
        <v>136</v>
      </c>
      <c r="B15" s="13"/>
      <c r="C15" s="13"/>
      <c r="D15" s="13"/>
      <c r="E15" s="13"/>
      <c r="F15" s="19">
        <f>+'37'!G31</f>
        <v>94.551688159999983</v>
      </c>
      <c r="G15" s="19">
        <f>+'38'!G31</f>
        <v>116.69342015999997</v>
      </c>
      <c r="H15" s="19">
        <f>+'39'!G31</f>
        <v>117.61132815999999</v>
      </c>
    </row>
    <row r="16" spans="1:8" x14ac:dyDescent="0.25">
      <c r="A16" s="13" t="s">
        <v>428</v>
      </c>
      <c r="B16" s="13"/>
      <c r="C16" s="13"/>
      <c r="D16" s="13"/>
      <c r="E16" s="13"/>
      <c r="F16" s="19">
        <f>+F15*$H$56/2</f>
        <v>0.25528955803199999</v>
      </c>
      <c r="G16" s="19">
        <f>+G15*$H$56/2</f>
        <v>0.31507223443199994</v>
      </c>
      <c r="H16" s="19">
        <f>+H15*$H$56/2</f>
        <v>0.31755058603199998</v>
      </c>
    </row>
    <row r="17" spans="1:8" x14ac:dyDescent="0.25">
      <c r="A17" s="13" t="s">
        <v>137</v>
      </c>
      <c r="B17" s="13"/>
      <c r="C17" s="13"/>
      <c r="D17" s="13"/>
      <c r="E17" s="13"/>
      <c r="F17" s="19">
        <f>+'67'!H20</f>
        <v>100.88000000000002</v>
      </c>
      <c r="G17" s="19">
        <f>+'67'!H20</f>
        <v>100.88000000000002</v>
      </c>
      <c r="H17" s="19">
        <f>+'67'!H20</f>
        <v>100.88000000000002</v>
      </c>
    </row>
    <row r="18" spans="1:8" x14ac:dyDescent="0.25">
      <c r="A18" s="13" t="s">
        <v>427</v>
      </c>
      <c r="B18" s="13"/>
      <c r="C18" s="13"/>
      <c r="D18" s="13"/>
      <c r="E18" s="13"/>
      <c r="F18" s="232">
        <f>+F17*$H$57/2</f>
        <v>1.5585960000000003</v>
      </c>
      <c r="G18" s="232">
        <f>+G17*$H$57/2</f>
        <v>1.5585960000000003</v>
      </c>
      <c r="H18" s="232">
        <f>+H17*$H$57/2</f>
        <v>1.5585960000000003</v>
      </c>
    </row>
    <row r="19" spans="1:8" x14ac:dyDescent="0.25">
      <c r="A19" s="13"/>
      <c r="B19" s="13"/>
      <c r="C19" s="13"/>
      <c r="D19" s="13"/>
      <c r="E19" s="13"/>
      <c r="F19" s="19">
        <f>SUM(F15:F18)</f>
        <v>197.24557371803201</v>
      </c>
      <c r="G19" s="19">
        <f>SUM(G15:G18)</f>
        <v>219.44708839443197</v>
      </c>
      <c r="H19" s="19">
        <f>SUM(H15:H18)</f>
        <v>220.367474746032</v>
      </c>
    </row>
    <row r="20" spans="1:8" x14ac:dyDescent="0.25">
      <c r="A20" s="13" t="s">
        <v>426</v>
      </c>
      <c r="B20" s="13"/>
      <c r="C20" s="13"/>
      <c r="D20" s="13"/>
      <c r="E20" s="13"/>
      <c r="F20" s="20">
        <f>+F19*$H$52</f>
        <v>50.139824839123733</v>
      </c>
      <c r="G20" s="20">
        <f>+G19*$H$52</f>
        <v>55.783449869864604</v>
      </c>
      <c r="H20" s="20">
        <f>+H19*$H$52</f>
        <v>56.017412080441332</v>
      </c>
    </row>
    <row r="21" spans="1:8" x14ac:dyDescent="0.25">
      <c r="A21" s="12" t="s">
        <v>138</v>
      </c>
      <c r="B21" s="13"/>
      <c r="C21" s="13"/>
      <c r="D21" s="13"/>
      <c r="E21" s="13"/>
      <c r="F21" s="21">
        <f>SUM(F19:F20)</f>
        <v>247.38539855715572</v>
      </c>
      <c r="G21" s="21">
        <f>SUM(G19:G20)</f>
        <v>275.23053826429657</v>
      </c>
      <c r="H21" s="21">
        <f>SUM(H19:H20)</f>
        <v>276.38488682647335</v>
      </c>
    </row>
    <row r="22" spans="1:8" x14ac:dyDescent="0.25">
      <c r="A22" s="13"/>
      <c r="B22" s="13"/>
      <c r="C22" s="13"/>
      <c r="D22" s="13"/>
      <c r="E22" s="13"/>
      <c r="F22" s="19"/>
      <c r="G22" s="19"/>
      <c r="H22" s="19"/>
    </row>
    <row r="23" spans="1:8" x14ac:dyDescent="0.25">
      <c r="A23" s="13" t="s">
        <v>139</v>
      </c>
      <c r="B23" s="13"/>
      <c r="C23" s="13"/>
      <c r="D23" s="13"/>
      <c r="E23" s="13"/>
      <c r="F23" s="19"/>
      <c r="G23" s="19"/>
      <c r="H23" s="19"/>
    </row>
    <row r="24" spans="1:8" x14ac:dyDescent="0.25">
      <c r="A24" s="13" t="s">
        <v>140</v>
      </c>
      <c r="B24" s="13"/>
      <c r="C24" s="13"/>
      <c r="D24" s="13"/>
      <c r="E24" s="13"/>
      <c r="F24" s="19">
        <f>+H58*(1+$H$61)*(1+$H$53)+H59</f>
        <v>5.5280643200000004</v>
      </c>
      <c r="G24" s="19">
        <f>+F24</f>
        <v>5.5280643200000004</v>
      </c>
      <c r="H24" s="19">
        <f>+F24</f>
        <v>5.5280643200000004</v>
      </c>
    </row>
    <row r="25" spans="1:8" x14ac:dyDescent="0.25">
      <c r="A25" s="277" t="s">
        <v>567</v>
      </c>
      <c r="B25" s="13"/>
      <c r="C25" s="13"/>
      <c r="D25" s="13"/>
      <c r="E25" s="13"/>
      <c r="F25" s="19">
        <f>+$H$60*(1+$H$61)*(1+$H$53)</f>
        <v>4.23357428</v>
      </c>
      <c r="G25" s="19">
        <f>+$H$60*(1+$H$61)*(1+$H$53)</f>
        <v>4.23357428</v>
      </c>
      <c r="H25" s="19">
        <f>+$H$60*(1+$H$61)*(1+$H$53)</f>
        <v>4.23357428</v>
      </c>
    </row>
    <row r="26" spans="1:8" x14ac:dyDescent="0.25">
      <c r="A26" s="13" t="s">
        <v>429</v>
      </c>
      <c r="B26" s="13"/>
      <c r="C26" s="13"/>
      <c r="D26" s="13"/>
      <c r="E26" s="13"/>
      <c r="F26" s="19">
        <f>+F24*$H$56/2</f>
        <v>1.4925773664000002E-2</v>
      </c>
      <c r="G26" s="19">
        <f>+G24*$H$56/2</f>
        <v>1.4925773664000002E-2</v>
      </c>
      <c r="H26" s="19">
        <f>+H24*$H$56/2</f>
        <v>1.4925773664000002E-2</v>
      </c>
    </row>
    <row r="27" spans="1:8" x14ac:dyDescent="0.25">
      <c r="A27" s="13" t="s">
        <v>141</v>
      </c>
      <c r="B27" s="13"/>
      <c r="C27" s="13"/>
      <c r="D27" s="13"/>
      <c r="E27" s="13"/>
      <c r="F27" s="19">
        <f>+$H$55</f>
        <v>97</v>
      </c>
      <c r="G27" s="19">
        <f>+$H$55</f>
        <v>97</v>
      </c>
      <c r="H27" s="19">
        <f>+$H$55</f>
        <v>97</v>
      </c>
    </row>
    <row r="28" spans="1:8" x14ac:dyDescent="0.25">
      <c r="A28" s="13" t="s">
        <v>430</v>
      </c>
      <c r="B28" s="13"/>
      <c r="C28" s="13"/>
      <c r="D28" s="13"/>
      <c r="E28" s="13"/>
      <c r="F28" s="20">
        <f>+F27*$H$57/2</f>
        <v>1.49865</v>
      </c>
      <c r="G28" s="20">
        <f>+G27*$H$57/2</f>
        <v>1.49865</v>
      </c>
      <c r="H28" s="20">
        <f>+H27*$H$57/2</f>
        <v>1.49865</v>
      </c>
    </row>
    <row r="29" spans="1:8" x14ac:dyDescent="0.25">
      <c r="A29" s="12" t="s">
        <v>467</v>
      </c>
      <c r="B29" s="13"/>
      <c r="C29" s="13"/>
      <c r="D29" s="13"/>
      <c r="E29" s="13"/>
      <c r="F29" s="22">
        <f>SUM(F24:F28)</f>
        <v>108.275214373664</v>
      </c>
      <c r="G29" s="22">
        <f>SUM(G24:G28)</f>
        <v>108.275214373664</v>
      </c>
      <c r="H29" s="22">
        <f>SUM(H24:H28)</f>
        <v>108.275214373664</v>
      </c>
    </row>
    <row r="30" spans="1:8" x14ac:dyDescent="0.25">
      <c r="A30" s="12" t="s">
        <v>143</v>
      </c>
      <c r="B30" s="13"/>
      <c r="C30" s="13"/>
      <c r="D30" s="13"/>
      <c r="E30" s="13"/>
      <c r="F30" s="22">
        <f>+F29/F12</f>
        <v>1.8045869062277333</v>
      </c>
      <c r="G30" s="22">
        <f>+G29/G12</f>
        <v>1.8045869062277333</v>
      </c>
      <c r="H30" s="22">
        <f>+H29/H12</f>
        <v>1.8045869062277333</v>
      </c>
    </row>
    <row r="31" spans="1:8" x14ac:dyDescent="0.25">
      <c r="A31" s="13"/>
      <c r="B31" s="13"/>
      <c r="C31" s="13"/>
      <c r="D31" s="13"/>
      <c r="E31" s="13"/>
      <c r="F31" s="19"/>
      <c r="G31" s="19"/>
      <c r="H31" s="19"/>
    </row>
    <row r="32" spans="1:8" x14ac:dyDescent="0.25">
      <c r="A32" s="12" t="s">
        <v>144</v>
      </c>
      <c r="B32" s="13"/>
      <c r="C32" s="13"/>
      <c r="D32" s="13"/>
      <c r="E32" s="13"/>
      <c r="F32" s="19"/>
      <c r="G32" s="19"/>
      <c r="H32" s="19"/>
    </row>
    <row r="33" spans="1:8" x14ac:dyDescent="0.25">
      <c r="A33" s="13" t="s">
        <v>145</v>
      </c>
      <c r="B33" s="13"/>
      <c r="C33" s="13"/>
      <c r="D33" s="13"/>
      <c r="E33" s="13"/>
      <c r="F33" s="239">
        <f>ROUND(+$H$46*0.083333*F21*$H$47,2)</f>
        <v>3.15</v>
      </c>
      <c r="G33" s="239">
        <f>ROUND(+$H$46*0.083333*G21*$H$47,2)</f>
        <v>3.5</v>
      </c>
      <c r="H33" s="239">
        <f>ROUND(+$H$46*0.083333*H21*$H$47,2)</f>
        <v>3.52</v>
      </c>
    </row>
    <row r="34" spans="1:8" x14ac:dyDescent="0.25">
      <c r="A34" s="13" t="s">
        <v>146</v>
      </c>
      <c r="B34" s="13"/>
      <c r="C34" s="13"/>
      <c r="D34" s="13"/>
      <c r="E34" s="13"/>
      <c r="F34" s="239">
        <f>ROUND(+$H$47*0.083333*F21*$H$49,2)</f>
        <v>0.9</v>
      </c>
      <c r="G34" s="239">
        <f>ROUND(+$H$47*0.083333*G21*$H$49,2)</f>
        <v>1</v>
      </c>
      <c r="H34" s="239">
        <f>ROUND(+$H$47*0.083333*H21*$H$49,2)</f>
        <v>1</v>
      </c>
    </row>
    <row r="35" spans="1:8" x14ac:dyDescent="0.25">
      <c r="A35" s="13" t="s">
        <v>147</v>
      </c>
      <c r="B35" s="13"/>
      <c r="C35" s="13"/>
      <c r="D35" s="13"/>
      <c r="E35" s="13"/>
      <c r="F35" s="239">
        <f>ROUND(+F30*$H$47,2)</f>
        <v>1.81</v>
      </c>
      <c r="G35" s="239">
        <f>ROUND(+G30*$H$47,2)</f>
        <v>1.81</v>
      </c>
      <c r="H35" s="239">
        <f>ROUND(+H30*$H$47,2)</f>
        <v>1.81</v>
      </c>
    </row>
    <row r="36" spans="1:8" x14ac:dyDescent="0.25">
      <c r="A36" s="13" t="s">
        <v>148</v>
      </c>
      <c r="B36" s="13"/>
      <c r="C36" s="13"/>
      <c r="D36" s="13"/>
      <c r="E36" s="13"/>
      <c r="F36" s="232">
        <f>ROUND(+$H$51*F11,2)</f>
        <v>1.59</v>
      </c>
      <c r="G36" s="232">
        <f>ROUND(+$H$51*G11,2)</f>
        <v>1.59</v>
      </c>
      <c r="H36" s="232">
        <f>ROUND(+$H$51*H11,2)</f>
        <v>1.59</v>
      </c>
    </row>
    <row r="37" spans="1:8" x14ac:dyDescent="0.25">
      <c r="A37" s="12" t="s">
        <v>149</v>
      </c>
      <c r="B37" s="13"/>
      <c r="C37" s="13"/>
      <c r="D37" s="13"/>
      <c r="E37" s="13"/>
      <c r="F37" s="22">
        <f>SUM(F33:F36)</f>
        <v>7.4499999999999993</v>
      </c>
      <c r="G37" s="22">
        <f>SUM(G33:G36)</f>
        <v>7.9</v>
      </c>
      <c r="H37" s="22">
        <f>SUM(H33:H36)</f>
        <v>7.92</v>
      </c>
    </row>
    <row r="38" spans="1:8" x14ac:dyDescent="0.25">
      <c r="A38" s="13"/>
      <c r="B38" s="13"/>
      <c r="C38" s="13"/>
      <c r="D38" s="13"/>
      <c r="E38" s="13"/>
      <c r="F38" s="19"/>
      <c r="G38" s="19"/>
      <c r="H38" s="19"/>
    </row>
    <row r="39" spans="1:8" x14ac:dyDescent="0.25">
      <c r="A39" s="12" t="s">
        <v>150</v>
      </c>
      <c r="B39" s="13"/>
      <c r="C39" s="13"/>
      <c r="D39" s="13"/>
      <c r="E39" s="13"/>
      <c r="F39" s="19"/>
      <c r="G39" s="19"/>
      <c r="H39" s="19"/>
    </row>
    <row r="40" spans="1:8" x14ac:dyDescent="0.25">
      <c r="A40" s="13" t="s">
        <v>145</v>
      </c>
      <c r="B40" s="13"/>
      <c r="C40" s="13"/>
      <c r="D40" s="13"/>
      <c r="E40" s="13"/>
      <c r="F40" s="19">
        <f>+F33</f>
        <v>3.15</v>
      </c>
      <c r="G40" s="19">
        <f>+G33</f>
        <v>3.5</v>
      </c>
      <c r="H40" s="19">
        <f>+H33</f>
        <v>3.52</v>
      </c>
    </row>
    <row r="41" spans="1:8" x14ac:dyDescent="0.25">
      <c r="A41" s="13" t="s">
        <v>151</v>
      </c>
      <c r="B41" s="13"/>
      <c r="C41" s="13"/>
      <c r="D41" s="13"/>
      <c r="E41" s="13"/>
      <c r="F41" s="239">
        <f>ROUND(+$H$47*0.083333*F21*$H$50,2)</f>
        <v>0.82</v>
      </c>
      <c r="G41" s="239">
        <f>ROUND(+$H$47*0.083333*G21*$H$50,2)</f>
        <v>0.91</v>
      </c>
      <c r="H41" s="239">
        <f>ROUND(+$H$47*0.083333*H21*$H$50,2)</f>
        <v>0.92</v>
      </c>
    </row>
    <row r="42" spans="1:8" x14ac:dyDescent="0.25">
      <c r="A42" s="13" t="s">
        <v>147</v>
      </c>
      <c r="B42" s="13"/>
      <c r="C42" s="13"/>
      <c r="D42" s="13"/>
      <c r="E42" s="13"/>
      <c r="F42" s="239">
        <f>ROUND(+F30*$H$47,2)</f>
        <v>1.81</v>
      </c>
      <c r="G42" s="239">
        <f>ROUND(+G30*$H$47,2)</f>
        <v>1.81</v>
      </c>
      <c r="H42" s="239">
        <f>ROUND(+H30*$H$47,2)</f>
        <v>1.81</v>
      </c>
    </row>
    <row r="43" spans="1:8" x14ac:dyDescent="0.25">
      <c r="A43" s="13" t="s">
        <v>148</v>
      </c>
      <c r="B43" s="13"/>
      <c r="C43" s="13"/>
      <c r="D43" s="13"/>
      <c r="E43" s="13"/>
      <c r="F43" s="232">
        <f>ROUND(+$I$51*F11,2)</f>
        <v>1.61</v>
      </c>
      <c r="G43" s="232">
        <f>ROUND(+$I$51*G11,2)</f>
        <v>1.61</v>
      </c>
      <c r="H43" s="232">
        <f>ROUND(+$I$51*H11,2)</f>
        <v>1.61</v>
      </c>
    </row>
    <row r="44" spans="1:8" x14ac:dyDescent="0.25">
      <c r="A44" s="12" t="s">
        <v>149</v>
      </c>
      <c r="B44" s="13"/>
      <c r="C44" s="13"/>
      <c r="D44" s="13"/>
      <c r="E44" s="13"/>
      <c r="F44" s="22">
        <f>SUM(F40:F43)</f>
        <v>7.39</v>
      </c>
      <c r="G44" s="22">
        <f>SUM(G40:G43)</f>
        <v>7.830000000000001</v>
      </c>
      <c r="H44" s="22">
        <f>SUM(H40:H43)</f>
        <v>7.86</v>
      </c>
    </row>
    <row r="46" spans="1:8" x14ac:dyDescent="0.25">
      <c r="A46" s="64" t="s">
        <v>466</v>
      </c>
      <c r="B46" s="64"/>
      <c r="C46" s="64"/>
      <c r="D46" s="64"/>
      <c r="E46" s="64"/>
      <c r="F46" s="9" t="s">
        <v>152</v>
      </c>
      <c r="G46" s="8"/>
      <c r="H46" s="23">
        <f>+'Data Entry'!C9</f>
        <v>0.15265000000000001</v>
      </c>
    </row>
    <row r="47" spans="1:8" x14ac:dyDescent="0.25">
      <c r="A47" s="64" t="s">
        <v>153</v>
      </c>
      <c r="B47" s="64"/>
      <c r="C47" s="64"/>
      <c r="D47" s="64"/>
      <c r="E47" s="64"/>
      <c r="F47" s="10" t="s">
        <v>3</v>
      </c>
      <c r="G47" s="7"/>
      <c r="H47" s="24">
        <f>+'Data Entry'!C10</f>
        <v>1.0007205187735171</v>
      </c>
    </row>
    <row r="48" spans="1:8" x14ac:dyDescent="0.25">
      <c r="A48" s="64" t="s">
        <v>154</v>
      </c>
      <c r="B48" s="64"/>
      <c r="C48" s="64"/>
      <c r="D48" s="64"/>
      <c r="E48" s="64"/>
      <c r="F48" s="11" t="s">
        <v>4</v>
      </c>
      <c r="H48" s="25"/>
    </row>
    <row r="49" spans="1:9" x14ac:dyDescent="0.25">
      <c r="A49" s="64" t="s">
        <v>155</v>
      </c>
      <c r="B49" s="64"/>
      <c r="C49" s="64"/>
      <c r="D49" s="64"/>
      <c r="E49" s="64"/>
      <c r="F49" s="11" t="s">
        <v>5</v>
      </c>
      <c r="H49" s="26">
        <f>+'Data Entry'!C12</f>
        <v>4.36E-2</v>
      </c>
    </row>
    <row r="50" spans="1:9" x14ac:dyDescent="0.25">
      <c r="A50" s="64" t="s">
        <v>156</v>
      </c>
      <c r="B50" s="64"/>
      <c r="C50" s="64"/>
      <c r="D50" s="64"/>
      <c r="E50" s="64"/>
      <c r="F50" s="10" t="s">
        <v>6</v>
      </c>
      <c r="G50" s="7"/>
      <c r="H50" s="27">
        <f>+'Data Entry'!C13</f>
        <v>3.9780000000000003E-2</v>
      </c>
      <c r="I50" s="236" t="s">
        <v>504</v>
      </c>
    </row>
    <row r="51" spans="1:9" x14ac:dyDescent="0.25">
      <c r="A51" s="64" t="s">
        <v>157</v>
      </c>
      <c r="B51" s="64"/>
      <c r="C51" s="64"/>
      <c r="D51" s="64"/>
      <c r="E51" s="64"/>
      <c r="F51" s="10" t="s">
        <v>7</v>
      </c>
      <c r="G51" s="7"/>
      <c r="H51" s="237">
        <f>+'Data Entry'!C14</f>
        <v>2.6519999999999998E-2</v>
      </c>
      <c r="I51" s="238">
        <f>+'Data Entry'!D14</f>
        <v>2.6759999999999999E-2</v>
      </c>
    </row>
    <row r="52" spans="1:9" x14ac:dyDescent="0.25">
      <c r="A52" s="64" t="s">
        <v>158</v>
      </c>
      <c r="B52" s="64"/>
      <c r="C52" s="64"/>
      <c r="D52" s="64"/>
      <c r="E52" s="64"/>
      <c r="F52" s="10" t="s">
        <v>8</v>
      </c>
      <c r="G52" s="7"/>
      <c r="H52" s="27">
        <f>+'Data Entry'!C15</f>
        <v>0.25419999999999998</v>
      </c>
    </row>
    <row r="53" spans="1:9" x14ac:dyDescent="0.25">
      <c r="A53" s="64" t="s">
        <v>159</v>
      </c>
      <c r="B53" s="64"/>
      <c r="C53" s="64"/>
      <c r="D53" s="64"/>
      <c r="E53" s="64"/>
      <c r="F53" s="10" t="s">
        <v>9</v>
      </c>
      <c r="G53" s="7"/>
      <c r="H53" s="27">
        <f>+'Data Entry'!C16</f>
        <v>5.9400000000000001E-2</v>
      </c>
    </row>
    <row r="54" spans="1:9" x14ac:dyDescent="0.25">
      <c r="A54" s="64" t="s">
        <v>160</v>
      </c>
      <c r="B54" s="64"/>
      <c r="C54" s="64"/>
      <c r="D54" s="64"/>
      <c r="E54" s="64"/>
      <c r="F54" s="10" t="s">
        <v>161</v>
      </c>
      <c r="G54" s="7"/>
      <c r="H54" s="29">
        <f>+'Data Entry'!C17</f>
        <v>97</v>
      </c>
    </row>
    <row r="55" spans="1:9" x14ac:dyDescent="0.25">
      <c r="A55" s="64" t="s">
        <v>162</v>
      </c>
      <c r="B55" s="64"/>
      <c r="C55" s="64"/>
      <c r="D55" s="64"/>
      <c r="E55" s="64"/>
      <c r="F55" s="10" t="s">
        <v>12</v>
      </c>
      <c r="G55" s="7"/>
      <c r="H55" s="29">
        <f>+'Data Entry'!C18</f>
        <v>97</v>
      </c>
    </row>
    <row r="56" spans="1:9" x14ac:dyDescent="0.25">
      <c r="A56" s="64" t="s">
        <v>163</v>
      </c>
      <c r="B56" s="64"/>
      <c r="C56" s="64"/>
      <c r="D56" s="64"/>
      <c r="E56" s="64"/>
      <c r="F56" s="10" t="s">
        <v>14</v>
      </c>
      <c r="G56" s="7"/>
      <c r="H56" s="27">
        <f>+'Data Entry'!C19</f>
        <v>5.4000000000000003E-3</v>
      </c>
    </row>
    <row r="57" spans="1:9" x14ac:dyDescent="0.25">
      <c r="A57" s="64" t="s">
        <v>164</v>
      </c>
      <c r="B57" s="64"/>
      <c r="C57" s="64"/>
      <c r="D57" s="64"/>
      <c r="E57" s="64"/>
      <c r="F57" s="10" t="s">
        <v>17</v>
      </c>
      <c r="G57" s="7"/>
      <c r="H57" s="27">
        <f>+'Data Entry'!C20</f>
        <v>3.09E-2</v>
      </c>
    </row>
    <row r="58" spans="1:9" x14ac:dyDescent="0.25">
      <c r="F58" s="69" t="s">
        <v>165</v>
      </c>
      <c r="G58" s="7"/>
      <c r="H58" s="29">
        <f>+'Data Entry'!D106</f>
        <v>4.88</v>
      </c>
    </row>
    <row r="59" spans="1:9" x14ac:dyDescent="0.25">
      <c r="F59" s="69" t="s">
        <v>166</v>
      </c>
      <c r="G59" s="7"/>
      <c r="H59" s="29">
        <f>+'Data Entry'!E20</f>
        <v>4.8000000000000001E-2</v>
      </c>
    </row>
    <row r="60" spans="1:9" x14ac:dyDescent="0.25">
      <c r="F60" s="319" t="s">
        <v>568</v>
      </c>
      <c r="G60" s="7"/>
      <c r="H60" s="29">
        <f>+'Data Entry'!D113</f>
        <v>3.77</v>
      </c>
    </row>
    <row r="61" spans="1:9" x14ac:dyDescent="0.25">
      <c r="F61" s="69" t="s">
        <v>167</v>
      </c>
      <c r="G61" s="7"/>
      <c r="H61" s="27">
        <f>+'Data Entry'!C21</f>
        <v>0.06</v>
      </c>
    </row>
  </sheetData>
  <phoneticPr fontId="28" type="noConversion"/>
  <pageMargins left="0.75" right="0.25" top="0.25" bottom="0.25" header="0.5" footer="0.22"/>
  <pageSetup scale="95" orientation="portrait" horizontalDpi="300" verticalDpi="300" r:id="rId1"/>
  <headerFooter alignWithMargins="0">
    <oddFooter>&amp;R&amp;A</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1"/>
  <sheetViews>
    <sheetView workbookViewId="0">
      <selection activeCell="A2" sqref="A1:A2"/>
    </sheetView>
  </sheetViews>
  <sheetFormatPr defaultRowHeight="13.2" x14ac:dyDescent="0.25"/>
  <cols>
    <col min="5" max="5" width="5.33203125" customWidth="1"/>
    <col min="6" max="9" width="13.6640625" customWidth="1"/>
  </cols>
  <sheetData>
    <row r="1" spans="1:9" x14ac:dyDescent="0.25">
      <c r="A1" s="773" t="s">
        <v>940</v>
      </c>
    </row>
    <row r="2" spans="1:9" x14ac:dyDescent="0.25">
      <c r="A2" s="773" t="s">
        <v>923</v>
      </c>
    </row>
    <row r="4" spans="1:9" ht="17.399999999999999" x14ac:dyDescent="0.3">
      <c r="A4" s="2" t="str">
        <f>'70wOH5'!A4</f>
        <v>2016 Cost of Service</v>
      </c>
    </row>
    <row r="5" spans="1:9" x14ac:dyDescent="0.25">
      <c r="A5" s="4"/>
      <c r="B5" s="4"/>
      <c r="C5" s="4"/>
      <c r="D5" s="4"/>
      <c r="E5" s="4"/>
      <c r="F5" s="14" t="s">
        <v>179</v>
      </c>
      <c r="G5" s="14" t="s">
        <v>179</v>
      </c>
      <c r="H5" s="14"/>
      <c r="I5" s="14"/>
    </row>
    <row r="6" spans="1:9" x14ac:dyDescent="0.25">
      <c r="A6" s="12" t="s">
        <v>125</v>
      </c>
      <c r="B6" s="12"/>
      <c r="C6" s="12"/>
      <c r="D6" s="12"/>
      <c r="E6" s="12"/>
      <c r="F6" s="14" t="s">
        <v>126</v>
      </c>
      <c r="G6" s="14" t="s">
        <v>126</v>
      </c>
      <c r="H6" s="14"/>
      <c r="I6" s="14"/>
    </row>
    <row r="7" spans="1:9" x14ac:dyDescent="0.25">
      <c r="A7" s="12" t="s">
        <v>433</v>
      </c>
      <c r="B7" s="12"/>
      <c r="C7" s="12"/>
      <c r="D7" s="12"/>
      <c r="E7" s="12"/>
      <c r="F7" s="14" t="s">
        <v>168</v>
      </c>
      <c r="G7" s="14" t="s">
        <v>169</v>
      </c>
      <c r="H7" s="14"/>
      <c r="I7" s="14"/>
    </row>
    <row r="8" spans="1:9" x14ac:dyDescent="0.25">
      <c r="A8" s="12"/>
      <c r="B8" s="12"/>
      <c r="C8" s="12"/>
      <c r="D8" s="12"/>
      <c r="E8" s="12"/>
      <c r="F8" s="15" t="s">
        <v>170</v>
      </c>
      <c r="G8" s="15" t="s">
        <v>170</v>
      </c>
      <c r="H8" s="15"/>
      <c r="I8" s="15"/>
    </row>
    <row r="9" spans="1:9" x14ac:dyDescent="0.25">
      <c r="A9" s="12" t="s">
        <v>131</v>
      </c>
      <c r="B9" s="13"/>
      <c r="C9" s="13"/>
      <c r="D9" s="13"/>
      <c r="E9" s="13"/>
      <c r="F9" s="6"/>
      <c r="G9" s="6"/>
      <c r="H9" s="6"/>
      <c r="I9" s="6"/>
    </row>
    <row r="10" spans="1:9" x14ac:dyDescent="0.25">
      <c r="A10" s="13" t="s">
        <v>464</v>
      </c>
      <c r="B10" s="13"/>
      <c r="C10" s="13"/>
      <c r="D10" s="13"/>
      <c r="E10" s="13"/>
      <c r="F10" s="16">
        <v>172</v>
      </c>
      <c r="G10" s="16">
        <v>172</v>
      </c>
      <c r="H10" s="16"/>
      <c r="I10" s="16"/>
    </row>
    <row r="11" spans="1:9" x14ac:dyDescent="0.25">
      <c r="A11" s="13" t="s">
        <v>133</v>
      </c>
      <c r="B11" s="13"/>
      <c r="C11" s="13"/>
      <c r="D11" s="13"/>
      <c r="E11" s="13"/>
      <c r="F11" s="17">
        <f>TRUNC(+F10*(1/12)*4.24)</f>
        <v>60</v>
      </c>
      <c r="G11" s="17">
        <f>(TRUNC(+G10*(1/12)*4.24))</f>
        <v>60</v>
      </c>
      <c r="H11" s="17"/>
      <c r="I11" s="17"/>
    </row>
    <row r="12" spans="1:9" x14ac:dyDescent="0.25">
      <c r="A12" s="13" t="s">
        <v>134</v>
      </c>
      <c r="B12" s="13"/>
      <c r="C12" s="13"/>
      <c r="D12" s="13"/>
      <c r="E12" s="13"/>
      <c r="F12" s="16">
        <v>60</v>
      </c>
      <c r="G12" s="16">
        <v>60</v>
      </c>
      <c r="H12" s="16"/>
      <c r="I12" s="16"/>
    </row>
    <row r="13" spans="1:9" x14ac:dyDescent="0.25">
      <c r="A13" s="13"/>
      <c r="B13" s="13"/>
      <c r="C13" s="13"/>
      <c r="D13" s="13"/>
      <c r="E13" s="13"/>
      <c r="F13" s="18"/>
      <c r="G13" s="18"/>
      <c r="H13" s="18"/>
      <c r="I13" s="18"/>
    </row>
    <row r="14" spans="1:9" x14ac:dyDescent="0.25">
      <c r="A14" s="12" t="s">
        <v>135</v>
      </c>
      <c r="B14" s="13"/>
      <c r="C14" s="13"/>
      <c r="D14" s="13"/>
      <c r="E14" s="13"/>
      <c r="F14" s="18"/>
      <c r="G14" s="18"/>
      <c r="H14" s="18"/>
      <c r="I14" s="18"/>
    </row>
    <row r="15" spans="1:9" x14ac:dyDescent="0.25">
      <c r="A15" s="13" t="s">
        <v>136</v>
      </c>
      <c r="B15" s="13"/>
      <c r="C15" s="13"/>
      <c r="D15" s="13"/>
      <c r="E15" s="13"/>
      <c r="F15" s="19">
        <f>+'40'!G21</f>
        <v>117.85658869999997</v>
      </c>
      <c r="G15" s="19">
        <f>+'40'!G42</f>
        <v>117.97972269999998</v>
      </c>
      <c r="H15" s="19"/>
      <c r="I15" s="19"/>
    </row>
    <row r="16" spans="1:9" x14ac:dyDescent="0.25">
      <c r="A16" s="13" t="s">
        <v>428</v>
      </c>
      <c r="B16" s="13"/>
      <c r="C16" s="13"/>
      <c r="D16" s="13"/>
      <c r="E16" s="13"/>
      <c r="F16" s="19">
        <f>+F15*$H$56/2</f>
        <v>0.31821278948999993</v>
      </c>
      <c r="G16" s="19">
        <f>+G15*$H$56/2</f>
        <v>0.31854525128999994</v>
      </c>
      <c r="H16" s="19"/>
      <c r="I16" s="19"/>
    </row>
    <row r="17" spans="1:9" x14ac:dyDescent="0.25">
      <c r="A17" s="13" t="s">
        <v>137</v>
      </c>
      <c r="B17" s="13"/>
      <c r="C17" s="13"/>
      <c r="D17" s="13"/>
      <c r="E17" s="13"/>
      <c r="F17" s="19">
        <f>+'67'!H39</f>
        <v>43.650000000000006</v>
      </c>
      <c r="G17" s="19">
        <f>+'67'!H39</f>
        <v>43.650000000000006</v>
      </c>
      <c r="H17" s="19"/>
      <c r="I17" s="19"/>
    </row>
    <row r="18" spans="1:9" x14ac:dyDescent="0.25">
      <c r="A18" s="13" t="s">
        <v>427</v>
      </c>
      <c r="B18" s="13"/>
      <c r="C18" s="13"/>
      <c r="D18" s="13"/>
      <c r="E18" s="13"/>
      <c r="F18" s="232">
        <f>+F17*$H$57/2</f>
        <v>0.67439250000000006</v>
      </c>
      <c r="G18" s="232">
        <f>+G17*$H$57/2</f>
        <v>0.67439250000000006</v>
      </c>
      <c r="H18" s="20"/>
      <c r="I18" s="20"/>
    </row>
    <row r="19" spans="1:9" x14ac:dyDescent="0.25">
      <c r="A19" s="13"/>
      <c r="B19" s="13"/>
      <c r="C19" s="13"/>
      <c r="D19" s="13"/>
      <c r="E19" s="13"/>
      <c r="F19" s="19">
        <f>SUM(F15:F18)</f>
        <v>162.49919398948998</v>
      </c>
      <c r="G19" s="19">
        <f>SUM(G15:G18)</f>
        <v>162.62266045129002</v>
      </c>
      <c r="H19" s="19"/>
      <c r="I19" s="19"/>
    </row>
    <row r="20" spans="1:9" x14ac:dyDescent="0.25">
      <c r="A20" s="13" t="s">
        <v>424</v>
      </c>
      <c r="B20" s="13"/>
      <c r="C20" s="13"/>
      <c r="D20" s="13"/>
      <c r="E20" s="13"/>
      <c r="F20" s="20">
        <f>+F19*$H$52</f>
        <v>41.307295112128351</v>
      </c>
      <c r="G20" s="20">
        <f>+G19*$H$52</f>
        <v>41.338680286717917</v>
      </c>
      <c r="H20" s="20"/>
      <c r="I20" s="20"/>
    </row>
    <row r="21" spans="1:9" x14ac:dyDescent="0.25">
      <c r="A21" s="12" t="s">
        <v>138</v>
      </c>
      <c r="B21" s="13"/>
      <c r="C21" s="13"/>
      <c r="D21" s="13"/>
      <c r="E21" s="13"/>
      <c r="F21" s="21">
        <f>SUM(F19:F20)</f>
        <v>203.80648910161833</v>
      </c>
      <c r="G21" s="21">
        <f>SUM(G19:G20)</f>
        <v>203.96134073800795</v>
      </c>
      <c r="H21" s="21"/>
      <c r="I21" s="21"/>
    </row>
    <row r="22" spans="1:9" x14ac:dyDescent="0.25">
      <c r="A22" s="13"/>
      <c r="B22" s="13"/>
      <c r="C22" s="13"/>
      <c r="D22" s="13"/>
      <c r="E22" s="13"/>
      <c r="F22" s="19"/>
      <c r="G22" s="19"/>
      <c r="H22" s="19"/>
      <c r="I22" s="19"/>
    </row>
    <row r="23" spans="1:9" x14ac:dyDescent="0.25">
      <c r="A23" s="321" t="s">
        <v>139</v>
      </c>
      <c r="B23" s="321"/>
      <c r="C23" s="13"/>
      <c r="D23" s="13"/>
      <c r="E23" s="13"/>
      <c r="F23" s="19"/>
      <c r="G23" s="19"/>
      <c r="H23" s="19"/>
      <c r="I23" s="19"/>
    </row>
    <row r="24" spans="1:9" x14ac:dyDescent="0.25">
      <c r="A24" s="321" t="s">
        <v>140</v>
      </c>
      <c r="B24" s="321"/>
      <c r="C24" s="13"/>
      <c r="D24" s="13"/>
      <c r="E24" s="13"/>
      <c r="F24" s="19">
        <f>+H58*(1+$H$61)*(1+$H$53)+H59</f>
        <v>5.5280643200000004</v>
      </c>
      <c r="G24" s="19">
        <f>+F24</f>
        <v>5.5280643200000004</v>
      </c>
      <c r="H24" s="19"/>
      <c r="I24" s="19"/>
    </row>
    <row r="25" spans="1:9" x14ac:dyDescent="0.25">
      <c r="A25" s="277" t="s">
        <v>567</v>
      </c>
      <c r="B25" s="13"/>
      <c r="C25" s="13"/>
      <c r="D25" s="13"/>
      <c r="E25" s="13"/>
      <c r="F25" s="19">
        <f>+$H$60*(1+$H$61)*(1+$H$53)</f>
        <v>4.23357428</v>
      </c>
      <c r="G25" s="19">
        <f>+$H$60*(1+$H$61)*(1+$H$53)</f>
        <v>4.23357428</v>
      </c>
      <c r="H25" s="19"/>
      <c r="I25" s="19"/>
    </row>
    <row r="26" spans="1:9" x14ac:dyDescent="0.25">
      <c r="A26" s="13" t="s">
        <v>429</v>
      </c>
      <c r="B26" s="13"/>
      <c r="C26" s="13"/>
      <c r="D26" s="13"/>
      <c r="E26" s="13"/>
      <c r="F26" s="19">
        <f>+F24*$H$56/2</f>
        <v>1.4925773664000002E-2</v>
      </c>
      <c r="G26" s="19">
        <f>+G24*$H$56/2</f>
        <v>1.4925773664000002E-2</v>
      </c>
      <c r="H26" s="19"/>
      <c r="I26" s="19"/>
    </row>
    <row r="27" spans="1:9" x14ac:dyDescent="0.25">
      <c r="A27" s="13" t="s">
        <v>141</v>
      </c>
      <c r="B27" s="13"/>
      <c r="C27" s="13"/>
      <c r="D27" s="13"/>
      <c r="E27" s="13"/>
      <c r="F27" s="19">
        <f>+$H$55</f>
        <v>97</v>
      </c>
      <c r="G27" s="19">
        <f>+$H$55</f>
        <v>97</v>
      </c>
      <c r="H27" s="19"/>
      <c r="I27" s="19"/>
    </row>
    <row r="28" spans="1:9" x14ac:dyDescent="0.25">
      <c r="A28" s="13" t="s">
        <v>430</v>
      </c>
      <c r="B28" s="13"/>
      <c r="C28" s="13"/>
      <c r="D28" s="13"/>
      <c r="E28" s="13"/>
      <c r="F28" s="20">
        <f>+F27*$H$57/2</f>
        <v>1.49865</v>
      </c>
      <c r="G28" s="20">
        <f>+G27*$H$57/2</f>
        <v>1.49865</v>
      </c>
      <c r="H28" s="20"/>
      <c r="I28" s="20"/>
    </row>
    <row r="29" spans="1:9" x14ac:dyDescent="0.25">
      <c r="A29" s="12" t="s">
        <v>467</v>
      </c>
      <c r="B29" s="13"/>
      <c r="C29" s="13"/>
      <c r="D29" s="13"/>
      <c r="E29" s="13"/>
      <c r="F29" s="22">
        <f>SUM(F24:F28)</f>
        <v>108.275214373664</v>
      </c>
      <c r="G29" s="22">
        <f>SUM(G24:G28)</f>
        <v>108.275214373664</v>
      </c>
      <c r="H29" s="22"/>
      <c r="I29" s="22"/>
    </row>
    <row r="30" spans="1:9" x14ac:dyDescent="0.25">
      <c r="A30" s="12" t="s">
        <v>143</v>
      </c>
      <c r="B30" s="13"/>
      <c r="C30" s="13"/>
      <c r="D30" s="13"/>
      <c r="E30" s="13"/>
      <c r="F30" s="22">
        <f>+F29/F12</f>
        <v>1.8045869062277333</v>
      </c>
      <c r="G30" s="22">
        <f>+G29/G12</f>
        <v>1.8045869062277333</v>
      </c>
      <c r="H30" s="22"/>
      <c r="I30" s="22"/>
    </row>
    <row r="31" spans="1:9" x14ac:dyDescent="0.25">
      <c r="A31" s="13"/>
      <c r="B31" s="13"/>
      <c r="C31" s="13"/>
      <c r="D31" s="13"/>
      <c r="E31" s="13"/>
      <c r="F31" s="19"/>
      <c r="G31" s="19"/>
      <c r="H31" s="19"/>
      <c r="I31" s="19"/>
    </row>
    <row r="32" spans="1:9" x14ac:dyDescent="0.25">
      <c r="A32" s="12" t="s">
        <v>144</v>
      </c>
      <c r="B32" s="13"/>
      <c r="C32" s="13"/>
      <c r="D32" s="13"/>
      <c r="E32" s="13"/>
      <c r="F32" s="19"/>
      <c r="G32" s="19"/>
      <c r="H32" s="19"/>
      <c r="I32" s="19"/>
    </row>
    <row r="33" spans="1:9" x14ac:dyDescent="0.25">
      <c r="A33" s="13" t="s">
        <v>145</v>
      </c>
      <c r="B33" s="13"/>
      <c r="C33" s="13"/>
      <c r="D33" s="13"/>
      <c r="E33" s="13"/>
      <c r="F33" s="239">
        <f>ROUND(+$H$46*0.083333*F21*$H$47,2)</f>
        <v>2.59</v>
      </c>
      <c r="G33" s="239">
        <f>ROUND(+$H$46*0.083333*G21*$H$47,2)</f>
        <v>2.6</v>
      </c>
      <c r="H33" s="19"/>
      <c r="I33" s="19"/>
    </row>
    <row r="34" spans="1:9" x14ac:dyDescent="0.25">
      <c r="A34" s="13" t="s">
        <v>146</v>
      </c>
      <c r="B34" s="13"/>
      <c r="C34" s="13"/>
      <c r="D34" s="13"/>
      <c r="E34" s="13"/>
      <c r="F34" s="239">
        <f>ROUND(+$H$47*0.083333*F21*$H$49,2)</f>
        <v>0.74</v>
      </c>
      <c r="G34" s="239">
        <f>ROUND(+$H$47*0.083333*G21*$H$49,2)</f>
        <v>0.74</v>
      </c>
      <c r="H34" s="19"/>
      <c r="I34" s="19"/>
    </row>
    <row r="35" spans="1:9" x14ac:dyDescent="0.25">
      <c r="A35" s="13" t="s">
        <v>147</v>
      </c>
      <c r="B35" s="13"/>
      <c r="C35" s="13"/>
      <c r="D35" s="13"/>
      <c r="E35" s="13"/>
      <c r="F35" s="239">
        <f>ROUND(+F30*$H$47,2)</f>
        <v>1.81</v>
      </c>
      <c r="G35" s="239">
        <f>ROUND(+G30*$H$47,2)</f>
        <v>1.81</v>
      </c>
      <c r="H35" s="19"/>
      <c r="I35" s="19"/>
    </row>
    <row r="36" spans="1:9" x14ac:dyDescent="0.25">
      <c r="A36" s="13" t="s">
        <v>148</v>
      </c>
      <c r="B36" s="13"/>
      <c r="C36" s="13"/>
      <c r="D36" s="13"/>
      <c r="E36" s="13"/>
      <c r="F36" s="232">
        <f>ROUND(+$H$51*F11,2)</f>
        <v>1.59</v>
      </c>
      <c r="G36" s="232">
        <f>ROUND(+$H$51*G11,2)</f>
        <v>1.59</v>
      </c>
      <c r="H36" s="20"/>
      <c r="I36" s="20"/>
    </row>
    <row r="37" spans="1:9" x14ac:dyDescent="0.25">
      <c r="A37" s="12" t="s">
        <v>149</v>
      </c>
      <c r="B37" s="13"/>
      <c r="C37" s="13"/>
      <c r="D37" s="13"/>
      <c r="E37" s="13"/>
      <c r="F37" s="22">
        <f>SUM(F33:F36)</f>
        <v>6.73</v>
      </c>
      <c r="G37" s="22">
        <f>SUM(G33:G36)</f>
        <v>6.74</v>
      </c>
      <c r="H37" s="22"/>
      <c r="I37" s="22"/>
    </row>
    <row r="38" spans="1:9" x14ac:dyDescent="0.25">
      <c r="A38" s="13"/>
      <c r="B38" s="13"/>
      <c r="C38" s="13"/>
      <c r="D38" s="13"/>
      <c r="E38" s="13"/>
      <c r="F38" s="19"/>
      <c r="G38" s="19"/>
      <c r="H38" s="19"/>
      <c r="I38" s="19"/>
    </row>
    <row r="39" spans="1:9" x14ac:dyDescent="0.25">
      <c r="A39" s="12" t="s">
        <v>150</v>
      </c>
      <c r="B39" s="13"/>
      <c r="C39" s="13"/>
      <c r="D39" s="13"/>
      <c r="E39" s="13"/>
      <c r="F39" s="19"/>
      <c r="G39" s="19"/>
      <c r="H39" s="19"/>
      <c r="I39" s="19"/>
    </row>
    <row r="40" spans="1:9" x14ac:dyDescent="0.25">
      <c r="A40" s="13" t="s">
        <v>145</v>
      </c>
      <c r="B40" s="13"/>
      <c r="C40" s="13"/>
      <c r="D40" s="13"/>
      <c r="E40" s="13"/>
      <c r="F40" s="19">
        <f>+F33</f>
        <v>2.59</v>
      </c>
      <c r="G40" s="19">
        <f>+G33</f>
        <v>2.6</v>
      </c>
      <c r="H40" s="19"/>
      <c r="I40" s="19"/>
    </row>
    <row r="41" spans="1:9" x14ac:dyDescent="0.25">
      <c r="A41" s="13" t="s">
        <v>151</v>
      </c>
      <c r="B41" s="13"/>
      <c r="C41" s="13"/>
      <c r="D41" s="13"/>
      <c r="E41" s="13"/>
      <c r="F41" s="239">
        <f>ROUND(+$H$47*0.083333*F21*$H$50,2)</f>
        <v>0.68</v>
      </c>
      <c r="G41" s="239">
        <f>ROUND(+$H$47*0.083333*G21*$H$50,2)</f>
        <v>0.68</v>
      </c>
      <c r="H41" s="19"/>
      <c r="I41" s="19"/>
    </row>
    <row r="42" spans="1:9" x14ac:dyDescent="0.25">
      <c r="A42" s="13" t="s">
        <v>147</v>
      </c>
      <c r="B42" s="13"/>
      <c r="C42" s="13"/>
      <c r="D42" s="13"/>
      <c r="E42" s="13"/>
      <c r="F42" s="239">
        <f>ROUND(+F30*$H$47,2)</f>
        <v>1.81</v>
      </c>
      <c r="G42" s="239">
        <f>ROUND(+G30*$H$47,2)</f>
        <v>1.81</v>
      </c>
      <c r="H42" s="19"/>
      <c r="I42" s="19"/>
    </row>
    <row r="43" spans="1:9" x14ac:dyDescent="0.25">
      <c r="A43" s="13" t="s">
        <v>148</v>
      </c>
      <c r="B43" s="13"/>
      <c r="C43" s="13"/>
      <c r="D43" s="13"/>
      <c r="E43" s="13"/>
      <c r="F43" s="232">
        <f>ROUND(+$I$51*F11,2)</f>
        <v>1.61</v>
      </c>
      <c r="G43" s="232">
        <f>ROUND(+$I$51*G11,2)</f>
        <v>1.61</v>
      </c>
      <c r="H43" s="20"/>
      <c r="I43" s="20"/>
    </row>
    <row r="44" spans="1:9" x14ac:dyDescent="0.25">
      <c r="A44" s="12" t="s">
        <v>149</v>
      </c>
      <c r="B44" s="13"/>
      <c r="C44" s="13"/>
      <c r="D44" s="13"/>
      <c r="E44" s="13"/>
      <c r="F44" s="22">
        <f>SUM(F40:F43)</f>
        <v>6.69</v>
      </c>
      <c r="G44" s="22">
        <f>SUM(G40:G43)</f>
        <v>6.7</v>
      </c>
      <c r="H44" s="22"/>
      <c r="I44" s="22"/>
    </row>
    <row r="46" spans="1:9" x14ac:dyDescent="0.25">
      <c r="A46" s="64" t="s">
        <v>466</v>
      </c>
      <c r="B46" s="64"/>
      <c r="C46" s="64"/>
      <c r="D46" s="64"/>
      <c r="E46" s="64"/>
      <c r="F46" s="9" t="s">
        <v>152</v>
      </c>
      <c r="G46" s="8"/>
      <c r="H46" s="23">
        <f>+'Data Entry'!C9</f>
        <v>0.15265000000000001</v>
      </c>
    </row>
    <row r="47" spans="1:9" x14ac:dyDescent="0.25">
      <c r="A47" s="64" t="s">
        <v>153</v>
      </c>
      <c r="B47" s="64"/>
      <c r="C47" s="64"/>
      <c r="D47" s="64"/>
      <c r="E47" s="64"/>
      <c r="F47" s="10" t="s">
        <v>3</v>
      </c>
      <c r="G47" s="7"/>
      <c r="H47" s="24">
        <f>+'Data Entry'!C10</f>
        <v>1.0007205187735171</v>
      </c>
    </row>
    <row r="48" spans="1:9" x14ac:dyDescent="0.25">
      <c r="A48" s="64" t="s">
        <v>154</v>
      </c>
      <c r="B48" s="64"/>
      <c r="C48" s="64"/>
      <c r="D48" s="64"/>
      <c r="E48" s="64"/>
      <c r="F48" s="11" t="s">
        <v>4</v>
      </c>
      <c r="H48" s="25"/>
    </row>
    <row r="49" spans="1:9" x14ac:dyDescent="0.25">
      <c r="A49" s="64" t="s">
        <v>155</v>
      </c>
      <c r="B49" s="64"/>
      <c r="C49" s="64"/>
      <c r="D49" s="64"/>
      <c r="E49" s="64"/>
      <c r="F49" s="11" t="s">
        <v>5</v>
      </c>
      <c r="H49" s="26">
        <f>+'Data Entry'!C12</f>
        <v>4.36E-2</v>
      </c>
    </row>
    <row r="50" spans="1:9" x14ac:dyDescent="0.25">
      <c r="A50" s="64" t="s">
        <v>156</v>
      </c>
      <c r="B50" s="64"/>
      <c r="C50" s="64"/>
      <c r="D50" s="64"/>
      <c r="E50" s="64"/>
      <c r="F50" s="10" t="s">
        <v>6</v>
      </c>
      <c r="G50" s="7"/>
      <c r="H50" s="27">
        <f>+'Data Entry'!C13</f>
        <v>3.9780000000000003E-2</v>
      </c>
      <c r="I50" s="236" t="s">
        <v>504</v>
      </c>
    </row>
    <row r="51" spans="1:9" x14ac:dyDescent="0.25">
      <c r="A51" s="64" t="s">
        <v>157</v>
      </c>
      <c r="B51" s="64"/>
      <c r="C51" s="64"/>
      <c r="D51" s="64"/>
      <c r="E51" s="64"/>
      <c r="F51" s="10" t="s">
        <v>7</v>
      </c>
      <c r="G51" s="7"/>
      <c r="H51" s="237">
        <f>+'Data Entry'!C14</f>
        <v>2.6519999999999998E-2</v>
      </c>
      <c r="I51" s="238">
        <f>+'Data Entry'!D14</f>
        <v>2.6759999999999999E-2</v>
      </c>
    </row>
    <row r="52" spans="1:9" x14ac:dyDescent="0.25">
      <c r="A52" s="64" t="s">
        <v>158</v>
      </c>
      <c r="B52" s="64"/>
      <c r="C52" s="64"/>
      <c r="D52" s="64"/>
      <c r="E52" s="64"/>
      <c r="F52" s="10" t="s">
        <v>8</v>
      </c>
      <c r="G52" s="7"/>
      <c r="H52" s="27">
        <f>+'Data Entry'!C15</f>
        <v>0.25419999999999998</v>
      </c>
    </row>
    <row r="53" spans="1:9" x14ac:dyDescent="0.25">
      <c r="A53" s="64" t="s">
        <v>159</v>
      </c>
      <c r="B53" s="64"/>
      <c r="C53" s="64"/>
      <c r="D53" s="64"/>
      <c r="E53" s="64"/>
      <c r="F53" s="10" t="s">
        <v>9</v>
      </c>
      <c r="G53" s="7"/>
      <c r="H53" s="27">
        <f>+'Data Entry'!C16</f>
        <v>5.9400000000000001E-2</v>
      </c>
    </row>
    <row r="54" spans="1:9" x14ac:dyDescent="0.25">
      <c r="A54" s="64" t="s">
        <v>160</v>
      </c>
      <c r="B54" s="64"/>
      <c r="C54" s="64"/>
      <c r="D54" s="64"/>
      <c r="E54" s="64"/>
      <c r="F54" s="10" t="s">
        <v>161</v>
      </c>
      <c r="G54" s="7"/>
      <c r="H54" s="29">
        <f>+'Data Entry'!C17</f>
        <v>97</v>
      </c>
    </row>
    <row r="55" spans="1:9" x14ac:dyDescent="0.25">
      <c r="A55" s="64" t="s">
        <v>162</v>
      </c>
      <c r="B55" s="64"/>
      <c r="C55" s="64"/>
      <c r="D55" s="64"/>
      <c r="E55" s="64"/>
      <c r="F55" s="10" t="s">
        <v>12</v>
      </c>
      <c r="G55" s="7"/>
      <c r="H55" s="29">
        <f>+'Data Entry'!C18</f>
        <v>97</v>
      </c>
    </row>
    <row r="56" spans="1:9" x14ac:dyDescent="0.25">
      <c r="A56" s="64" t="s">
        <v>163</v>
      </c>
      <c r="B56" s="64"/>
      <c r="C56" s="64"/>
      <c r="D56" s="64"/>
      <c r="E56" s="64"/>
      <c r="F56" s="10" t="s">
        <v>14</v>
      </c>
      <c r="G56" s="7"/>
      <c r="H56" s="27">
        <f>+'Data Entry'!C19</f>
        <v>5.4000000000000003E-3</v>
      </c>
    </row>
    <row r="57" spans="1:9" x14ac:dyDescent="0.25">
      <c r="A57" s="64" t="s">
        <v>164</v>
      </c>
      <c r="B57" s="64"/>
      <c r="C57" s="64"/>
      <c r="D57" s="64"/>
      <c r="E57" s="64"/>
      <c r="F57" s="10" t="s">
        <v>17</v>
      </c>
      <c r="G57" s="7"/>
      <c r="H57" s="27">
        <f>+'Data Entry'!C20</f>
        <v>3.09E-2</v>
      </c>
    </row>
    <row r="58" spans="1:9" x14ac:dyDescent="0.25">
      <c r="F58" s="69" t="s">
        <v>165</v>
      </c>
      <c r="G58" s="7"/>
      <c r="H58" s="29">
        <f>+'Data Entry'!D106</f>
        <v>4.88</v>
      </c>
    </row>
    <row r="59" spans="1:9" x14ac:dyDescent="0.25">
      <c r="F59" s="78" t="s">
        <v>166</v>
      </c>
      <c r="G59" s="7"/>
      <c r="H59" s="29">
        <f>+'Data Entry'!E20</f>
        <v>4.8000000000000001E-2</v>
      </c>
    </row>
    <row r="60" spans="1:9" x14ac:dyDescent="0.25">
      <c r="F60" s="320" t="s">
        <v>568</v>
      </c>
      <c r="G60" s="7"/>
      <c r="H60" s="29">
        <f>+'Data Entry'!D113</f>
        <v>3.77</v>
      </c>
    </row>
    <row r="61" spans="1:9" x14ac:dyDescent="0.25">
      <c r="F61" s="69" t="s">
        <v>167</v>
      </c>
      <c r="G61" s="7"/>
      <c r="H61" s="27">
        <f>+'Data Entry'!C21</f>
        <v>0.06</v>
      </c>
    </row>
  </sheetData>
  <phoneticPr fontId="28" type="noConversion"/>
  <pageMargins left="0.75" right="0.25" top="0.25" bottom="0.25" header="0.5" footer="0.22"/>
  <pageSetup orientation="portrait" horizontalDpi="300" verticalDpi="300" r:id="rId1"/>
  <headerFooter alignWithMargins="0">
    <oddFooter>&amp;R&amp;A</odd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workbookViewId="0">
      <selection activeCell="A2" sqref="A1:A2"/>
    </sheetView>
  </sheetViews>
  <sheetFormatPr defaultRowHeight="13.2" x14ac:dyDescent="0.25"/>
  <cols>
    <col min="6" max="8" width="15.6640625" customWidth="1"/>
  </cols>
  <sheetData>
    <row r="1" spans="1:9" x14ac:dyDescent="0.25">
      <c r="A1" s="773" t="s">
        <v>941</v>
      </c>
    </row>
    <row r="2" spans="1:9" x14ac:dyDescent="0.25">
      <c r="A2" s="773" t="s">
        <v>923</v>
      </c>
    </row>
    <row r="4" spans="1:9" ht="17.399999999999999" x14ac:dyDescent="0.3">
      <c r="A4" s="2" t="str">
        <f>'70wOH5'!A4</f>
        <v>2016 Cost of Service</v>
      </c>
    </row>
    <row r="5" spans="1:9" x14ac:dyDescent="0.25">
      <c r="A5" s="4"/>
      <c r="B5" s="4"/>
      <c r="C5" s="4"/>
      <c r="D5" s="4"/>
      <c r="E5" s="4"/>
      <c r="F5" s="14"/>
      <c r="G5" s="14" t="s">
        <v>176</v>
      </c>
      <c r="H5" s="14" t="s">
        <v>176</v>
      </c>
    </row>
    <row r="6" spans="1:9" x14ac:dyDescent="0.25">
      <c r="A6" s="12" t="s">
        <v>125</v>
      </c>
      <c r="B6" s="12"/>
      <c r="C6" s="12"/>
      <c r="D6" s="12" t="s">
        <v>177</v>
      </c>
      <c r="E6" s="12"/>
      <c r="F6" s="14"/>
      <c r="G6" s="14" t="s">
        <v>126</v>
      </c>
      <c r="H6" s="14" t="s">
        <v>126</v>
      </c>
    </row>
    <row r="7" spans="1:9" x14ac:dyDescent="0.25">
      <c r="A7" s="12"/>
      <c r="B7" s="12"/>
      <c r="C7" s="12"/>
      <c r="D7" s="12"/>
      <c r="E7" s="12"/>
      <c r="F7" s="14"/>
      <c r="G7" s="14" t="s">
        <v>168</v>
      </c>
      <c r="H7" s="14" t="s">
        <v>178</v>
      </c>
    </row>
    <row r="8" spans="1:9" x14ac:dyDescent="0.25">
      <c r="A8" s="12"/>
      <c r="B8" s="12"/>
      <c r="C8" s="12"/>
      <c r="D8" s="12"/>
      <c r="E8" s="12"/>
      <c r="F8" s="15"/>
      <c r="G8" s="15" t="s">
        <v>170</v>
      </c>
      <c r="H8" s="15" t="s">
        <v>170</v>
      </c>
    </row>
    <row r="9" spans="1:9" x14ac:dyDescent="0.25">
      <c r="A9" s="12" t="s">
        <v>131</v>
      </c>
      <c r="B9" s="13"/>
      <c r="C9" s="13"/>
      <c r="D9" s="13"/>
      <c r="E9" s="13"/>
      <c r="F9" s="6"/>
      <c r="G9" s="6"/>
      <c r="H9" s="6"/>
    </row>
    <row r="10" spans="1:9" x14ac:dyDescent="0.25">
      <c r="A10" s="13" t="s">
        <v>464</v>
      </c>
      <c r="B10" s="13"/>
      <c r="C10" s="13"/>
      <c r="D10" s="13"/>
      <c r="E10" s="13"/>
      <c r="F10" s="16"/>
      <c r="G10" s="16">
        <v>172</v>
      </c>
      <c r="H10" s="16">
        <v>172</v>
      </c>
    </row>
    <row r="11" spans="1:9" x14ac:dyDescent="0.25">
      <c r="A11" s="13" t="s">
        <v>133</v>
      </c>
      <c r="B11" s="13"/>
      <c r="C11" s="13"/>
      <c r="D11" s="13"/>
      <c r="E11" s="13"/>
      <c r="F11" s="17"/>
      <c r="G11" s="17">
        <f>TRUNC(+G10*(1/12)*4.24)</f>
        <v>60</v>
      </c>
      <c r="H11" s="17">
        <f>TRUNC(H10*(1/12)*4.24)</f>
        <v>60</v>
      </c>
      <c r="I11" s="233"/>
    </row>
    <row r="12" spans="1:9" x14ac:dyDescent="0.25">
      <c r="A12" s="13" t="s">
        <v>134</v>
      </c>
      <c r="B12" s="13"/>
      <c r="C12" s="13"/>
      <c r="D12" s="13"/>
      <c r="E12" s="13"/>
      <c r="F12" s="16"/>
      <c r="G12" s="16">
        <v>60</v>
      </c>
      <c r="H12" s="16">
        <v>60</v>
      </c>
    </row>
    <row r="13" spans="1:9" x14ac:dyDescent="0.25">
      <c r="A13" s="13"/>
      <c r="B13" s="13"/>
      <c r="C13" s="13"/>
      <c r="D13" s="13"/>
      <c r="E13" s="13"/>
      <c r="F13" s="19"/>
      <c r="G13" s="19"/>
      <c r="H13" s="19"/>
    </row>
    <row r="14" spans="1:9" x14ac:dyDescent="0.25">
      <c r="A14" s="13" t="s">
        <v>139</v>
      </c>
      <c r="B14" s="13"/>
      <c r="C14" s="13"/>
      <c r="D14" s="13"/>
      <c r="E14" s="13"/>
      <c r="F14" s="19"/>
      <c r="G14" s="19"/>
      <c r="H14" s="19"/>
    </row>
    <row r="15" spans="1:9" x14ac:dyDescent="0.25">
      <c r="A15" s="13" t="s">
        <v>140</v>
      </c>
      <c r="B15" s="13"/>
      <c r="C15" s="13"/>
      <c r="D15" s="13"/>
      <c r="E15" s="13"/>
      <c r="F15" s="19"/>
      <c r="G15" s="19">
        <f>+H58</f>
        <v>24.56</v>
      </c>
      <c r="H15" s="19">
        <f>+H58</f>
        <v>24.56</v>
      </c>
    </row>
    <row r="16" spans="1:9" x14ac:dyDescent="0.25">
      <c r="A16" s="277" t="s">
        <v>567</v>
      </c>
      <c r="B16" s="13"/>
      <c r="C16" s="13"/>
      <c r="D16" s="13"/>
      <c r="E16" s="13"/>
      <c r="F16" s="19"/>
      <c r="G16" s="19"/>
      <c r="H16" s="19"/>
    </row>
    <row r="17" spans="1:8" x14ac:dyDescent="0.25">
      <c r="A17" s="13" t="s">
        <v>429</v>
      </c>
      <c r="B17" s="13"/>
      <c r="C17" s="13"/>
      <c r="D17" s="13"/>
      <c r="E17" s="13"/>
      <c r="F17" s="19"/>
      <c r="G17" s="19">
        <f>+G15*$H$56/2</f>
        <v>6.6311999999999996E-2</v>
      </c>
      <c r="H17" s="19">
        <f>+H15*$H$56/2</f>
        <v>6.6311999999999996E-2</v>
      </c>
    </row>
    <row r="18" spans="1:8" x14ac:dyDescent="0.25">
      <c r="A18" s="13" t="s">
        <v>141</v>
      </c>
      <c r="B18" s="13"/>
      <c r="C18" s="13"/>
      <c r="D18" s="13"/>
      <c r="E18" s="13"/>
      <c r="F18" s="19"/>
      <c r="G18" s="19">
        <f>+$H$55</f>
        <v>97</v>
      </c>
      <c r="H18" s="19">
        <f>+$H$55</f>
        <v>97</v>
      </c>
    </row>
    <row r="19" spans="1:8" x14ac:dyDescent="0.25">
      <c r="A19" s="13" t="s">
        <v>430</v>
      </c>
      <c r="B19" s="13"/>
      <c r="C19" s="13"/>
      <c r="D19" s="13"/>
      <c r="E19" s="13"/>
      <c r="F19" s="20"/>
      <c r="G19" s="20">
        <f>+G18*$H$57/2</f>
        <v>1.49865</v>
      </c>
      <c r="H19" s="20">
        <f>+H18*$H$57/2</f>
        <v>1.49865</v>
      </c>
    </row>
    <row r="20" spans="1:8" x14ac:dyDescent="0.25">
      <c r="A20" s="12" t="s">
        <v>467</v>
      </c>
      <c r="B20" s="13"/>
      <c r="C20" s="13"/>
      <c r="D20" s="13"/>
      <c r="E20" s="13"/>
      <c r="F20" s="22"/>
      <c r="G20" s="22">
        <f>SUM(G15:G19)</f>
        <v>123.124962</v>
      </c>
      <c r="H20" s="22">
        <f>SUM(H15:H19)</f>
        <v>123.124962</v>
      </c>
    </row>
    <row r="21" spans="1:8" x14ac:dyDescent="0.25">
      <c r="A21" s="12" t="s">
        <v>143</v>
      </c>
      <c r="B21" s="13"/>
      <c r="C21" s="13"/>
      <c r="D21" s="13"/>
      <c r="E21" s="13"/>
      <c r="F21" s="22"/>
      <c r="G21" s="22">
        <f>+G20/G12</f>
        <v>2.0520827000000001</v>
      </c>
      <c r="H21" s="22">
        <f>+H20/H12</f>
        <v>2.0520827000000001</v>
      </c>
    </row>
    <row r="22" spans="1:8" x14ac:dyDescent="0.25">
      <c r="A22" s="13"/>
      <c r="B22" s="13"/>
      <c r="C22" s="13"/>
      <c r="D22" s="13"/>
      <c r="E22" s="13"/>
      <c r="F22" s="19"/>
      <c r="G22" s="19"/>
      <c r="H22" s="19"/>
    </row>
    <row r="23" spans="1:8" x14ac:dyDescent="0.25">
      <c r="A23" s="12" t="s">
        <v>144</v>
      </c>
      <c r="B23" s="13"/>
      <c r="C23" s="13"/>
      <c r="D23" s="13"/>
      <c r="E23" s="13"/>
      <c r="F23" s="19"/>
      <c r="G23" s="19"/>
      <c r="H23" s="19"/>
    </row>
    <row r="24" spans="1:8" x14ac:dyDescent="0.25">
      <c r="A24" s="13" t="s">
        <v>147</v>
      </c>
      <c r="B24" s="13"/>
      <c r="C24" s="13"/>
      <c r="D24" s="13"/>
      <c r="E24" s="13"/>
      <c r="F24" s="19"/>
      <c r="G24" s="239">
        <f>ROUND(+G21*$H$47,2)</f>
        <v>2.0499999999999998</v>
      </c>
      <c r="H24" s="239">
        <f>ROUND(+H21*$H$47,2)</f>
        <v>2.0499999999999998</v>
      </c>
    </row>
    <row r="25" spans="1:8" x14ac:dyDescent="0.25">
      <c r="A25" s="13" t="s">
        <v>148</v>
      </c>
      <c r="B25" s="13"/>
      <c r="C25" s="13"/>
      <c r="D25" s="13"/>
      <c r="E25" s="13"/>
      <c r="F25" s="20"/>
      <c r="G25" s="232">
        <f>ROUND(+$H$51*G11,2)</f>
        <v>1.59</v>
      </c>
      <c r="H25" s="232">
        <f>ROUND(+$H$51*H11,2)</f>
        <v>1.59</v>
      </c>
    </row>
    <row r="26" spans="1:8" x14ac:dyDescent="0.25">
      <c r="A26" s="12" t="s">
        <v>458</v>
      </c>
      <c r="B26" s="13"/>
      <c r="C26" s="13"/>
      <c r="D26" s="13"/>
      <c r="E26" s="13"/>
      <c r="F26" s="22"/>
      <c r="G26" s="22">
        <f>SUM(G24:G25)</f>
        <v>3.6399999999999997</v>
      </c>
      <c r="H26" s="22">
        <f>SUM(H24:H25)</f>
        <v>3.6399999999999997</v>
      </c>
    </row>
    <row r="27" spans="1:8" x14ac:dyDescent="0.25">
      <c r="A27" s="13"/>
      <c r="B27" s="13"/>
      <c r="C27" s="13"/>
      <c r="D27" s="13"/>
      <c r="E27" s="13"/>
      <c r="F27" s="19"/>
      <c r="G27" s="19"/>
      <c r="H27" s="19"/>
    </row>
    <row r="28" spans="1:8" x14ac:dyDescent="0.25">
      <c r="A28" s="12" t="s">
        <v>150</v>
      </c>
      <c r="B28" s="13"/>
      <c r="C28" s="13"/>
      <c r="D28" s="13"/>
      <c r="E28" s="13"/>
      <c r="F28" s="19"/>
      <c r="G28" s="19"/>
      <c r="H28" s="19"/>
    </row>
    <row r="29" spans="1:8" x14ac:dyDescent="0.25">
      <c r="A29" s="13" t="s">
        <v>147</v>
      </c>
      <c r="B29" s="13"/>
      <c r="C29" s="13"/>
      <c r="D29" s="13"/>
      <c r="E29" s="13"/>
      <c r="F29" s="19"/>
      <c r="G29" s="19">
        <f>ROUND(+G21*$H$47,2)</f>
        <v>2.0499999999999998</v>
      </c>
      <c r="H29" s="19">
        <f>ROUND(+H21*$H$47,2)</f>
        <v>2.0499999999999998</v>
      </c>
    </row>
    <row r="30" spans="1:8" x14ac:dyDescent="0.25">
      <c r="A30" s="13" t="s">
        <v>148</v>
      </c>
      <c r="B30" s="13"/>
      <c r="C30" s="13"/>
      <c r="D30" s="13"/>
      <c r="E30" s="13"/>
      <c r="F30" s="20"/>
      <c r="G30" s="232">
        <f>ROUND(+$I$51*G11,2)</f>
        <v>1.61</v>
      </c>
      <c r="H30" s="232">
        <f>ROUND(+$I$51*H11,2)</f>
        <v>1.61</v>
      </c>
    </row>
    <row r="31" spans="1:8" x14ac:dyDescent="0.25">
      <c r="A31" s="12" t="s">
        <v>458</v>
      </c>
      <c r="B31" s="13"/>
      <c r="C31" s="13"/>
      <c r="D31" s="13"/>
      <c r="E31" s="13"/>
      <c r="F31" s="22"/>
      <c r="G31" s="22">
        <f>SUM(G29:G30)</f>
        <v>3.66</v>
      </c>
      <c r="H31" s="22">
        <f>SUM(H29:H30)</f>
        <v>3.66</v>
      </c>
    </row>
    <row r="46" spans="1:8" x14ac:dyDescent="0.25">
      <c r="A46" s="64" t="s">
        <v>466</v>
      </c>
      <c r="B46" s="64"/>
      <c r="C46" s="64"/>
      <c r="D46" s="64"/>
      <c r="E46" s="64"/>
      <c r="F46" s="9" t="s">
        <v>152</v>
      </c>
      <c r="G46" s="8"/>
      <c r="H46" s="23">
        <f>+'Data Entry'!C9</f>
        <v>0.15265000000000001</v>
      </c>
    </row>
    <row r="47" spans="1:8" x14ac:dyDescent="0.25">
      <c r="A47" s="64" t="s">
        <v>153</v>
      </c>
      <c r="B47" s="64"/>
      <c r="C47" s="64"/>
      <c r="D47" s="64"/>
      <c r="E47" s="64"/>
      <c r="F47" s="10" t="s">
        <v>3</v>
      </c>
      <c r="G47" s="7"/>
      <c r="H47" s="24">
        <f>+'Data Entry'!C10</f>
        <v>1.0007205187735171</v>
      </c>
    </row>
    <row r="48" spans="1:8" x14ac:dyDescent="0.25">
      <c r="A48" s="64" t="s">
        <v>154</v>
      </c>
      <c r="B48" s="64"/>
      <c r="C48" s="64"/>
      <c r="D48" s="64"/>
      <c r="E48" s="64"/>
      <c r="F48" s="11" t="s">
        <v>4</v>
      </c>
      <c r="H48" s="25"/>
    </row>
    <row r="49" spans="1:9" x14ac:dyDescent="0.25">
      <c r="A49" s="64" t="s">
        <v>155</v>
      </c>
      <c r="B49" s="64"/>
      <c r="C49" s="64"/>
      <c r="D49" s="64"/>
      <c r="E49" s="64"/>
      <c r="F49" s="11" t="s">
        <v>5</v>
      </c>
      <c r="H49" s="26">
        <f>+'Data Entry'!C12</f>
        <v>4.36E-2</v>
      </c>
    </row>
    <row r="50" spans="1:9" x14ac:dyDescent="0.25">
      <c r="A50" s="64" t="s">
        <v>156</v>
      </c>
      <c r="B50" s="64"/>
      <c r="C50" s="64"/>
      <c r="D50" s="64"/>
      <c r="E50" s="64"/>
      <c r="F50" s="10" t="s">
        <v>6</v>
      </c>
      <c r="G50" s="7"/>
      <c r="H50" s="27">
        <f>+'Data Entry'!C13</f>
        <v>3.9780000000000003E-2</v>
      </c>
      <c r="I50" s="236" t="s">
        <v>504</v>
      </c>
    </row>
    <row r="51" spans="1:9" x14ac:dyDescent="0.25">
      <c r="A51" s="64" t="s">
        <v>157</v>
      </c>
      <c r="B51" s="64"/>
      <c r="C51" s="64"/>
      <c r="D51" s="64"/>
      <c r="E51" s="64"/>
      <c r="F51" s="10" t="s">
        <v>7</v>
      </c>
      <c r="G51" s="7"/>
      <c r="H51" s="237">
        <f>+'Data Entry'!C14</f>
        <v>2.6519999999999998E-2</v>
      </c>
      <c r="I51" s="238">
        <f>+'Data Entry'!D14</f>
        <v>2.6759999999999999E-2</v>
      </c>
    </row>
    <row r="52" spans="1:9" x14ac:dyDescent="0.25">
      <c r="A52" s="64" t="s">
        <v>158</v>
      </c>
      <c r="B52" s="64"/>
      <c r="C52" s="64"/>
      <c r="D52" s="64"/>
      <c r="E52" s="64"/>
      <c r="F52" s="10" t="s">
        <v>8</v>
      </c>
      <c r="G52" s="7"/>
      <c r="H52" s="27">
        <f>+'Data Entry'!C15</f>
        <v>0.25419999999999998</v>
      </c>
    </row>
    <row r="53" spans="1:9" x14ac:dyDescent="0.25">
      <c r="A53" s="64" t="s">
        <v>159</v>
      </c>
      <c r="B53" s="64"/>
      <c r="C53" s="64"/>
      <c r="D53" s="64"/>
      <c r="E53" s="64"/>
      <c r="F53" s="10" t="s">
        <v>9</v>
      </c>
      <c r="G53" s="7"/>
      <c r="H53" s="27">
        <f>+'Data Entry'!C16</f>
        <v>5.9400000000000001E-2</v>
      </c>
    </row>
    <row r="54" spans="1:9" x14ac:dyDescent="0.25">
      <c r="A54" s="64" t="s">
        <v>160</v>
      </c>
      <c r="B54" s="64"/>
      <c r="C54" s="64"/>
      <c r="D54" s="64"/>
      <c r="E54" s="64"/>
      <c r="F54" s="10" t="s">
        <v>161</v>
      </c>
      <c r="G54" s="7"/>
      <c r="H54" s="29">
        <f>+'Data Entry'!C17</f>
        <v>97</v>
      </c>
    </row>
    <row r="55" spans="1:9" x14ac:dyDescent="0.25">
      <c r="A55" s="64" t="s">
        <v>162</v>
      </c>
      <c r="B55" s="64"/>
      <c r="C55" s="64"/>
      <c r="D55" s="64"/>
      <c r="E55" s="64"/>
      <c r="F55" s="10" t="s">
        <v>12</v>
      </c>
      <c r="G55" s="7"/>
      <c r="H55" s="29">
        <f>+'Data Entry'!C18</f>
        <v>97</v>
      </c>
    </row>
    <row r="56" spans="1:9" x14ac:dyDescent="0.25">
      <c r="A56" s="64" t="s">
        <v>163</v>
      </c>
      <c r="B56" s="64"/>
      <c r="C56" s="64"/>
      <c r="D56" s="64"/>
      <c r="E56" s="64"/>
      <c r="F56" s="10" t="s">
        <v>14</v>
      </c>
      <c r="G56" s="7"/>
      <c r="H56" s="27">
        <f>+'Data Entry'!C19</f>
        <v>5.4000000000000003E-3</v>
      </c>
    </row>
    <row r="57" spans="1:9" x14ac:dyDescent="0.25">
      <c r="A57" s="64" t="s">
        <v>164</v>
      </c>
      <c r="B57" s="64"/>
      <c r="C57" s="64"/>
      <c r="D57" s="64"/>
      <c r="E57" s="64"/>
      <c r="F57" s="10" t="s">
        <v>17</v>
      </c>
      <c r="G57" s="7"/>
      <c r="H57" s="27">
        <f>+'Data Entry'!C20</f>
        <v>3.09E-2</v>
      </c>
    </row>
    <row r="58" spans="1:9" x14ac:dyDescent="0.25">
      <c r="F58" s="69" t="s">
        <v>165</v>
      </c>
      <c r="G58" s="7"/>
      <c r="H58" s="29">
        <f>+'Data Entry'!D99</f>
        <v>24.56</v>
      </c>
    </row>
    <row r="59" spans="1:9" x14ac:dyDescent="0.25">
      <c r="F59" s="69" t="s">
        <v>166</v>
      </c>
      <c r="G59" s="7"/>
      <c r="H59" s="29">
        <f>+'Data Entry'!E20</f>
        <v>4.8000000000000001E-2</v>
      </c>
    </row>
    <row r="60" spans="1:9" x14ac:dyDescent="0.25">
      <c r="F60" s="69" t="s">
        <v>568</v>
      </c>
      <c r="G60" s="7"/>
      <c r="H60" s="29">
        <f>+'Data Entry'!D113</f>
        <v>3.77</v>
      </c>
    </row>
    <row r="61" spans="1:9" x14ac:dyDescent="0.25">
      <c r="F61" s="69" t="s">
        <v>167</v>
      </c>
      <c r="G61" s="7"/>
      <c r="H61" s="27">
        <f>+'Data Entry'!C21</f>
        <v>0.06</v>
      </c>
    </row>
  </sheetData>
  <phoneticPr fontId="28" type="noConversion"/>
  <pageMargins left="0.75" right="0.25" top="0.25" bottom="0.25" header="0.5" footer="0.22"/>
  <pageSetup scale="95" orientation="portrait" horizontalDpi="300" verticalDpi="300"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zoomScaleNormal="100" workbookViewId="0">
      <selection activeCell="A2" sqref="A1:A2"/>
    </sheetView>
  </sheetViews>
  <sheetFormatPr defaultRowHeight="13.2" x14ac:dyDescent="0.25"/>
  <cols>
    <col min="1" max="1" width="11.6640625" style="47" bestFit="1" customWidth="1"/>
    <col min="2" max="2" width="8.5546875" customWidth="1"/>
    <col min="3" max="3" width="9.5546875" customWidth="1"/>
    <col min="4" max="4" width="11.5546875" customWidth="1"/>
    <col min="5" max="5" width="10.88671875" customWidth="1"/>
    <col min="6" max="6" width="11.88671875" customWidth="1"/>
    <col min="7" max="7" width="13.5546875" customWidth="1"/>
    <col min="8" max="8" width="10" customWidth="1"/>
    <col min="9" max="9" width="10.109375" customWidth="1"/>
  </cols>
  <sheetData>
    <row r="1" spans="1:12" x14ac:dyDescent="0.25">
      <c r="A1" s="73" t="s">
        <v>924</v>
      </c>
    </row>
    <row r="2" spans="1:12" x14ac:dyDescent="0.25">
      <c r="A2" s="73" t="s">
        <v>923</v>
      </c>
    </row>
    <row r="4" spans="1:12" ht="17.399999999999999" x14ac:dyDescent="0.3">
      <c r="A4" s="2" t="str">
        <f>'SL-1 CoS'!A4</f>
        <v>2016 Cost of Service</v>
      </c>
    </row>
    <row r="6" spans="1:12" ht="21" x14ac:dyDescent="0.4">
      <c r="A6" s="722" t="s">
        <v>506</v>
      </c>
      <c r="B6" s="722"/>
      <c r="C6" s="722"/>
      <c r="D6" s="722"/>
      <c r="E6" s="722"/>
      <c r="F6" s="722"/>
      <c r="G6" s="722"/>
      <c r="H6" s="722"/>
      <c r="I6" s="722"/>
      <c r="J6" s="722"/>
      <c r="K6" s="722"/>
    </row>
    <row r="7" spans="1:12" ht="17.399999999999999" x14ac:dyDescent="0.3">
      <c r="A7" s="732" t="s">
        <v>508</v>
      </c>
      <c r="B7" s="732"/>
      <c r="C7" s="732"/>
      <c r="D7" s="732"/>
      <c r="E7" s="732"/>
      <c r="F7" s="732"/>
      <c r="G7" s="732"/>
      <c r="H7" s="732"/>
      <c r="I7" s="732"/>
      <c r="J7" s="732"/>
      <c r="K7" s="732"/>
    </row>
    <row r="8" spans="1:12" ht="17.399999999999999" x14ac:dyDescent="0.3">
      <c r="A8" s="152"/>
      <c r="B8" s="152"/>
      <c r="C8" s="152"/>
      <c r="D8" s="152"/>
      <c r="E8" s="152"/>
      <c r="F8" s="152"/>
      <c r="G8" s="152"/>
      <c r="H8" s="152"/>
      <c r="I8" s="152"/>
    </row>
    <row r="9" spans="1:12" ht="16.2" thickBot="1" x14ac:dyDescent="0.35">
      <c r="A9" s="734" t="s">
        <v>404</v>
      </c>
      <c r="B9" s="734"/>
      <c r="C9" s="734"/>
      <c r="D9" s="734"/>
      <c r="E9" s="734"/>
      <c r="F9" s="734"/>
      <c r="G9" s="734"/>
      <c r="H9" s="734"/>
      <c r="I9" s="734"/>
      <c r="J9" s="734"/>
      <c r="K9" s="734"/>
    </row>
    <row r="10" spans="1:12" s="144" customFormat="1" ht="27.75" customHeight="1" thickBot="1" x14ac:dyDescent="0.3">
      <c r="A10" s="138" t="s">
        <v>416</v>
      </c>
      <c r="B10" s="175" t="s">
        <v>446</v>
      </c>
      <c r="C10" s="139" t="s">
        <v>406</v>
      </c>
      <c r="D10" s="142" t="s">
        <v>129</v>
      </c>
      <c r="E10" s="141" t="s">
        <v>407</v>
      </c>
      <c r="F10" s="142" t="s">
        <v>408</v>
      </c>
      <c r="G10" s="143" t="s">
        <v>168</v>
      </c>
      <c r="H10" s="140" t="s">
        <v>169</v>
      </c>
      <c r="I10" s="143" t="s">
        <v>278</v>
      </c>
      <c r="J10" s="143" t="s">
        <v>554</v>
      </c>
      <c r="K10" s="229" t="s">
        <v>503</v>
      </c>
    </row>
    <row r="11" spans="1:12" x14ac:dyDescent="0.25">
      <c r="A11" s="165" t="s">
        <v>442</v>
      </c>
      <c r="B11" s="176">
        <v>5800</v>
      </c>
      <c r="C11" s="166">
        <v>6.37</v>
      </c>
      <c r="D11" s="362">
        <f>+'70wOH5'!F44</f>
        <v>6.44</v>
      </c>
      <c r="E11" s="363">
        <f>+'70wOH5'!G44</f>
        <v>6.87</v>
      </c>
      <c r="F11" s="362">
        <f>+'70wOH5'!H44</f>
        <v>6.8999999999999995</v>
      </c>
      <c r="G11" s="363">
        <f>+'70wUG6'!F44</f>
        <v>5.9328000000000003</v>
      </c>
      <c r="H11" s="363">
        <f>+'70wUG6'!G44</f>
        <v>5.9527999999999999</v>
      </c>
      <c r="I11" s="363">
        <f>+'70wDS7'!F44</f>
        <v>8.06</v>
      </c>
      <c r="J11" s="375">
        <f>SUM(D11:I11)/6</f>
        <v>6.6926000000000014</v>
      </c>
      <c r="K11" s="367">
        <f>(J11-C11)/C11</f>
        <v>5.064364207221371E-2</v>
      </c>
      <c r="L11" s="3"/>
    </row>
    <row r="12" spans="1:12" x14ac:dyDescent="0.25">
      <c r="A12" s="133" t="s">
        <v>405</v>
      </c>
      <c r="B12" s="178">
        <v>9500</v>
      </c>
      <c r="C12" s="126">
        <v>6.82</v>
      </c>
      <c r="D12" s="334">
        <f>+'100wOH8'!F44</f>
        <v>6.73</v>
      </c>
      <c r="E12" s="335">
        <f>+'100wOH8'!G44</f>
        <v>7.2799999999999994</v>
      </c>
      <c r="F12" s="334">
        <f>+'100wOH8'!H44</f>
        <v>7.3000000000000007</v>
      </c>
      <c r="G12" s="335">
        <f>+'100wUG9'!F44</f>
        <v>6.2371599999999994</v>
      </c>
      <c r="H12" s="335">
        <f>+'100wUG9'!G44</f>
        <v>6.1771599999999998</v>
      </c>
      <c r="I12" s="335" t="s">
        <v>409</v>
      </c>
      <c r="J12" s="357">
        <f>SUM(D12:H12)/5</f>
        <v>6.7448639999999997</v>
      </c>
      <c r="K12" s="368">
        <f>(J12-C12)/C12</f>
        <v>-1.1017008797654037E-2</v>
      </c>
      <c r="L12" s="3"/>
    </row>
    <row r="13" spans="1:12" x14ac:dyDescent="0.25">
      <c r="A13" s="134" t="s">
        <v>443</v>
      </c>
      <c r="B13" s="179">
        <v>16000</v>
      </c>
      <c r="C13" s="125">
        <v>7.56</v>
      </c>
      <c r="D13" s="336">
        <f>+'150wOH10'!F44</f>
        <v>7.39</v>
      </c>
      <c r="E13" s="337">
        <f>+'150wOH10'!G44</f>
        <v>7.830000000000001</v>
      </c>
      <c r="F13" s="336">
        <f>+'150wOH10'!H44</f>
        <v>7.86</v>
      </c>
      <c r="G13" s="337">
        <f>+'150wUG11'!F44</f>
        <v>6.69</v>
      </c>
      <c r="H13" s="337">
        <f>+'150wUG11'!G44</f>
        <v>6.7</v>
      </c>
      <c r="I13" s="340" t="s">
        <v>409</v>
      </c>
      <c r="J13" s="356">
        <f>SUM(D13:H13)/5</f>
        <v>7.2940000000000014</v>
      </c>
      <c r="K13" s="369">
        <f>(J13-C13)/C13</f>
        <v>-3.5185185185184951E-2</v>
      </c>
      <c r="L13" s="3"/>
    </row>
    <row r="14" spans="1:12" x14ac:dyDescent="0.25">
      <c r="A14" s="134" t="s">
        <v>444</v>
      </c>
      <c r="B14" s="178">
        <v>22000</v>
      </c>
      <c r="C14" s="125">
        <v>10.85</v>
      </c>
      <c r="D14" s="339" t="s">
        <v>409</v>
      </c>
      <c r="E14" s="337">
        <f>+'200wOH13'!F44</f>
        <v>11.21</v>
      </c>
      <c r="F14" s="336">
        <f>+'200wOH13'!G44</f>
        <v>11.19</v>
      </c>
      <c r="G14" s="340" t="s">
        <v>409</v>
      </c>
      <c r="H14" s="340" t="s">
        <v>409</v>
      </c>
      <c r="I14" s="337">
        <f>+'200wOH13'!H44</f>
        <v>10.11</v>
      </c>
      <c r="J14" s="356">
        <f>SUM(E14:I14)/3</f>
        <v>10.836666666666666</v>
      </c>
      <c r="K14" s="368">
        <f>(J14-C14)/C14</f>
        <v>-1.2288786482335153E-3</v>
      </c>
      <c r="L14" s="3"/>
    </row>
    <row r="15" spans="1:12" ht="13.8" thickBot="1" x14ac:dyDescent="0.3">
      <c r="A15" s="169" t="s">
        <v>445</v>
      </c>
      <c r="B15" s="198">
        <v>50000</v>
      </c>
      <c r="C15" s="170">
        <v>13.61</v>
      </c>
      <c r="D15" s="364" t="s">
        <v>409</v>
      </c>
      <c r="E15" s="344">
        <f>+'400wOH15'!F44</f>
        <v>13.549999999999999</v>
      </c>
      <c r="F15" s="365">
        <f>+'400wOH15'!G44</f>
        <v>13.4</v>
      </c>
      <c r="G15" s="366" t="s">
        <v>409</v>
      </c>
      <c r="H15" s="366" t="s">
        <v>409</v>
      </c>
      <c r="I15" s="344">
        <f>+'400wOH15'!H44</f>
        <v>12.370000000000001</v>
      </c>
      <c r="J15" s="358">
        <f>SUM(E15:I15)/3</f>
        <v>13.106666666666667</v>
      </c>
      <c r="K15" s="370">
        <f>(J15-C15)/C15</f>
        <v>-3.6982610825373408E-2</v>
      </c>
      <c r="L15" s="3"/>
    </row>
    <row r="16" spans="1:12" ht="13.8" thickBot="1" x14ac:dyDescent="0.3">
      <c r="A16" s="119"/>
      <c r="B16" s="224"/>
      <c r="C16" s="150"/>
      <c r="D16" s="119"/>
      <c r="E16" s="120"/>
      <c r="F16" s="120"/>
      <c r="G16" s="119"/>
      <c r="H16" s="119"/>
      <c r="I16" s="120"/>
      <c r="J16" s="120"/>
      <c r="K16" s="192"/>
    </row>
    <row r="17" spans="1:11" ht="27" thickBot="1" x14ac:dyDescent="0.3">
      <c r="A17" s="138" t="s">
        <v>487</v>
      </c>
      <c r="B17" s="175" t="s">
        <v>446</v>
      </c>
      <c r="C17" s="139" t="s">
        <v>406</v>
      </c>
      <c r="D17" s="195">
        <v>2008</v>
      </c>
      <c r="E17" s="229" t="s">
        <v>503</v>
      </c>
      <c r="F17" s="120"/>
      <c r="G17" s="119"/>
      <c r="H17" s="119"/>
      <c r="I17" s="120"/>
      <c r="J17" s="120"/>
      <c r="K17" s="192"/>
    </row>
    <row r="18" spans="1:11" x14ac:dyDescent="0.25">
      <c r="A18" s="165" t="s">
        <v>488</v>
      </c>
      <c r="B18" s="176">
        <v>6000</v>
      </c>
      <c r="C18" s="166">
        <v>5.79</v>
      </c>
      <c r="D18" s="225">
        <f>E91</f>
        <v>6.2</v>
      </c>
      <c r="E18" s="184">
        <f>(D18-C18)/C18</f>
        <v>7.0811744386873945E-2</v>
      </c>
      <c r="F18" s="120"/>
      <c r="G18" s="119"/>
      <c r="H18" s="119"/>
      <c r="I18" s="120"/>
      <c r="J18" s="120"/>
      <c r="K18" s="192"/>
    </row>
    <row r="19" spans="1:11" x14ac:dyDescent="0.25">
      <c r="A19" s="133" t="s">
        <v>489</v>
      </c>
      <c r="B19" s="178">
        <v>8600</v>
      </c>
      <c r="C19" s="126">
        <v>6.12</v>
      </c>
      <c r="D19" s="226">
        <f>E92</f>
        <v>6.66</v>
      </c>
      <c r="E19" s="184">
        <f>(D19-C19)/C19</f>
        <v>8.8235294117647065E-2</v>
      </c>
      <c r="F19" s="120"/>
      <c r="G19" s="119"/>
      <c r="H19" s="119"/>
      <c r="I19" s="120"/>
      <c r="J19" s="120"/>
      <c r="K19" s="192"/>
    </row>
    <row r="20" spans="1:11" ht="13.8" thickBot="1" x14ac:dyDescent="0.3">
      <c r="A20" s="169" t="s">
        <v>490</v>
      </c>
      <c r="B20" s="198">
        <v>21500</v>
      </c>
      <c r="C20" s="170">
        <v>10.5</v>
      </c>
      <c r="D20" s="227">
        <f>E93</f>
        <v>11.68</v>
      </c>
      <c r="E20" s="213">
        <f>(D20-C20)/C20</f>
        <v>0.11238095238095236</v>
      </c>
      <c r="F20" s="120"/>
      <c r="G20" s="119"/>
      <c r="H20" s="119"/>
      <c r="I20" s="120"/>
      <c r="J20" s="120"/>
      <c r="K20" s="192"/>
    </row>
    <row r="21" spans="1:11" x14ac:dyDescent="0.25">
      <c r="B21" s="118"/>
      <c r="C21" s="47"/>
      <c r="D21" s="47"/>
      <c r="E21" s="47"/>
      <c r="F21" s="47"/>
      <c r="G21" s="47"/>
      <c r="H21" s="47"/>
      <c r="I21" s="47"/>
    </row>
    <row r="22" spans="1:11" ht="16.2" thickBot="1" x14ac:dyDescent="0.35">
      <c r="A22" s="734" t="s">
        <v>2</v>
      </c>
      <c r="B22" s="734"/>
      <c r="C22" s="734"/>
      <c r="D22" s="734"/>
      <c r="E22" s="734"/>
      <c r="F22" s="734"/>
      <c r="G22" s="734"/>
      <c r="H22" s="734"/>
      <c r="I22" s="734"/>
      <c r="J22" s="734"/>
    </row>
    <row r="23" spans="1:11" s="144" customFormat="1" ht="27" customHeight="1" thickBot="1" x14ac:dyDescent="0.3">
      <c r="A23" s="145" t="s">
        <v>415</v>
      </c>
      <c r="B23" s="185" t="s">
        <v>406</v>
      </c>
      <c r="C23" s="140">
        <v>20</v>
      </c>
      <c r="D23" s="141">
        <v>30</v>
      </c>
      <c r="E23" s="140">
        <v>35</v>
      </c>
      <c r="F23" s="141">
        <v>40</v>
      </c>
      <c r="G23" s="140">
        <v>45</v>
      </c>
      <c r="H23" s="141">
        <v>50</v>
      </c>
      <c r="I23" s="143" t="s">
        <v>554</v>
      </c>
      <c r="J23" s="229" t="s">
        <v>503</v>
      </c>
    </row>
    <row r="24" spans="1:11" x14ac:dyDescent="0.25">
      <c r="A24" s="136" t="s">
        <v>410</v>
      </c>
      <c r="B24" s="199">
        <v>3.51</v>
      </c>
      <c r="C24" s="371" t="s">
        <v>409</v>
      </c>
      <c r="D24" s="372">
        <f>+'WoodPoles 23'!F28</f>
        <v>17.7</v>
      </c>
      <c r="E24" s="373">
        <f>+'WoodPoles 23'!G28</f>
        <v>19.54</v>
      </c>
      <c r="F24" s="372">
        <f>+'WoodPoles 23'!H28</f>
        <v>20.03</v>
      </c>
      <c r="G24" s="373">
        <f>+'WoodPoles 23'!I28</f>
        <v>22.35</v>
      </c>
      <c r="H24" s="372">
        <f>'WoodPoles 23'!$J$28</f>
        <v>25.9</v>
      </c>
      <c r="I24" s="374">
        <f>SUM(D24:H24)/5</f>
        <v>21.104000000000003</v>
      </c>
      <c r="J24" s="197">
        <f>(I24-B24)/B24</f>
        <v>5.0125356125356131</v>
      </c>
    </row>
    <row r="25" spans="1:11" x14ac:dyDescent="0.25">
      <c r="A25" s="133" t="s">
        <v>412</v>
      </c>
      <c r="B25" s="186">
        <v>4.72</v>
      </c>
      <c r="C25" s="345" t="s">
        <v>409</v>
      </c>
      <c r="D25" s="335">
        <f>+'ConcPoles OH 24'!F28</f>
        <v>22.19</v>
      </c>
      <c r="E25" s="334">
        <f>+'ConcPoles OH 24'!G28</f>
        <v>22.87</v>
      </c>
      <c r="F25" s="335">
        <f>+'ConcPoles OH 24'!H28</f>
        <v>28.79</v>
      </c>
      <c r="G25" s="334">
        <f>'ConcPoles OH 24'!$I$28</f>
        <v>30.13</v>
      </c>
      <c r="H25" s="335">
        <f>'ConcPoles OH 24'!$J$28</f>
        <v>32.35</v>
      </c>
      <c r="I25" s="357">
        <f>SUM(D25:H25)/5</f>
        <v>27.265999999999998</v>
      </c>
      <c r="J25" s="187">
        <f>(I25-B25)/B25</f>
        <v>4.7766949152542377</v>
      </c>
    </row>
    <row r="26" spans="1:11" x14ac:dyDescent="0.25">
      <c r="A26" s="134" t="s">
        <v>413</v>
      </c>
      <c r="B26" s="381">
        <f>B25</f>
        <v>4.72</v>
      </c>
      <c r="C26" s="336">
        <f>+'ConcPoles UG 24'!F29</f>
        <v>11.57</v>
      </c>
      <c r="D26" s="337">
        <f>+'ConcPoles UG 24'!G29</f>
        <v>14.280000000000001</v>
      </c>
      <c r="E26" s="336">
        <f>+'ConcPoles UG 24'!H29</f>
        <v>15.03</v>
      </c>
      <c r="F26" s="337">
        <f>+'ConcPoles UG 225'!F29</f>
        <v>21.619999999999997</v>
      </c>
      <c r="G26" s="336">
        <f>+'ConcPoles UG 225'!G29</f>
        <v>23.03</v>
      </c>
      <c r="H26" s="337">
        <f>+'ConcPoles UG 225'!H29</f>
        <v>25.31</v>
      </c>
      <c r="I26" s="356">
        <f>SUM(C26:H26)/6</f>
        <v>18.473333333333333</v>
      </c>
      <c r="J26" s="180">
        <f>(I26-B26)/B26</f>
        <v>2.9138418079096047</v>
      </c>
    </row>
    <row r="27" spans="1:11" ht="13.8" thickBot="1" x14ac:dyDescent="0.3">
      <c r="A27" s="135" t="s">
        <v>411</v>
      </c>
      <c r="B27" s="188">
        <v>5.55</v>
      </c>
      <c r="C27" s="346">
        <f>+FGpoles!F29</f>
        <v>8.5500000000000007</v>
      </c>
      <c r="D27" s="343" t="s">
        <v>409</v>
      </c>
      <c r="E27" s="341" t="s">
        <v>409</v>
      </c>
      <c r="F27" s="343" t="s">
        <v>409</v>
      </c>
      <c r="G27" s="341" t="s">
        <v>409</v>
      </c>
      <c r="H27" s="343" t="s">
        <v>409</v>
      </c>
      <c r="I27" s="359">
        <f>$C$27</f>
        <v>8.5500000000000007</v>
      </c>
      <c r="J27" s="200">
        <f>(I27-B27)/B27</f>
        <v>0.54054054054054068</v>
      </c>
      <c r="K27" s="718">
        <f>AVERAGE(J24:J27)</f>
        <v>3.3109032190599992</v>
      </c>
    </row>
    <row r="29" spans="1:11" ht="16.2" thickBot="1" x14ac:dyDescent="0.35">
      <c r="A29" s="735" t="s">
        <v>417</v>
      </c>
      <c r="B29" s="735"/>
      <c r="C29" s="735"/>
      <c r="D29" s="735"/>
      <c r="E29" s="735"/>
      <c r="F29" s="735"/>
      <c r="I29" s="151"/>
    </row>
    <row r="30" spans="1:11" ht="27.75" customHeight="1" thickBot="1" x14ac:dyDescent="0.3">
      <c r="A30" s="201"/>
      <c r="B30" s="202"/>
      <c r="C30" s="218"/>
      <c r="D30" s="217" t="s">
        <v>432</v>
      </c>
      <c r="E30" s="323" t="s">
        <v>581</v>
      </c>
      <c r="F30" s="229" t="s">
        <v>503</v>
      </c>
    </row>
    <row r="31" spans="1:11" x14ac:dyDescent="0.25">
      <c r="A31" s="203" t="s">
        <v>459</v>
      </c>
      <c r="B31" s="204"/>
      <c r="C31" s="223"/>
      <c r="D31" s="221">
        <v>1.7000000000000001E-2</v>
      </c>
      <c r="E31" s="443">
        <f>+UG_Guy26!H64</f>
        <v>3.0132986289504393E-2</v>
      </c>
      <c r="F31" s="205">
        <f>(E31-D31)/D31</f>
        <v>0.77252860526496414</v>
      </c>
      <c r="G31" s="718">
        <f>F31</f>
        <v>0.77252860526496414</v>
      </c>
    </row>
    <row r="32" spans="1:11" ht="13.8" thickBot="1" x14ac:dyDescent="0.3">
      <c r="A32" s="147" t="s">
        <v>434</v>
      </c>
      <c r="B32" s="121"/>
      <c r="C32" s="220"/>
      <c r="D32" s="222"/>
      <c r="E32" s="444"/>
      <c r="F32" s="206"/>
    </row>
    <row r="33" spans="1:9" x14ac:dyDescent="0.25">
      <c r="A33" s="149"/>
      <c r="B33" s="150"/>
      <c r="C33" s="119"/>
      <c r="D33" s="150"/>
      <c r="E33" s="120"/>
    </row>
    <row r="34" spans="1:9" ht="16.2" thickBot="1" x14ac:dyDescent="0.35">
      <c r="A34" s="733" t="s">
        <v>422</v>
      </c>
      <c r="B34" s="733"/>
      <c r="C34" s="733"/>
      <c r="D34" s="733"/>
      <c r="E34" s="733"/>
      <c r="F34" s="733"/>
      <c r="G34" s="733"/>
      <c r="H34" s="733"/>
      <c r="I34" s="733"/>
    </row>
    <row r="35" spans="1:9" ht="27" customHeight="1" thickBot="1" x14ac:dyDescent="0.35">
      <c r="A35" s="215"/>
      <c r="B35" s="214" t="s">
        <v>406</v>
      </c>
      <c r="C35" s="207">
        <v>2010</v>
      </c>
      <c r="D35" s="229" t="s">
        <v>503</v>
      </c>
      <c r="E35" s="148"/>
      <c r="F35" s="148"/>
      <c r="G35" s="148"/>
      <c r="H35" s="148"/>
      <c r="I35" s="148"/>
    </row>
    <row r="36" spans="1:9" ht="13.8" thickBot="1" x14ac:dyDescent="0.3">
      <c r="A36" s="216" t="s">
        <v>423</v>
      </c>
      <c r="B36" s="208">
        <v>2.04</v>
      </c>
      <c r="C36" s="386">
        <f>+UG_Guy26!I27</f>
        <v>4.21</v>
      </c>
      <c r="D36" s="209">
        <f>(C36-B36)/B36</f>
        <v>1.0637254901960784</v>
      </c>
    </row>
    <row r="38" spans="1:9" ht="16.2" thickBot="1" x14ac:dyDescent="0.35">
      <c r="A38" s="734" t="s">
        <v>450</v>
      </c>
      <c r="B38" s="734"/>
      <c r="C38" s="734"/>
      <c r="D38" s="734"/>
      <c r="E38" s="734"/>
      <c r="F38" s="734"/>
      <c r="G38" s="734"/>
      <c r="H38" s="734"/>
    </row>
    <row r="39" spans="1:9" ht="40.5" customHeight="1" thickBot="1" x14ac:dyDescent="0.3">
      <c r="A39" s="138" t="s">
        <v>416</v>
      </c>
      <c r="B39" s="175" t="s">
        <v>446</v>
      </c>
      <c r="C39" s="154" t="s">
        <v>447</v>
      </c>
      <c r="D39" s="323" t="s">
        <v>582</v>
      </c>
      <c r="E39" s="143" t="s">
        <v>503</v>
      </c>
      <c r="F39" s="142" t="s">
        <v>441</v>
      </c>
      <c r="G39" s="322" t="s">
        <v>583</v>
      </c>
      <c r="H39" s="229" t="s">
        <v>503</v>
      </c>
    </row>
    <row r="40" spans="1:9" x14ac:dyDescent="0.25">
      <c r="A40" s="137" t="s">
        <v>442</v>
      </c>
      <c r="B40" s="191">
        <v>5800</v>
      </c>
      <c r="C40" s="448">
        <v>0.97</v>
      </c>
      <c r="D40" s="357">
        <f>('70wOH5'!F42)+('70wOH5'!F43)</f>
        <v>2.6100000000000003</v>
      </c>
      <c r="E40" s="192">
        <f t="shared" ref="E40:E45" si="0">(D40-C40)/C40</f>
        <v>1.6907216494845365</v>
      </c>
      <c r="F40" s="448">
        <v>0.85</v>
      </c>
      <c r="G40" s="357">
        <f>+('70wOH5'!F43)</f>
        <v>0.8</v>
      </c>
      <c r="H40" s="180">
        <f t="shared" ref="H40:H45" si="1">(G40-F40)/F40</f>
        <v>-5.8823529411764629E-2</v>
      </c>
    </row>
    <row r="41" spans="1:9" x14ac:dyDescent="0.25">
      <c r="A41" s="134" t="s">
        <v>405</v>
      </c>
      <c r="B41" s="193">
        <v>9500</v>
      </c>
      <c r="C41" s="449">
        <v>1.1599999999999999</v>
      </c>
      <c r="D41" s="356">
        <f>('100wUG9'!F42)+('100wUG9'!F43)</f>
        <v>2.89716</v>
      </c>
      <c r="E41" s="194">
        <f t="shared" si="0"/>
        <v>1.4975517241379313</v>
      </c>
      <c r="F41" s="449">
        <v>1.2</v>
      </c>
      <c r="G41" s="356">
        <f>+('100wUG9'!F43)</f>
        <v>1.0971599999999999</v>
      </c>
      <c r="H41" s="187">
        <f t="shared" si="1"/>
        <v>-8.570000000000004E-2</v>
      </c>
    </row>
    <row r="42" spans="1:9" x14ac:dyDescent="0.25">
      <c r="A42" s="713" t="s">
        <v>443</v>
      </c>
      <c r="B42" s="191">
        <v>16000</v>
      </c>
      <c r="C42" s="448">
        <v>1.44</v>
      </c>
      <c r="D42" s="357">
        <f>('150wOH10'!F42)+('150wOH10'!F43)</f>
        <v>3.42</v>
      </c>
      <c r="E42" s="192">
        <f t="shared" si="0"/>
        <v>1.375</v>
      </c>
      <c r="F42" s="449">
        <v>1.76</v>
      </c>
      <c r="G42" s="357">
        <f>+('150wOH10'!F43)</f>
        <v>1.61</v>
      </c>
      <c r="H42" s="180">
        <f t="shared" si="1"/>
        <v>-8.5227272727272679E-2</v>
      </c>
    </row>
    <row r="43" spans="1:9" x14ac:dyDescent="0.25">
      <c r="A43" s="134" t="s">
        <v>444</v>
      </c>
      <c r="B43" s="193">
        <v>22000</v>
      </c>
      <c r="C43" s="449">
        <v>1.88</v>
      </c>
      <c r="D43" s="356">
        <f>('200wOH13'!F42)+('200wOH13'!F43)</f>
        <v>4.0600000000000005</v>
      </c>
      <c r="E43" s="194">
        <f t="shared" si="0"/>
        <v>1.1595744680851068</v>
      </c>
      <c r="F43" s="449">
        <v>2.58</v>
      </c>
      <c r="G43" s="356">
        <f>+('200wOH13'!F43)</f>
        <v>2.25</v>
      </c>
      <c r="H43" s="187">
        <f t="shared" si="1"/>
        <v>-0.12790697674418608</v>
      </c>
    </row>
    <row r="44" spans="1:9" x14ac:dyDescent="0.25">
      <c r="A44" s="134" t="s">
        <v>445</v>
      </c>
      <c r="B44" s="193">
        <v>50000</v>
      </c>
      <c r="C44" s="449">
        <v>3.12</v>
      </c>
      <c r="D44" s="356">
        <f>('400wOH15'!F42)+('400wOH15'!F43)</f>
        <v>6.23</v>
      </c>
      <c r="E44" s="192">
        <f t="shared" si="0"/>
        <v>0.99679487179487192</v>
      </c>
      <c r="F44" s="449">
        <v>4.93</v>
      </c>
      <c r="G44" s="356">
        <f>+('400wOH15'!F43)</f>
        <v>4.42</v>
      </c>
      <c r="H44" s="180">
        <f t="shared" si="1"/>
        <v>-0.10344827586206892</v>
      </c>
    </row>
    <row r="45" spans="1:9" ht="13.8" thickBot="1" x14ac:dyDescent="0.3">
      <c r="A45" s="713" t="s">
        <v>454</v>
      </c>
      <c r="B45" s="191">
        <v>12000</v>
      </c>
      <c r="C45" s="448">
        <v>1.65</v>
      </c>
      <c r="D45" s="357">
        <f>(xxx150wUG_old12!G29)+(xxx150wUG_old12!G30)</f>
        <v>3.66</v>
      </c>
      <c r="E45" s="230">
        <f t="shared" si="0"/>
        <v>1.2181818181818185</v>
      </c>
      <c r="F45" s="448">
        <v>1.76</v>
      </c>
      <c r="G45" s="357">
        <f>+(xxx150wUG_old12!G30)</f>
        <v>1.61</v>
      </c>
      <c r="H45" s="231">
        <f t="shared" si="1"/>
        <v>-8.5227272727272679E-2</v>
      </c>
      <c r="I45" s="277" t="s">
        <v>918</v>
      </c>
    </row>
    <row r="46" spans="1:9" ht="40.5" customHeight="1" thickBot="1" x14ac:dyDescent="0.3">
      <c r="A46" s="138" t="s">
        <v>460</v>
      </c>
      <c r="B46" s="175" t="s">
        <v>446</v>
      </c>
      <c r="C46" s="154" t="s">
        <v>447</v>
      </c>
      <c r="D46" s="323" t="s">
        <v>582</v>
      </c>
      <c r="E46" s="143" t="s">
        <v>503</v>
      </c>
      <c r="F46" s="142" t="s">
        <v>441</v>
      </c>
      <c r="G46" s="322" t="s">
        <v>583</v>
      </c>
      <c r="H46" s="229" t="s">
        <v>503</v>
      </c>
    </row>
    <row r="47" spans="1:9" ht="12.75" x14ac:dyDescent="0.2">
      <c r="A47" s="155" t="s">
        <v>455</v>
      </c>
      <c r="B47" s="196">
        <v>6000</v>
      </c>
      <c r="C47" s="156">
        <v>1.47</v>
      </c>
      <c r="D47" s="710">
        <f>('17'!F29)+('17'!F30)</f>
        <v>3.9000000000000004</v>
      </c>
      <c r="E47" s="211">
        <f>(D47-C47)/C47</f>
        <v>1.6530612244897964</v>
      </c>
      <c r="F47" s="157">
        <v>1.82</v>
      </c>
      <c r="G47" s="387">
        <f>+('17'!F30)</f>
        <v>1.66</v>
      </c>
      <c r="H47" s="180">
        <f>(G47-F47)/F47</f>
        <v>-8.7912087912087988E-2</v>
      </c>
    </row>
    <row r="48" spans="1:9" x14ac:dyDescent="0.25">
      <c r="A48" s="158" t="s">
        <v>456</v>
      </c>
      <c r="B48" s="193">
        <v>8600</v>
      </c>
      <c r="C48" s="452">
        <v>1.7</v>
      </c>
      <c r="D48" s="711">
        <f>('18'!F29)+('18'!F30)</f>
        <v>4.3000000000000007</v>
      </c>
      <c r="E48" s="194">
        <f>(D48-C48)/C48</f>
        <v>1.5294117647058827</v>
      </c>
      <c r="F48" s="450">
        <v>2.2599999999999998</v>
      </c>
      <c r="G48" s="388">
        <f>+('18'!F30)</f>
        <v>2.06</v>
      </c>
      <c r="H48" s="187">
        <f>(G48-F48)/F48</f>
        <v>-8.8495575221238826E-2</v>
      </c>
    </row>
    <row r="49" spans="1:11" ht="13.8" thickBot="1" x14ac:dyDescent="0.3">
      <c r="A49" s="159" t="s">
        <v>457</v>
      </c>
      <c r="B49" s="198">
        <v>21500</v>
      </c>
      <c r="C49" s="453">
        <v>2.98</v>
      </c>
      <c r="D49" s="712">
        <f>('19'!F29)+('19'!F30)</f>
        <v>6.5600000000000005</v>
      </c>
      <c r="E49" s="210">
        <f>(D49-C49)/C49</f>
        <v>1.2013422818791948</v>
      </c>
      <c r="F49" s="451">
        <v>4.6900000000000004</v>
      </c>
      <c r="G49" s="389">
        <f>+('19'!F30)</f>
        <v>4.28</v>
      </c>
      <c r="H49" s="182">
        <f>(G49-F49)/F49</f>
        <v>-8.7420042643923265E-2</v>
      </c>
    </row>
    <row r="51" spans="1:11" x14ac:dyDescent="0.25">
      <c r="A51" s="160" t="s">
        <v>451</v>
      </c>
    </row>
    <row r="52" spans="1:11" x14ac:dyDescent="0.25">
      <c r="A52" s="272" t="s">
        <v>550</v>
      </c>
      <c r="B52" s="273"/>
      <c r="C52" s="273"/>
      <c r="D52" s="273"/>
      <c r="E52" s="273"/>
      <c r="F52" s="273"/>
      <c r="G52" s="273"/>
    </row>
    <row r="53" spans="1:11" ht="12.75" x14ac:dyDescent="0.2">
      <c r="A53" s="272" t="s">
        <v>549</v>
      </c>
      <c r="B53" s="273"/>
      <c r="C53" s="273"/>
      <c r="D53" s="273"/>
      <c r="E53" s="273"/>
      <c r="F53" s="273"/>
      <c r="G53" s="273"/>
    </row>
    <row r="54" spans="1:11" x14ac:dyDescent="0.25">
      <c r="A54" s="272" t="s">
        <v>491</v>
      </c>
      <c r="B54" s="273"/>
      <c r="C54" s="273"/>
      <c r="D54" s="273"/>
      <c r="E54" s="273"/>
      <c r="F54" s="273"/>
      <c r="G54" s="273"/>
    </row>
    <row r="55" spans="1:11" x14ac:dyDescent="0.25">
      <c r="A55" s="274"/>
      <c r="B55" s="275"/>
      <c r="C55" s="275"/>
      <c r="D55" s="275"/>
      <c r="E55" s="275"/>
      <c r="F55" s="275"/>
      <c r="G55" s="275"/>
    </row>
    <row r="57" spans="1:11" ht="16.2" thickBot="1" x14ac:dyDescent="0.35">
      <c r="A57" s="734" t="s">
        <v>531</v>
      </c>
      <c r="B57" s="734"/>
      <c r="C57" s="734"/>
      <c r="D57" s="734"/>
      <c r="E57" s="734"/>
      <c r="F57" s="734"/>
      <c r="G57" s="734"/>
      <c r="H57" s="734"/>
      <c r="I57" s="734"/>
      <c r="J57" s="734"/>
      <c r="K57" s="734"/>
    </row>
    <row r="58" spans="1:11" ht="40.200000000000003" thickBot="1" x14ac:dyDescent="0.3">
      <c r="A58" s="138" t="s">
        <v>416</v>
      </c>
      <c r="B58" s="175" t="s">
        <v>446</v>
      </c>
      <c r="C58" s="139" t="s">
        <v>406</v>
      </c>
      <c r="D58" s="142" t="s">
        <v>129</v>
      </c>
      <c r="E58" s="141" t="s">
        <v>407</v>
      </c>
      <c r="F58" s="142" t="s">
        <v>408</v>
      </c>
      <c r="G58" s="143" t="s">
        <v>168</v>
      </c>
      <c r="H58" s="140" t="s">
        <v>169</v>
      </c>
      <c r="I58" s="143" t="s">
        <v>278</v>
      </c>
      <c r="J58" s="322" t="s">
        <v>571</v>
      </c>
      <c r="K58" s="229" t="s">
        <v>503</v>
      </c>
    </row>
    <row r="59" spans="1:11" x14ac:dyDescent="0.25">
      <c r="A59" s="165" t="s">
        <v>442</v>
      </c>
      <c r="B59" s="176">
        <v>5800</v>
      </c>
      <c r="C59" s="454">
        <v>4.49</v>
      </c>
      <c r="D59" s="362">
        <f>+'70wOH5'!F40</f>
        <v>3.04</v>
      </c>
      <c r="E59" s="363">
        <f>+'70wOH5'!G40</f>
        <v>3.38</v>
      </c>
      <c r="F59" s="362">
        <f>+'70wOH5'!H40</f>
        <v>3.4</v>
      </c>
      <c r="G59" s="363">
        <f>+'70wUG6'!F40</f>
        <v>2.63</v>
      </c>
      <c r="H59" s="363">
        <f>+'70wUG6'!G40</f>
        <v>2.65</v>
      </c>
      <c r="I59" s="363">
        <f>+'70wDS7'!F40</f>
        <v>4.32</v>
      </c>
      <c r="J59" s="375">
        <f>SUM(D59:I59)/6</f>
        <v>3.2366666666666668</v>
      </c>
      <c r="K59" s="197">
        <f>(J59-C59)/C59</f>
        <v>-0.27913882702301412</v>
      </c>
    </row>
    <row r="60" spans="1:11" x14ac:dyDescent="0.25">
      <c r="A60" s="133" t="s">
        <v>405</v>
      </c>
      <c r="B60" s="178">
        <v>9500</v>
      </c>
      <c r="C60" s="445">
        <v>4.59</v>
      </c>
      <c r="D60" s="334">
        <f>+'100wOH8'!F40</f>
        <v>3.04</v>
      </c>
      <c r="E60" s="335">
        <f>+'100wOH8'!G40</f>
        <v>3.47</v>
      </c>
      <c r="F60" s="334">
        <f>+'100wOH8'!H40</f>
        <v>3.49</v>
      </c>
      <c r="G60" s="335">
        <f>+'100wUG9'!F40</f>
        <v>2.65</v>
      </c>
      <c r="H60" s="335">
        <f>+'100wUG9'!G40</f>
        <v>2.6</v>
      </c>
      <c r="I60" s="335" t="s">
        <v>409</v>
      </c>
      <c r="J60" s="357">
        <f>SUM(D60:H60)/5</f>
        <v>3.05</v>
      </c>
      <c r="K60" s="187">
        <f>(J60-C60)/C60</f>
        <v>-0.33551198257080611</v>
      </c>
    </row>
    <row r="61" spans="1:11" x14ac:dyDescent="0.25">
      <c r="A61" s="134" t="s">
        <v>443</v>
      </c>
      <c r="B61" s="179">
        <v>16000</v>
      </c>
      <c r="C61" s="446">
        <v>4.75</v>
      </c>
      <c r="D61" s="336">
        <f>+'150wOH10'!F40</f>
        <v>3.15</v>
      </c>
      <c r="E61" s="337">
        <f>+'150wOH10'!G40</f>
        <v>3.5</v>
      </c>
      <c r="F61" s="336">
        <f>+'150wOH10'!H40</f>
        <v>3.52</v>
      </c>
      <c r="G61" s="337">
        <f>+'150wUG11'!F40</f>
        <v>2.59</v>
      </c>
      <c r="H61" s="337">
        <f>+'150wUG11'!G40</f>
        <v>2.6</v>
      </c>
      <c r="I61" s="340" t="s">
        <v>409</v>
      </c>
      <c r="J61" s="356">
        <f>SUM(D61:H61)/5</f>
        <v>3.0720000000000001</v>
      </c>
      <c r="K61" s="180">
        <f>(J61-C61)/C61</f>
        <v>-0.35326315789473683</v>
      </c>
    </row>
    <row r="62" spans="1:11" x14ac:dyDescent="0.25">
      <c r="A62" s="134" t="s">
        <v>444</v>
      </c>
      <c r="B62" s="178">
        <v>22000</v>
      </c>
      <c r="C62" s="446">
        <v>6.91</v>
      </c>
      <c r="D62" s="339" t="s">
        <v>409</v>
      </c>
      <c r="E62" s="337">
        <f>+'200wOH13'!F40</f>
        <v>5.67</v>
      </c>
      <c r="F62" s="336">
        <f>+'200wOH13'!G40</f>
        <v>5.66</v>
      </c>
      <c r="G62" s="340" t="s">
        <v>409</v>
      </c>
      <c r="H62" s="340" t="s">
        <v>409</v>
      </c>
      <c r="I62" s="337">
        <f>+'200wOH13'!H40</f>
        <v>4.8</v>
      </c>
      <c r="J62" s="356">
        <f>SUM(E62:I62)/3</f>
        <v>5.376666666666666</v>
      </c>
      <c r="K62" s="187">
        <f>(J62-C62)/C62</f>
        <v>-0.22190062711046804</v>
      </c>
    </row>
    <row r="63" spans="1:11" ht="13.8" thickBot="1" x14ac:dyDescent="0.3">
      <c r="A63" s="169" t="s">
        <v>445</v>
      </c>
      <c r="B63" s="198">
        <v>50000</v>
      </c>
      <c r="C63" s="455">
        <v>7.35</v>
      </c>
      <c r="D63" s="364" t="s">
        <v>409</v>
      </c>
      <c r="E63" s="344">
        <f>+'400wOH15'!F40</f>
        <v>5.81</v>
      </c>
      <c r="F63" s="365">
        <f>+'400wOH15'!G40</f>
        <v>5.69</v>
      </c>
      <c r="G63" s="366" t="s">
        <v>409</v>
      </c>
      <c r="H63" s="366" t="s">
        <v>409</v>
      </c>
      <c r="I63" s="344">
        <f>+'400wOH15'!H40</f>
        <v>4.87</v>
      </c>
      <c r="J63" s="358">
        <f>SUM(E63:I63)/3</f>
        <v>5.456666666666667</v>
      </c>
      <c r="K63" s="182">
        <f>(J63-C63)/C63</f>
        <v>-0.25759637188208606</v>
      </c>
    </row>
    <row r="64" spans="1:11" x14ac:dyDescent="0.25">
      <c r="A64" s="119"/>
      <c r="B64" s="224"/>
      <c r="C64" s="150"/>
      <c r="D64" s="119"/>
      <c r="E64" s="120"/>
      <c r="F64" s="120"/>
      <c r="G64" s="119"/>
      <c r="H64" s="119"/>
      <c r="I64" s="120"/>
      <c r="J64" s="120"/>
      <c r="K64" s="192"/>
    </row>
    <row r="65" spans="1:12" ht="16.2" thickBot="1" x14ac:dyDescent="0.35">
      <c r="A65" s="734" t="s">
        <v>530</v>
      </c>
      <c r="B65" s="734"/>
      <c r="C65" s="734"/>
      <c r="D65" s="734"/>
      <c r="E65" s="734"/>
      <c r="F65" s="734"/>
      <c r="G65" s="734"/>
      <c r="H65" s="734"/>
      <c r="I65" s="734"/>
      <c r="J65" s="734"/>
      <c r="K65" s="734"/>
    </row>
    <row r="66" spans="1:12" ht="40.200000000000003" thickBot="1" x14ac:dyDescent="0.3">
      <c r="A66" s="138" t="s">
        <v>416</v>
      </c>
      <c r="B66" s="175" t="s">
        <v>446</v>
      </c>
      <c r="C66" s="139" t="s">
        <v>406</v>
      </c>
      <c r="D66" s="142" t="s">
        <v>129</v>
      </c>
      <c r="E66" s="141" t="s">
        <v>407</v>
      </c>
      <c r="F66" s="142" t="s">
        <v>408</v>
      </c>
      <c r="G66" s="143" t="s">
        <v>168</v>
      </c>
      <c r="H66" s="140" t="s">
        <v>169</v>
      </c>
      <c r="I66" s="143" t="s">
        <v>278</v>
      </c>
      <c r="J66" s="322" t="s">
        <v>571</v>
      </c>
      <c r="K66" s="229" t="s">
        <v>503</v>
      </c>
    </row>
    <row r="67" spans="1:12" x14ac:dyDescent="0.25">
      <c r="A67" s="165" t="s">
        <v>442</v>
      </c>
      <c r="B67" s="176">
        <v>5800</v>
      </c>
      <c r="C67" s="454">
        <v>1.03</v>
      </c>
      <c r="D67" s="362">
        <f>+'70wOH5'!F41+D83</f>
        <v>2.6</v>
      </c>
      <c r="E67" s="363">
        <f>+'70wOH5'!G41+E83</f>
        <v>2.69</v>
      </c>
      <c r="F67" s="362">
        <f>+'70wOH5'!H41+F83</f>
        <v>2.7</v>
      </c>
      <c r="G67" s="363">
        <f>+'70wUG6'!F41+G83</f>
        <v>2.5</v>
      </c>
      <c r="H67" s="363">
        <f>+'70wUG6'!G41+H83</f>
        <v>2.5</v>
      </c>
      <c r="I67" s="363">
        <f>+'70wDS7'!F41+I83</f>
        <v>2.94</v>
      </c>
      <c r="J67" s="375">
        <f>SUM(D67:I67)/6</f>
        <v>2.6549999999999998</v>
      </c>
      <c r="K67" s="197">
        <f>(J67-C67)/C67</f>
        <v>1.5776699029126211</v>
      </c>
    </row>
    <row r="68" spans="1:12" x14ac:dyDescent="0.25">
      <c r="A68" s="133" t="s">
        <v>405</v>
      </c>
      <c r="B68" s="178">
        <v>9500</v>
      </c>
      <c r="C68" s="445">
        <v>1.03</v>
      </c>
      <c r="D68" s="334">
        <f>+'100wOH8'!F41+D84</f>
        <v>2.59</v>
      </c>
      <c r="E68" s="335">
        <f>+'100wOH8'!G41+E84</f>
        <v>2.71</v>
      </c>
      <c r="F68" s="334">
        <f>+'100wOH8'!H41+F84</f>
        <v>2.71</v>
      </c>
      <c r="G68" s="335">
        <f>+'100wUG9'!F41+G84</f>
        <v>2.4900000000000002</v>
      </c>
      <c r="H68" s="335">
        <f>+'100wUG9'!G41+H84</f>
        <v>2.48</v>
      </c>
      <c r="I68" s="335" t="s">
        <v>409</v>
      </c>
      <c r="J68" s="357">
        <f>SUM(D68:H68)/5</f>
        <v>2.5960000000000001</v>
      </c>
      <c r="K68" s="187">
        <f>(J68-C68)/C68</f>
        <v>1.5203883495145631</v>
      </c>
    </row>
    <row r="69" spans="1:12" ht="12.75" x14ac:dyDescent="0.2">
      <c r="A69" s="134" t="s">
        <v>443</v>
      </c>
      <c r="B69" s="179">
        <v>16000</v>
      </c>
      <c r="C69" s="446">
        <v>1.05</v>
      </c>
      <c r="D69" s="336">
        <f>+'150wOH10'!F41+D85</f>
        <v>2.63</v>
      </c>
      <c r="E69" s="337">
        <f>+'150wOH10'!G41+E85</f>
        <v>2.72</v>
      </c>
      <c r="F69" s="336">
        <f>+'150wOH10'!H41+F85</f>
        <v>2.73</v>
      </c>
      <c r="G69" s="337">
        <f>+'150wUG11'!F41+G85</f>
        <v>2.4900000000000002</v>
      </c>
      <c r="H69" s="337">
        <f>+'150wUG11'!G41+H85</f>
        <v>2.4900000000000002</v>
      </c>
      <c r="I69" s="340" t="s">
        <v>409</v>
      </c>
      <c r="J69" s="356">
        <f>SUM(D69:H69)/5</f>
        <v>2.6120000000000001</v>
      </c>
      <c r="K69" s="180">
        <f>(J69-C69)/C69</f>
        <v>1.4876190476190476</v>
      </c>
    </row>
    <row r="70" spans="1:12" x14ac:dyDescent="0.25">
      <c r="A70" s="134" t="s">
        <v>444</v>
      </c>
      <c r="B70" s="178">
        <v>22000</v>
      </c>
      <c r="C70" s="446">
        <v>1.36</v>
      </c>
      <c r="D70" s="339" t="s">
        <v>409</v>
      </c>
      <c r="E70" s="337">
        <f>+'200wOH13'!F41+E86</f>
        <v>3.29</v>
      </c>
      <c r="F70" s="336">
        <f>+'200wOH13'!G41+F86</f>
        <v>3.2800000000000002</v>
      </c>
      <c r="G70" s="340" t="s">
        <v>409</v>
      </c>
      <c r="H70" s="340" t="s">
        <v>409</v>
      </c>
      <c r="I70" s="337">
        <f>+'200wOH13'!H41+I86</f>
        <v>3.06</v>
      </c>
      <c r="J70" s="356">
        <f>SUM(E70:I70)/3</f>
        <v>3.2100000000000004</v>
      </c>
      <c r="K70" s="187">
        <f>(J70-C70)/C70</f>
        <v>1.3602941176470589</v>
      </c>
    </row>
    <row r="71" spans="1:12" ht="13.8" thickBot="1" x14ac:dyDescent="0.3">
      <c r="A71" s="169" t="s">
        <v>445</v>
      </c>
      <c r="B71" s="198">
        <v>50000</v>
      </c>
      <c r="C71" s="455">
        <v>1.34</v>
      </c>
      <c r="D71" s="364" t="s">
        <v>409</v>
      </c>
      <c r="E71" s="344">
        <f>+'400wOH15'!F41+E87</f>
        <v>3.3200000000000003</v>
      </c>
      <c r="F71" s="365">
        <f>+'400wOH15'!G41+F87</f>
        <v>3.29</v>
      </c>
      <c r="G71" s="366" t="s">
        <v>409</v>
      </c>
      <c r="H71" s="366" t="s">
        <v>409</v>
      </c>
      <c r="I71" s="344">
        <f>+'400wOH15'!H41+I87</f>
        <v>3.08</v>
      </c>
      <c r="J71" s="358">
        <f>SUM(E71:I71)/3</f>
        <v>3.2300000000000004</v>
      </c>
      <c r="K71" s="182">
        <f>(J71-C71)/C71</f>
        <v>1.41044776119403</v>
      </c>
      <c r="L71" s="718">
        <f>AVERAGE(K67:K71)</f>
        <v>1.4712838357774642</v>
      </c>
    </row>
    <row r="73" spans="1:12" ht="16.2" thickBot="1" x14ac:dyDescent="0.35">
      <c r="A73" s="734" t="s">
        <v>532</v>
      </c>
      <c r="B73" s="734"/>
      <c r="C73" s="734"/>
      <c r="D73" s="734"/>
      <c r="E73" s="734"/>
      <c r="F73" s="734"/>
      <c r="G73" s="734"/>
      <c r="H73" s="734"/>
      <c r="I73" s="734"/>
      <c r="J73" s="734"/>
      <c r="K73" s="734"/>
    </row>
    <row r="74" spans="1:12" ht="40.200000000000003" thickBot="1" x14ac:dyDescent="0.3">
      <c r="A74" s="138" t="s">
        <v>416</v>
      </c>
      <c r="B74" s="175" t="s">
        <v>446</v>
      </c>
      <c r="C74" s="139" t="s">
        <v>406</v>
      </c>
      <c r="D74" s="142" t="s">
        <v>129</v>
      </c>
      <c r="E74" s="141" t="s">
        <v>407</v>
      </c>
      <c r="F74" s="142" t="s">
        <v>408</v>
      </c>
      <c r="G74" s="143" t="s">
        <v>168</v>
      </c>
      <c r="H74" s="140" t="s">
        <v>169</v>
      </c>
      <c r="I74" s="143" t="s">
        <v>278</v>
      </c>
      <c r="J74" s="322" t="s">
        <v>571</v>
      </c>
      <c r="K74" s="229" t="s">
        <v>503</v>
      </c>
    </row>
    <row r="75" spans="1:12" x14ac:dyDescent="0.25">
      <c r="A75" s="165" t="s">
        <v>442</v>
      </c>
      <c r="B75" s="176">
        <v>5800</v>
      </c>
      <c r="C75" s="454">
        <v>0.85</v>
      </c>
      <c r="D75" s="362">
        <f>+'70wOH5'!F43</f>
        <v>0.8</v>
      </c>
      <c r="E75" s="363">
        <f>+'70wOH5'!G43</f>
        <v>0.8</v>
      </c>
      <c r="F75" s="362">
        <f>+'70wOH5'!H43</f>
        <v>0.8</v>
      </c>
      <c r="G75" s="363">
        <f>+'70wUG6'!F43</f>
        <v>0.80279999999999996</v>
      </c>
      <c r="H75" s="363">
        <f>+'70wUG6'!G43</f>
        <v>0.80279999999999996</v>
      </c>
      <c r="I75" s="363">
        <f>+'70wDS7'!F43</f>
        <v>0.8</v>
      </c>
      <c r="J75" s="375">
        <f>SUM(D75:I75)/6</f>
        <v>0.80093333333333339</v>
      </c>
      <c r="K75" s="197">
        <f>(J75-C75)/C75</f>
        <v>-5.7725490196078345E-2</v>
      </c>
    </row>
    <row r="76" spans="1:12" x14ac:dyDescent="0.25">
      <c r="A76" s="133" t="s">
        <v>405</v>
      </c>
      <c r="B76" s="178">
        <v>9500</v>
      </c>
      <c r="C76" s="445">
        <v>1.2</v>
      </c>
      <c r="D76" s="334">
        <f>+'100wOH8'!F43</f>
        <v>1.1000000000000001</v>
      </c>
      <c r="E76" s="335">
        <f>+'100wOH8'!G43</f>
        <v>1.1000000000000001</v>
      </c>
      <c r="F76" s="334">
        <f>+'100wOH8'!H43</f>
        <v>1.1000000000000001</v>
      </c>
      <c r="G76" s="335">
        <f>+'100wUG9'!F43</f>
        <v>1.0971599999999999</v>
      </c>
      <c r="H76" s="335">
        <f>+'100wUG9'!G43</f>
        <v>1.0971599999999999</v>
      </c>
      <c r="I76" s="335" t="s">
        <v>409</v>
      </c>
      <c r="J76" s="357">
        <f>SUM(D76:H76)/5</f>
        <v>1.0988640000000001</v>
      </c>
      <c r="K76" s="187">
        <f>(J76-C76)/C76</f>
        <v>-8.4279999999999911E-2</v>
      </c>
    </row>
    <row r="77" spans="1:12" ht="12.75" x14ac:dyDescent="0.2">
      <c r="A77" s="134" t="s">
        <v>443</v>
      </c>
      <c r="B77" s="179">
        <v>16000</v>
      </c>
      <c r="C77" s="446">
        <v>1.76</v>
      </c>
      <c r="D77" s="336">
        <f>+'150wOH10'!F43</f>
        <v>1.61</v>
      </c>
      <c r="E77" s="337">
        <f>+'150wOH10'!G43</f>
        <v>1.61</v>
      </c>
      <c r="F77" s="336">
        <f>+'150wOH10'!H43</f>
        <v>1.61</v>
      </c>
      <c r="G77" s="337">
        <f>+'150wUG11'!F43</f>
        <v>1.61</v>
      </c>
      <c r="H77" s="337">
        <f>+'150wUG11'!G43</f>
        <v>1.61</v>
      </c>
      <c r="I77" s="340" t="s">
        <v>409</v>
      </c>
      <c r="J77" s="356">
        <f>SUM(D77:H77)/5</f>
        <v>1.61</v>
      </c>
      <c r="K77" s="180">
        <f>(J77-C77)/C77</f>
        <v>-8.5227272727272679E-2</v>
      </c>
    </row>
    <row r="78" spans="1:12" x14ac:dyDescent="0.25">
      <c r="A78" s="134" t="s">
        <v>444</v>
      </c>
      <c r="B78" s="178">
        <v>22000</v>
      </c>
      <c r="C78" s="446">
        <v>2.58</v>
      </c>
      <c r="D78" s="339" t="s">
        <v>409</v>
      </c>
      <c r="E78" s="337">
        <f>+'200wOH13'!F43</f>
        <v>2.25</v>
      </c>
      <c r="F78" s="336">
        <f>+'200wOH13'!G43</f>
        <v>2.25</v>
      </c>
      <c r="G78" s="340" t="s">
        <v>409</v>
      </c>
      <c r="H78" s="340" t="s">
        <v>409</v>
      </c>
      <c r="I78" s="337">
        <f>+'200wOH13'!H43</f>
        <v>2.25</v>
      </c>
      <c r="J78" s="356">
        <f>SUM(E78:I78)/3</f>
        <v>2.25</v>
      </c>
      <c r="K78" s="187">
        <f>(J78-C78)/C78</f>
        <v>-0.12790697674418608</v>
      </c>
    </row>
    <row r="79" spans="1:12" ht="13.8" thickBot="1" x14ac:dyDescent="0.3">
      <c r="A79" s="169" t="s">
        <v>445</v>
      </c>
      <c r="B79" s="198">
        <v>50000</v>
      </c>
      <c r="C79" s="442">
        <v>4.93</v>
      </c>
      <c r="D79" s="364" t="s">
        <v>409</v>
      </c>
      <c r="E79" s="344">
        <f>+'400wOH15'!F43</f>
        <v>4.42</v>
      </c>
      <c r="F79" s="365">
        <f>+'400wOH15'!G43</f>
        <v>4.42</v>
      </c>
      <c r="G79" s="366" t="s">
        <v>409</v>
      </c>
      <c r="H79" s="366" t="s">
        <v>409</v>
      </c>
      <c r="I79" s="344">
        <f>+'400wOH15'!H43</f>
        <v>4.42</v>
      </c>
      <c r="J79" s="358">
        <f>SUM(E79:I79)/3</f>
        <v>4.42</v>
      </c>
      <c r="K79" s="182">
        <f>(J79-C79)/C79</f>
        <v>-0.10344827586206892</v>
      </c>
    </row>
    <row r="81" spans="1:11" ht="16.2" thickBot="1" x14ac:dyDescent="0.35">
      <c r="A81" s="734" t="s">
        <v>533</v>
      </c>
      <c r="B81" s="734"/>
      <c r="C81" s="734"/>
      <c r="D81" s="734"/>
      <c r="E81" s="734"/>
      <c r="F81" s="734"/>
      <c r="G81" s="734"/>
      <c r="H81" s="734"/>
      <c r="I81" s="734"/>
      <c r="J81" s="734"/>
      <c r="K81" s="734"/>
    </row>
    <row r="82" spans="1:11" ht="40.200000000000003" thickBot="1" x14ac:dyDescent="0.3">
      <c r="A82" s="138" t="s">
        <v>416</v>
      </c>
      <c r="B82" s="175" t="s">
        <v>446</v>
      </c>
      <c r="C82" s="139" t="s">
        <v>406</v>
      </c>
      <c r="D82" s="142" t="s">
        <v>129</v>
      </c>
      <c r="E82" s="141" t="s">
        <v>407</v>
      </c>
      <c r="F82" s="142" t="s">
        <v>408</v>
      </c>
      <c r="G82" s="143" t="s">
        <v>168</v>
      </c>
      <c r="H82" s="140" t="s">
        <v>169</v>
      </c>
      <c r="I82" s="143" t="s">
        <v>278</v>
      </c>
      <c r="J82" s="143" t="s">
        <v>511</v>
      </c>
      <c r="K82" s="229" t="s">
        <v>503</v>
      </c>
    </row>
    <row r="83" spans="1:11" x14ac:dyDescent="0.25">
      <c r="A83" s="165" t="s">
        <v>442</v>
      </c>
      <c r="B83" s="176">
        <v>5800</v>
      </c>
      <c r="C83" s="166">
        <v>1.32</v>
      </c>
      <c r="D83" s="167">
        <f>+'70wOH5'!F42</f>
        <v>1.81</v>
      </c>
      <c r="E83" s="168">
        <f>+'70wOH5'!G42</f>
        <v>1.81</v>
      </c>
      <c r="F83" s="167">
        <f>+'70wOH5'!H42</f>
        <v>1.81</v>
      </c>
      <c r="G83" s="168">
        <f>+'70wUG6'!F42</f>
        <v>1.81</v>
      </c>
      <c r="H83" s="168">
        <f>+'70wUG6'!G42</f>
        <v>1.81</v>
      </c>
      <c r="I83" s="168">
        <f>+'70wDS7'!F42</f>
        <v>1.81</v>
      </c>
      <c r="J83" s="168">
        <f>SUM(D83:I83)/6</f>
        <v>1.8100000000000003</v>
      </c>
      <c r="K83" s="197">
        <f>(J83-C83)/C83</f>
        <v>0.37121212121212138</v>
      </c>
    </row>
    <row r="84" spans="1:11" x14ac:dyDescent="0.25">
      <c r="A84" s="133" t="s">
        <v>405</v>
      </c>
      <c r="B84" s="178">
        <v>9500</v>
      </c>
      <c r="C84" s="126">
        <v>1.59</v>
      </c>
      <c r="D84" s="120">
        <f>+'100wOH8'!F42</f>
        <v>1.8</v>
      </c>
      <c r="E84" s="128">
        <f>+'100wOH8'!G42</f>
        <v>1.8</v>
      </c>
      <c r="F84" s="120">
        <f>+'100wOH8'!H42</f>
        <v>1.8</v>
      </c>
      <c r="G84" s="128">
        <f>+'100wUG9'!F42</f>
        <v>1.8</v>
      </c>
      <c r="H84" s="128">
        <f>+'100wUG9'!G42</f>
        <v>1.8</v>
      </c>
      <c r="I84" s="128" t="s">
        <v>409</v>
      </c>
      <c r="J84" s="128">
        <f>SUM(D84:H84)/5</f>
        <v>1.8</v>
      </c>
      <c r="K84" s="187">
        <f>(J84-C84)/C84</f>
        <v>0.13207547169811318</v>
      </c>
    </row>
    <row r="85" spans="1:11" x14ac:dyDescent="0.25">
      <c r="A85" s="134" t="s">
        <v>443</v>
      </c>
      <c r="B85" s="179">
        <v>16000</v>
      </c>
      <c r="C85" s="125">
        <v>1.98</v>
      </c>
      <c r="D85" s="123">
        <f>+'150wOH10'!F42</f>
        <v>1.81</v>
      </c>
      <c r="E85" s="127">
        <f>+'150wOH10'!G42</f>
        <v>1.81</v>
      </c>
      <c r="F85" s="123">
        <f>+'150wOH10'!H42</f>
        <v>1.81</v>
      </c>
      <c r="G85" s="127">
        <f>+'150wUG11'!F42</f>
        <v>1.81</v>
      </c>
      <c r="H85" s="127">
        <f>+'150wUG11'!G42</f>
        <v>1.81</v>
      </c>
      <c r="I85" s="129" t="s">
        <v>409</v>
      </c>
      <c r="J85" s="127">
        <f>SUM(D85:H85)/5</f>
        <v>1.81</v>
      </c>
      <c r="K85" s="180">
        <f>(J85-C85)/C85</f>
        <v>-8.5858585858585829E-2</v>
      </c>
    </row>
    <row r="86" spans="1:11" x14ac:dyDescent="0.25">
      <c r="A86" s="134" t="s">
        <v>444</v>
      </c>
      <c r="B86" s="178">
        <v>22000</v>
      </c>
      <c r="C86" s="125">
        <v>2.56</v>
      </c>
      <c r="D86" s="124" t="s">
        <v>409</v>
      </c>
      <c r="E86" s="127">
        <f>+'200wOH13'!F42</f>
        <v>1.81</v>
      </c>
      <c r="F86" s="123">
        <f>+'200wOH13'!G42</f>
        <v>1.81</v>
      </c>
      <c r="G86" s="129" t="s">
        <v>409</v>
      </c>
      <c r="H86" s="129" t="s">
        <v>409</v>
      </c>
      <c r="I86" s="127">
        <f>+'200wOH13'!H42</f>
        <v>1.81</v>
      </c>
      <c r="J86" s="127">
        <f>SUM(E86:I86)/3</f>
        <v>1.8099999999999998</v>
      </c>
      <c r="K86" s="187">
        <f>(J86-C86)/C86</f>
        <v>-0.29296875000000006</v>
      </c>
    </row>
    <row r="87" spans="1:11" ht="13.8" thickBot="1" x14ac:dyDescent="0.3">
      <c r="A87" s="169" t="s">
        <v>445</v>
      </c>
      <c r="B87" s="198">
        <v>50000</v>
      </c>
      <c r="C87" s="170">
        <v>4.25</v>
      </c>
      <c r="D87" s="171" t="s">
        <v>409</v>
      </c>
      <c r="E87" s="172">
        <f>+'400wOH15'!F42</f>
        <v>1.81</v>
      </c>
      <c r="F87" s="173">
        <f>+'400wOH15'!G42</f>
        <v>1.81</v>
      </c>
      <c r="G87" s="174" t="s">
        <v>409</v>
      </c>
      <c r="H87" s="174" t="s">
        <v>409</v>
      </c>
      <c r="I87" s="172">
        <f>+'400wOH15'!H42</f>
        <v>1.81</v>
      </c>
      <c r="J87" s="172">
        <f>SUM(E87:I87)/3</f>
        <v>1.8099999999999998</v>
      </c>
      <c r="K87" s="182">
        <f>(J87-C87)/C87</f>
        <v>-0.57411764705882362</v>
      </c>
    </row>
    <row r="88" spans="1:11" ht="13.8" thickBot="1" x14ac:dyDescent="0.3"/>
    <row r="89" spans="1:11" ht="17.399999999999999" x14ac:dyDescent="0.3">
      <c r="A89" s="736" t="s">
        <v>536</v>
      </c>
      <c r="B89" s="736"/>
      <c r="C89" s="736"/>
      <c r="D89" s="736"/>
      <c r="E89" s="736"/>
      <c r="F89" s="736"/>
      <c r="G89" s="736"/>
    </row>
    <row r="90" spans="1:11" ht="40.200000000000003" thickBot="1" x14ac:dyDescent="0.3">
      <c r="A90" s="347" t="s">
        <v>545</v>
      </c>
      <c r="B90" s="348" t="s">
        <v>446</v>
      </c>
      <c r="C90" s="349" t="s">
        <v>535</v>
      </c>
      <c r="D90" s="349" t="s">
        <v>548</v>
      </c>
      <c r="E90" s="376" t="s">
        <v>580</v>
      </c>
      <c r="F90" s="350" t="s">
        <v>547</v>
      </c>
      <c r="G90" s="351" t="s">
        <v>576</v>
      </c>
      <c r="H90" s="349" t="s">
        <v>578</v>
      </c>
    </row>
    <row r="91" spans="1:11" x14ac:dyDescent="0.25">
      <c r="A91" s="352" t="s">
        <v>539</v>
      </c>
      <c r="B91" s="183">
        <v>6000</v>
      </c>
      <c r="C91" s="257">
        <v>62</v>
      </c>
      <c r="D91" s="445">
        <v>1.82</v>
      </c>
      <c r="E91" s="456">
        <v>6.2</v>
      </c>
      <c r="F91" s="379">
        <f>2.01-D91+G91</f>
        <v>1.8342399999999996</v>
      </c>
      <c r="G91" s="332">
        <f>C91*'Data Entry'!$C$14</f>
        <v>1.6442399999999999</v>
      </c>
      <c r="H91" s="355">
        <f>E91-D91+G91</f>
        <v>6.0242399999999998</v>
      </c>
    </row>
    <row r="92" spans="1:11" ht="12.75" x14ac:dyDescent="0.2">
      <c r="A92" s="353" t="s">
        <v>456</v>
      </c>
      <c r="B92" s="179">
        <v>8600</v>
      </c>
      <c r="C92" s="258">
        <v>77</v>
      </c>
      <c r="D92" s="446">
        <v>2.2599999999999998</v>
      </c>
      <c r="E92" s="457">
        <v>6.66</v>
      </c>
      <c r="F92" s="380">
        <f>2.33-D92+G92</f>
        <v>2.1120400000000004</v>
      </c>
      <c r="G92" s="333">
        <f>C92*'Data Entry'!$C$14</f>
        <v>2.0420400000000001</v>
      </c>
      <c r="H92" s="377">
        <f>E92-D92+G92</f>
        <v>6.4420400000000004</v>
      </c>
    </row>
    <row r="93" spans="1:11" ht="12.75" x14ac:dyDescent="0.2">
      <c r="A93" s="353" t="s">
        <v>457</v>
      </c>
      <c r="B93" s="183">
        <v>21500</v>
      </c>
      <c r="C93" s="258">
        <v>160</v>
      </c>
      <c r="D93" s="446">
        <v>4.6900000000000004</v>
      </c>
      <c r="E93" s="457">
        <v>11.68</v>
      </c>
      <c r="F93" s="380">
        <f>4.1-D93+G93</f>
        <v>3.6531999999999991</v>
      </c>
      <c r="G93" s="333">
        <f>C93*'Data Entry'!$C$14</f>
        <v>4.2431999999999999</v>
      </c>
      <c r="H93" s="378">
        <f>E93-D93+G93</f>
        <v>11.2332</v>
      </c>
    </row>
    <row r="94" spans="1:11" x14ac:dyDescent="0.25">
      <c r="J94" s="33"/>
    </row>
  </sheetData>
  <mergeCells count="12">
    <mergeCell ref="A38:H38"/>
    <mergeCell ref="A89:G89"/>
    <mergeCell ref="A57:K57"/>
    <mergeCell ref="A65:K65"/>
    <mergeCell ref="A73:K73"/>
    <mergeCell ref="A81:K81"/>
    <mergeCell ref="A7:K7"/>
    <mergeCell ref="A34:I34"/>
    <mergeCell ref="A6:K6"/>
    <mergeCell ref="A9:K9"/>
    <mergeCell ref="A22:J22"/>
    <mergeCell ref="A29:F29"/>
  </mergeCells>
  <phoneticPr fontId="28" type="noConversion"/>
  <pageMargins left="0.28000000000000003" right="0.16" top="0.44" bottom="1" header="0.28000000000000003" footer="0.5"/>
  <pageSetup scale="83"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1"/>
  <sheetViews>
    <sheetView workbookViewId="0">
      <selection activeCell="A2" sqref="A1:A2"/>
    </sheetView>
  </sheetViews>
  <sheetFormatPr defaultRowHeight="13.2" x14ac:dyDescent="0.25"/>
  <cols>
    <col min="6" max="8" width="15.6640625" customWidth="1"/>
  </cols>
  <sheetData>
    <row r="1" spans="1:8" x14ac:dyDescent="0.25">
      <c r="A1" s="773" t="s">
        <v>942</v>
      </c>
    </row>
    <row r="2" spans="1:8" x14ac:dyDescent="0.25">
      <c r="A2" s="773" t="s">
        <v>923</v>
      </c>
    </row>
    <row r="4" spans="1:8" ht="17.399999999999999" x14ac:dyDescent="0.3">
      <c r="A4" s="2" t="str">
        <f>'70wOH5'!A4</f>
        <v>2016 Cost of Service</v>
      </c>
    </row>
    <row r="5" spans="1:8" x14ac:dyDescent="0.25">
      <c r="A5" s="4"/>
      <c r="B5" s="4"/>
      <c r="C5" s="4"/>
      <c r="D5" s="4"/>
      <c r="E5" s="4"/>
      <c r="F5" s="14" t="s">
        <v>180</v>
      </c>
      <c r="G5" s="14" t="s">
        <v>180</v>
      </c>
      <c r="H5" s="14" t="s">
        <v>180</v>
      </c>
    </row>
    <row r="6" spans="1:8" x14ac:dyDescent="0.25">
      <c r="A6" s="12" t="s">
        <v>125</v>
      </c>
      <c r="B6" s="12"/>
      <c r="C6" s="12"/>
      <c r="D6" s="12"/>
      <c r="E6" s="12"/>
      <c r="F6" s="14" t="s">
        <v>126</v>
      </c>
      <c r="G6" s="14" t="s">
        <v>126</v>
      </c>
      <c r="H6" s="14" t="s">
        <v>126</v>
      </c>
    </row>
    <row r="7" spans="1:8" x14ac:dyDescent="0.25">
      <c r="A7" s="12"/>
      <c r="B7" s="12"/>
      <c r="C7" s="12"/>
      <c r="D7" s="12"/>
      <c r="E7" s="12"/>
      <c r="F7" s="14" t="s">
        <v>127</v>
      </c>
      <c r="G7" s="14" t="s">
        <v>128</v>
      </c>
      <c r="H7" s="14" t="s">
        <v>171</v>
      </c>
    </row>
    <row r="8" spans="1:8" x14ac:dyDescent="0.25">
      <c r="A8" s="12"/>
      <c r="B8" s="12"/>
      <c r="C8" s="12"/>
      <c r="D8" s="12"/>
      <c r="E8" s="12"/>
      <c r="F8" s="15" t="s">
        <v>130</v>
      </c>
      <c r="G8" s="15" t="s">
        <v>130</v>
      </c>
      <c r="H8" s="15" t="s">
        <v>172</v>
      </c>
    </row>
    <row r="9" spans="1:8" x14ac:dyDescent="0.25">
      <c r="A9" s="12" t="s">
        <v>131</v>
      </c>
      <c r="B9" s="13"/>
      <c r="C9" s="13"/>
      <c r="D9" s="13"/>
      <c r="E9" s="13"/>
      <c r="F9" s="6"/>
      <c r="G9" s="6"/>
      <c r="H9" s="6"/>
    </row>
    <row r="10" spans="1:8" x14ac:dyDescent="0.25">
      <c r="A10" s="13" t="s">
        <v>465</v>
      </c>
      <c r="B10" s="13"/>
      <c r="C10" s="13"/>
      <c r="D10" s="13"/>
      <c r="E10" s="13"/>
      <c r="F10" s="16">
        <v>238</v>
      </c>
      <c r="G10" s="16">
        <v>238</v>
      </c>
      <c r="H10" s="16">
        <v>238</v>
      </c>
    </row>
    <row r="11" spans="1:8" x14ac:dyDescent="0.25">
      <c r="A11" s="13" t="s">
        <v>133</v>
      </c>
      <c r="B11" s="13"/>
      <c r="C11" s="13"/>
      <c r="D11" s="13"/>
      <c r="E11" s="13"/>
      <c r="F11" s="17">
        <f>TRUNC(+F10*(1/12)*4.24)</f>
        <v>84</v>
      </c>
      <c r="G11" s="17">
        <f>TRUNC(+G10*(1/12)*4.24)</f>
        <v>84</v>
      </c>
      <c r="H11" s="17">
        <f>TRUNC(+H10*(1/12)*4.24)</f>
        <v>84</v>
      </c>
    </row>
    <row r="12" spans="1:8" x14ac:dyDescent="0.25">
      <c r="A12" s="13" t="s">
        <v>134</v>
      </c>
      <c r="B12" s="13"/>
      <c r="C12" s="13"/>
      <c r="D12" s="13"/>
      <c r="E12" s="13"/>
      <c r="F12" s="16">
        <v>60</v>
      </c>
      <c r="G12" s="16">
        <v>60</v>
      </c>
      <c r="H12" s="16">
        <v>60</v>
      </c>
    </row>
    <row r="13" spans="1:8" x14ac:dyDescent="0.25">
      <c r="A13" s="13"/>
      <c r="B13" s="13"/>
      <c r="C13" s="13"/>
      <c r="D13" s="13"/>
      <c r="E13" s="13"/>
      <c r="F13" s="18"/>
      <c r="G13" s="18"/>
      <c r="H13" s="18"/>
    </row>
    <row r="14" spans="1:8" x14ac:dyDescent="0.25">
      <c r="A14" s="12" t="s">
        <v>135</v>
      </c>
      <c r="B14" s="13"/>
      <c r="C14" s="13"/>
      <c r="D14" s="13"/>
      <c r="E14" s="13"/>
      <c r="F14" s="18"/>
      <c r="G14" s="18"/>
      <c r="H14" s="18"/>
    </row>
    <row r="15" spans="1:8" x14ac:dyDescent="0.25">
      <c r="A15" s="13" t="s">
        <v>136</v>
      </c>
      <c r="B15" s="13"/>
      <c r="C15" s="13"/>
      <c r="D15" s="13"/>
      <c r="E15" s="13"/>
      <c r="F15" s="19">
        <f>+'41'!G32</f>
        <v>252.17440216</v>
      </c>
      <c r="G15" s="19">
        <f>+'42'!G32</f>
        <v>251.07739016000002</v>
      </c>
      <c r="H15" s="19">
        <f>+'43'!G32</f>
        <v>197.76036815999998</v>
      </c>
    </row>
    <row r="16" spans="1:8" x14ac:dyDescent="0.25">
      <c r="A16" s="13" t="s">
        <v>428</v>
      </c>
      <c r="B16" s="13"/>
      <c r="C16" s="13"/>
      <c r="D16" s="13"/>
      <c r="E16" s="13"/>
      <c r="F16" s="19">
        <f>+F15*$H$56/2</f>
        <v>0.68087088583200006</v>
      </c>
      <c r="G16" s="19">
        <f>+G15*$H$56/2</f>
        <v>0.67790895343200008</v>
      </c>
      <c r="H16" s="19">
        <f>+H15*$H$56/2</f>
        <v>0.53395299403200003</v>
      </c>
    </row>
    <row r="17" spans="1:8" x14ac:dyDescent="0.25">
      <c r="A17" s="13" t="s">
        <v>137</v>
      </c>
      <c r="B17" s="13"/>
      <c r="C17" s="13"/>
      <c r="D17" s="13"/>
      <c r="E17" s="13"/>
      <c r="F17" s="19">
        <f>+'67'!H20</f>
        <v>100.88000000000002</v>
      </c>
      <c r="G17" s="19">
        <f>+'67'!H20</f>
        <v>100.88000000000002</v>
      </c>
      <c r="H17" s="19">
        <f>+'67'!H20</f>
        <v>100.88000000000002</v>
      </c>
    </row>
    <row r="18" spans="1:8" x14ac:dyDescent="0.25">
      <c r="A18" s="13" t="s">
        <v>427</v>
      </c>
      <c r="B18" s="13"/>
      <c r="C18" s="13"/>
      <c r="D18" s="13"/>
      <c r="E18" s="13"/>
      <c r="F18" s="232">
        <f>+F17*$H$57/2</f>
        <v>1.5585960000000003</v>
      </c>
      <c r="G18" s="232">
        <f>+G17*$H$57/2</f>
        <v>1.5585960000000003</v>
      </c>
      <c r="H18" s="232">
        <f>+H17*$H$57/2</f>
        <v>1.5585960000000003</v>
      </c>
    </row>
    <row r="19" spans="1:8" x14ac:dyDescent="0.25">
      <c r="A19" s="13"/>
      <c r="B19" s="13"/>
      <c r="C19" s="13"/>
      <c r="D19" s="13"/>
      <c r="E19" s="13"/>
      <c r="F19" s="19">
        <f>SUM(F15:F18)</f>
        <v>355.29386904583208</v>
      </c>
      <c r="G19" s="19">
        <f>SUM(G15:G18)</f>
        <v>354.19389511343206</v>
      </c>
      <c r="H19" s="19">
        <f>SUM(H15:H18)</f>
        <v>300.73291715403201</v>
      </c>
    </row>
    <row r="20" spans="1:8" ht="13.8" thickBot="1" x14ac:dyDescent="0.3">
      <c r="A20" s="13" t="s">
        <v>424</v>
      </c>
      <c r="B20" s="13"/>
      <c r="C20" s="13"/>
      <c r="D20" s="13"/>
      <c r="E20" s="13"/>
      <c r="F20" s="19">
        <f>+F19*$H$52</f>
        <v>90.315701511450513</v>
      </c>
      <c r="G20" s="19">
        <f>+G19*$H$52</f>
        <v>90.036088137834426</v>
      </c>
      <c r="H20" s="19">
        <f>+H19*$H$52</f>
        <v>76.446307540554926</v>
      </c>
    </row>
    <row r="21" spans="1:8" ht="13.8" thickBot="1" x14ac:dyDescent="0.3">
      <c r="A21" s="12" t="s">
        <v>138</v>
      </c>
      <c r="B21" s="13"/>
      <c r="C21" s="13"/>
      <c r="D21" s="13"/>
      <c r="E21" s="13"/>
      <c r="F21" s="480">
        <f>SUM(F19:F20)</f>
        <v>445.60957055728261</v>
      </c>
      <c r="G21" s="481">
        <f>SUM(G19:G20)</f>
        <v>444.2299832512665</v>
      </c>
      <c r="H21" s="482">
        <f>SUM(H19:H20)</f>
        <v>377.17922469458694</v>
      </c>
    </row>
    <row r="22" spans="1:8" x14ac:dyDescent="0.25">
      <c r="A22" s="13"/>
      <c r="B22" s="13"/>
      <c r="C22" s="13"/>
      <c r="D22" s="13"/>
      <c r="E22" s="13"/>
      <c r="F22" s="19"/>
      <c r="G22" s="19"/>
      <c r="H22" s="19"/>
    </row>
    <row r="23" spans="1:8" x14ac:dyDescent="0.25">
      <c r="A23" s="13" t="s">
        <v>139</v>
      </c>
      <c r="B23" s="13"/>
      <c r="C23" s="13"/>
      <c r="D23" s="13"/>
      <c r="E23" s="13"/>
      <c r="F23" s="19"/>
      <c r="G23" s="19"/>
      <c r="H23" s="19"/>
    </row>
    <row r="24" spans="1:8" x14ac:dyDescent="0.25">
      <c r="A24" s="13" t="s">
        <v>140</v>
      </c>
      <c r="B24" s="13"/>
      <c r="C24" s="13"/>
      <c r="D24" s="13"/>
      <c r="E24" s="13"/>
      <c r="F24" s="19">
        <f>+H58*(1+$H$61)*(1+$H$53)+H59</f>
        <v>5.775116399999999</v>
      </c>
      <c r="G24" s="19">
        <f>+F24</f>
        <v>5.775116399999999</v>
      </c>
      <c r="H24" s="19">
        <f>+F24</f>
        <v>5.775116399999999</v>
      </c>
    </row>
    <row r="25" spans="1:8" x14ac:dyDescent="0.25">
      <c r="A25" s="277" t="s">
        <v>570</v>
      </c>
      <c r="B25" s="13"/>
      <c r="C25" s="13"/>
      <c r="D25" s="13"/>
      <c r="E25" s="13"/>
      <c r="F25" s="19">
        <f>+$H$60*(1+$H$61)*(1+$H$53)</f>
        <v>4.23357428</v>
      </c>
      <c r="G25" s="19">
        <f>+$H$60*(1+$H$61)*(1+$H$53)</f>
        <v>4.23357428</v>
      </c>
      <c r="H25" s="19">
        <f>+$H$60*(1+$H$61)*(1+$H$53)</f>
        <v>4.23357428</v>
      </c>
    </row>
    <row r="26" spans="1:8" x14ac:dyDescent="0.25">
      <c r="A26" s="13" t="s">
        <v>429</v>
      </c>
      <c r="B26" s="13"/>
      <c r="C26" s="13"/>
      <c r="D26" s="13"/>
      <c r="E26" s="13"/>
      <c r="F26" s="19">
        <f>+F24*$H$56/2</f>
        <v>1.5592814279999999E-2</v>
      </c>
      <c r="G26" s="19">
        <f>+G24*$H$56/2</f>
        <v>1.5592814279999999E-2</v>
      </c>
      <c r="H26" s="19">
        <f>+H24*$H$56/2</f>
        <v>1.5592814279999999E-2</v>
      </c>
    </row>
    <row r="27" spans="1:8" x14ac:dyDescent="0.25">
      <c r="A27" s="13" t="s">
        <v>141</v>
      </c>
      <c r="B27" s="13"/>
      <c r="C27" s="13"/>
      <c r="D27" s="13"/>
      <c r="E27" s="13"/>
      <c r="F27" s="19">
        <f>+$H$55</f>
        <v>97</v>
      </c>
      <c r="G27" s="19">
        <f>+$H$55</f>
        <v>97</v>
      </c>
      <c r="H27" s="19">
        <f>+$H$55</f>
        <v>97</v>
      </c>
    </row>
    <row r="28" spans="1:8" x14ac:dyDescent="0.25">
      <c r="A28" s="13" t="s">
        <v>430</v>
      </c>
      <c r="B28" s="13"/>
      <c r="C28" s="13"/>
      <c r="D28" s="13"/>
      <c r="E28" s="13"/>
      <c r="F28" s="20">
        <f>+F27*$H$57/2</f>
        <v>1.49865</v>
      </c>
      <c r="G28" s="20">
        <f>+G27*$H$57/2</f>
        <v>1.49865</v>
      </c>
      <c r="H28" s="20">
        <f>+H27*$H$57/2</f>
        <v>1.49865</v>
      </c>
    </row>
    <row r="29" spans="1:8" x14ac:dyDescent="0.25">
      <c r="A29" s="12" t="s">
        <v>467</v>
      </c>
      <c r="B29" s="13"/>
      <c r="C29" s="13"/>
      <c r="D29" s="13"/>
      <c r="E29" s="13"/>
      <c r="F29" s="22">
        <f>SUM(F24:F28)</f>
        <v>108.52293349428</v>
      </c>
      <c r="G29" s="22">
        <f>SUM(G24:G28)</f>
        <v>108.52293349428</v>
      </c>
      <c r="H29" s="22">
        <f>SUM(H24:H28)</f>
        <v>108.52293349428</v>
      </c>
    </row>
    <row r="30" spans="1:8" x14ac:dyDescent="0.25">
      <c r="A30" s="12" t="s">
        <v>143</v>
      </c>
      <c r="B30" s="13"/>
      <c r="C30" s="13"/>
      <c r="D30" s="13"/>
      <c r="E30" s="13"/>
      <c r="F30" s="22">
        <f>+F29/F12</f>
        <v>1.8087155582379999</v>
      </c>
      <c r="G30" s="22">
        <f>+G29/G12</f>
        <v>1.8087155582379999</v>
      </c>
      <c r="H30" s="22">
        <f>+H29/H12</f>
        <v>1.8087155582379999</v>
      </c>
    </row>
    <row r="31" spans="1:8" x14ac:dyDescent="0.25">
      <c r="A31" s="13"/>
      <c r="B31" s="13"/>
      <c r="C31" s="13"/>
      <c r="D31" s="13"/>
      <c r="E31" s="13"/>
      <c r="F31" s="19"/>
      <c r="G31" s="19"/>
      <c r="H31" s="19"/>
    </row>
    <row r="32" spans="1:8" x14ac:dyDescent="0.25">
      <c r="A32" s="12" t="s">
        <v>144</v>
      </c>
      <c r="B32" s="13"/>
      <c r="C32" s="13"/>
      <c r="D32" s="13"/>
      <c r="E32" s="13"/>
      <c r="F32" s="19"/>
      <c r="G32" s="19"/>
      <c r="H32" s="19"/>
    </row>
    <row r="33" spans="1:8" x14ac:dyDescent="0.25">
      <c r="A33" s="13" t="s">
        <v>145</v>
      </c>
      <c r="B33" s="13"/>
      <c r="C33" s="13"/>
      <c r="D33" s="13"/>
      <c r="E33" s="13"/>
      <c r="F33" s="239">
        <f>+ROUND($H$46*0.083333*F21*$H$47,2)</f>
        <v>5.67</v>
      </c>
      <c r="G33" s="239">
        <f>+ROUND($H$46*0.083333*G21*$H$47,2)</f>
        <v>5.66</v>
      </c>
      <c r="H33" s="239">
        <f>+ROUND($H$46*0.083333*H21*$H$47,2)</f>
        <v>4.8</v>
      </c>
    </row>
    <row r="34" spans="1:8" x14ac:dyDescent="0.25">
      <c r="A34" s="13" t="s">
        <v>146</v>
      </c>
      <c r="B34" s="13"/>
      <c r="C34" s="13"/>
      <c r="D34" s="13"/>
      <c r="E34" s="13"/>
      <c r="F34" s="239">
        <f>+ROUND($H$47*0.083333*F21*$H$49,2)</f>
        <v>1.62</v>
      </c>
      <c r="G34" s="239">
        <f>+ROUND($H$47*0.083333*G21*$H$49,2)</f>
        <v>1.62</v>
      </c>
      <c r="H34" s="239">
        <f>+ROUND($H$47*0.083333*H21*$H$49,2)</f>
        <v>1.37</v>
      </c>
    </row>
    <row r="35" spans="1:8" x14ac:dyDescent="0.25">
      <c r="A35" s="13" t="s">
        <v>147</v>
      </c>
      <c r="B35" s="13"/>
      <c r="C35" s="13"/>
      <c r="D35" s="13"/>
      <c r="E35" s="13"/>
      <c r="F35" s="239">
        <f>ROUND(+F30*$H$47,2)</f>
        <v>1.81</v>
      </c>
      <c r="G35" s="239">
        <f>ROUND(+G30*$H$47,2)</f>
        <v>1.81</v>
      </c>
      <c r="H35" s="239">
        <f>ROUND(+H30*$H$47,2)</f>
        <v>1.81</v>
      </c>
    </row>
    <row r="36" spans="1:8" x14ac:dyDescent="0.25">
      <c r="A36" s="13" t="s">
        <v>148</v>
      </c>
      <c r="B36" s="13"/>
      <c r="C36" s="13"/>
      <c r="D36" s="13"/>
      <c r="E36" s="13"/>
      <c r="F36" s="232">
        <f>ROUND(+$H$51*F11,2)</f>
        <v>2.23</v>
      </c>
      <c r="G36" s="232">
        <f>ROUND(+$H$51*G11,2)</f>
        <v>2.23</v>
      </c>
      <c r="H36" s="232">
        <f>ROUND(+$H$51*H11,2)</f>
        <v>2.23</v>
      </c>
    </row>
    <row r="37" spans="1:8" x14ac:dyDescent="0.25">
      <c r="A37" s="12" t="s">
        <v>149</v>
      </c>
      <c r="B37" s="13"/>
      <c r="C37" s="13"/>
      <c r="D37" s="13"/>
      <c r="E37" s="13"/>
      <c r="F37" s="22">
        <f>SUM(F33:F36)</f>
        <v>11.33</v>
      </c>
      <c r="G37" s="22">
        <f>SUM(G33:G36)</f>
        <v>11.32</v>
      </c>
      <c r="H37" s="22">
        <f>SUM(H33:H36)</f>
        <v>10.210000000000001</v>
      </c>
    </row>
    <row r="38" spans="1:8" x14ac:dyDescent="0.25">
      <c r="A38" s="13"/>
      <c r="B38" s="13"/>
      <c r="C38" s="13"/>
      <c r="D38" s="13"/>
      <c r="E38" s="13"/>
      <c r="F38" s="19"/>
      <c r="G38" s="19"/>
      <c r="H38" s="19"/>
    </row>
    <row r="39" spans="1:8" x14ac:dyDescent="0.25">
      <c r="A39" s="12" t="s">
        <v>150</v>
      </c>
      <c r="B39" s="13"/>
      <c r="C39" s="13"/>
      <c r="D39" s="13"/>
      <c r="E39" s="13"/>
      <c r="F39" s="19"/>
      <c r="G39" s="19"/>
      <c r="H39" s="19"/>
    </row>
    <row r="40" spans="1:8" x14ac:dyDescent="0.25">
      <c r="A40" s="13" t="s">
        <v>145</v>
      </c>
      <c r="B40" s="13"/>
      <c r="C40" s="13"/>
      <c r="D40" s="13"/>
      <c r="E40" s="13"/>
      <c r="F40" s="19">
        <f>+F33</f>
        <v>5.67</v>
      </c>
      <c r="G40" s="19">
        <f>+G33</f>
        <v>5.66</v>
      </c>
      <c r="H40" s="19">
        <f>+H33</f>
        <v>4.8</v>
      </c>
    </row>
    <row r="41" spans="1:8" x14ac:dyDescent="0.25">
      <c r="A41" s="13" t="s">
        <v>151</v>
      </c>
      <c r="B41" s="13"/>
      <c r="C41" s="13"/>
      <c r="D41" s="13"/>
      <c r="E41" s="13"/>
      <c r="F41" s="239">
        <f>ROUND(+$H$47*0.083333*F21*$H$50,2)</f>
        <v>1.48</v>
      </c>
      <c r="G41" s="239">
        <f>ROUND(+$H$47*0.083333*G21*$H$50,2)</f>
        <v>1.47</v>
      </c>
      <c r="H41" s="239">
        <f>ROUND(+$H$47*0.083333*H21*$H$50,2)</f>
        <v>1.25</v>
      </c>
    </row>
    <row r="42" spans="1:8" x14ac:dyDescent="0.25">
      <c r="A42" s="13" t="s">
        <v>147</v>
      </c>
      <c r="B42" s="13"/>
      <c r="C42" s="13"/>
      <c r="D42" s="13"/>
      <c r="E42" s="13"/>
      <c r="F42" s="239">
        <f>ROUND(+F30*$H$47,2)</f>
        <v>1.81</v>
      </c>
      <c r="G42" s="239">
        <f>ROUND(+G30*$H$47,2)</f>
        <v>1.81</v>
      </c>
      <c r="H42" s="239">
        <f>ROUND(+H30*$H$47,2)</f>
        <v>1.81</v>
      </c>
    </row>
    <row r="43" spans="1:8" x14ac:dyDescent="0.25">
      <c r="A43" s="13" t="s">
        <v>148</v>
      </c>
      <c r="B43" s="13"/>
      <c r="C43" s="13"/>
      <c r="D43" s="13"/>
      <c r="E43" s="13"/>
      <c r="F43" s="232">
        <f>ROUND(+$I$51*F11,2)</f>
        <v>2.25</v>
      </c>
      <c r="G43" s="232">
        <f>ROUND(+$I$51*G11,2)</f>
        <v>2.25</v>
      </c>
      <c r="H43" s="232">
        <f>ROUND(+$I$51*H11,2)</f>
        <v>2.25</v>
      </c>
    </row>
    <row r="44" spans="1:8" x14ac:dyDescent="0.25">
      <c r="A44" s="12" t="s">
        <v>149</v>
      </c>
      <c r="B44" s="13"/>
      <c r="C44" s="13"/>
      <c r="D44" s="13"/>
      <c r="E44" s="13"/>
      <c r="F44" s="22">
        <f>SUM(F40:F43)</f>
        <v>11.21</v>
      </c>
      <c r="G44" s="22">
        <f>SUM(G40:G43)</f>
        <v>11.19</v>
      </c>
      <c r="H44" s="22">
        <f>SUM(H40:H43)</f>
        <v>10.11</v>
      </c>
    </row>
    <row r="46" spans="1:8" x14ac:dyDescent="0.25">
      <c r="A46" s="64" t="s">
        <v>466</v>
      </c>
      <c r="B46" s="64"/>
      <c r="C46" s="64"/>
      <c r="D46" s="64"/>
      <c r="E46" s="64"/>
      <c r="F46" s="9" t="s">
        <v>152</v>
      </c>
      <c r="G46" s="8"/>
      <c r="H46" s="23">
        <f>+'Data Entry'!C9</f>
        <v>0.15265000000000001</v>
      </c>
    </row>
    <row r="47" spans="1:8" x14ac:dyDescent="0.25">
      <c r="A47" s="64" t="s">
        <v>153</v>
      </c>
      <c r="B47" s="64"/>
      <c r="C47" s="64"/>
      <c r="D47" s="64"/>
      <c r="E47" s="64"/>
      <c r="F47" s="10" t="s">
        <v>3</v>
      </c>
      <c r="G47" s="7"/>
      <c r="H47" s="24">
        <f>+'Data Entry'!C10</f>
        <v>1.0007205187735171</v>
      </c>
    </row>
    <row r="48" spans="1:8" x14ac:dyDescent="0.25">
      <c r="A48" s="64" t="s">
        <v>154</v>
      </c>
      <c r="B48" s="64"/>
      <c r="C48" s="64"/>
      <c r="D48" s="64"/>
      <c r="E48" s="64"/>
      <c r="F48" s="11" t="s">
        <v>4</v>
      </c>
      <c r="H48" s="25"/>
    </row>
    <row r="49" spans="1:9" x14ac:dyDescent="0.25">
      <c r="A49" s="64" t="s">
        <v>155</v>
      </c>
      <c r="B49" s="64"/>
      <c r="C49" s="64"/>
      <c r="D49" s="64"/>
      <c r="E49" s="64"/>
      <c r="F49" s="11" t="s">
        <v>5</v>
      </c>
      <c r="H49" s="26">
        <f>+'Data Entry'!C12</f>
        <v>4.36E-2</v>
      </c>
    </row>
    <row r="50" spans="1:9" x14ac:dyDescent="0.25">
      <c r="A50" s="64" t="s">
        <v>156</v>
      </c>
      <c r="B50" s="64"/>
      <c r="C50" s="64"/>
      <c r="D50" s="64"/>
      <c r="E50" s="64"/>
      <c r="F50" s="10" t="s">
        <v>6</v>
      </c>
      <c r="G50" s="7"/>
      <c r="H50" s="27">
        <f>+'Data Entry'!C13</f>
        <v>3.9780000000000003E-2</v>
      </c>
      <c r="I50" s="236" t="s">
        <v>504</v>
      </c>
    </row>
    <row r="51" spans="1:9" x14ac:dyDescent="0.25">
      <c r="A51" s="64" t="s">
        <v>157</v>
      </c>
      <c r="B51" s="64"/>
      <c r="C51" s="64"/>
      <c r="D51" s="64"/>
      <c r="E51" s="64"/>
      <c r="F51" s="10" t="s">
        <v>7</v>
      </c>
      <c r="G51" s="7"/>
      <c r="H51" s="237">
        <f>+'Data Entry'!C14</f>
        <v>2.6519999999999998E-2</v>
      </c>
      <c r="I51" s="238">
        <f>+'Data Entry'!D14</f>
        <v>2.6759999999999999E-2</v>
      </c>
    </row>
    <row r="52" spans="1:9" x14ac:dyDescent="0.25">
      <c r="A52" s="64" t="s">
        <v>158</v>
      </c>
      <c r="B52" s="64"/>
      <c r="C52" s="64"/>
      <c r="D52" s="64"/>
      <c r="E52" s="64"/>
      <c r="F52" s="10" t="s">
        <v>8</v>
      </c>
      <c r="G52" s="7"/>
      <c r="H52" s="27">
        <f>+'Data Entry'!C15</f>
        <v>0.25419999999999998</v>
      </c>
    </row>
    <row r="53" spans="1:9" x14ac:dyDescent="0.25">
      <c r="A53" s="64" t="s">
        <v>159</v>
      </c>
      <c r="B53" s="64"/>
      <c r="C53" s="64"/>
      <c r="D53" s="64"/>
      <c r="E53" s="64"/>
      <c r="F53" s="10" t="s">
        <v>9</v>
      </c>
      <c r="G53" s="7"/>
      <c r="H53" s="27">
        <f>+'Data Entry'!C16</f>
        <v>5.9400000000000001E-2</v>
      </c>
    </row>
    <row r="54" spans="1:9" x14ac:dyDescent="0.25">
      <c r="A54" s="64" t="s">
        <v>160</v>
      </c>
      <c r="B54" s="64"/>
      <c r="C54" s="64"/>
      <c r="D54" s="64"/>
      <c r="E54" s="64"/>
      <c r="F54" s="10" t="s">
        <v>161</v>
      </c>
      <c r="G54" s="7"/>
      <c r="H54" s="29">
        <f>+'Data Entry'!C17</f>
        <v>97</v>
      </c>
    </row>
    <row r="55" spans="1:9" x14ac:dyDescent="0.25">
      <c r="A55" s="64" t="s">
        <v>162</v>
      </c>
      <c r="B55" s="64"/>
      <c r="C55" s="64"/>
      <c r="D55" s="64"/>
      <c r="E55" s="64"/>
      <c r="F55" s="10" t="s">
        <v>12</v>
      </c>
      <c r="G55" s="7"/>
      <c r="H55" s="29">
        <f>+'Data Entry'!C18</f>
        <v>97</v>
      </c>
    </row>
    <row r="56" spans="1:9" x14ac:dyDescent="0.25">
      <c r="A56" s="64" t="s">
        <v>163</v>
      </c>
      <c r="B56" s="64"/>
      <c r="C56" s="64"/>
      <c r="D56" s="64"/>
      <c r="E56" s="64"/>
      <c r="F56" s="10" t="s">
        <v>14</v>
      </c>
      <c r="G56" s="7"/>
      <c r="H56" s="27">
        <f>+'Data Entry'!C19</f>
        <v>5.4000000000000003E-3</v>
      </c>
    </row>
    <row r="57" spans="1:9" x14ac:dyDescent="0.25">
      <c r="A57" s="64" t="s">
        <v>164</v>
      </c>
      <c r="B57" s="64"/>
      <c r="C57" s="64"/>
      <c r="D57" s="64"/>
      <c r="E57" s="64"/>
      <c r="F57" s="10" t="s">
        <v>17</v>
      </c>
      <c r="G57" s="7"/>
      <c r="H57" s="27">
        <f>+'Data Entry'!C20</f>
        <v>3.09E-2</v>
      </c>
    </row>
    <row r="58" spans="1:9" x14ac:dyDescent="0.25">
      <c r="F58" s="69" t="s">
        <v>165</v>
      </c>
      <c r="G58" s="7"/>
      <c r="H58" s="29">
        <f>+'Data Entry'!D105</f>
        <v>5.0999999999999996</v>
      </c>
    </row>
    <row r="59" spans="1:9" x14ac:dyDescent="0.25">
      <c r="F59" s="69" t="s">
        <v>166</v>
      </c>
      <c r="G59" s="7"/>
      <c r="H59" s="29">
        <f>+'Data Entry'!E20</f>
        <v>4.8000000000000001E-2</v>
      </c>
    </row>
    <row r="60" spans="1:9" x14ac:dyDescent="0.25">
      <c r="F60" s="319" t="s">
        <v>568</v>
      </c>
      <c r="G60" s="7"/>
      <c r="H60" s="29">
        <f>+'Data Entry'!D113</f>
        <v>3.77</v>
      </c>
    </row>
    <row r="61" spans="1:9" x14ac:dyDescent="0.25">
      <c r="F61" s="69" t="s">
        <v>167</v>
      </c>
      <c r="G61" s="7"/>
      <c r="H61" s="27">
        <f>+'Data Entry'!C21</f>
        <v>0.06</v>
      </c>
    </row>
  </sheetData>
  <phoneticPr fontId="28" type="noConversion"/>
  <pageMargins left="0.75" right="0.25" top="0.25" bottom="0.25" header="0.5" footer="0.22"/>
  <pageSetup scale="95" orientation="portrait" horizontalDpi="300" verticalDpi="300" r:id="rId1"/>
  <headerFooter alignWithMargins="0">
    <oddFooter>&amp;R&amp;A</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1"/>
  <sheetViews>
    <sheetView workbookViewId="0">
      <selection activeCell="A2" sqref="A1:A2"/>
    </sheetView>
  </sheetViews>
  <sheetFormatPr defaultRowHeight="13.2" x14ac:dyDescent="0.25"/>
  <cols>
    <col min="6" max="8" width="15.6640625" customWidth="1"/>
  </cols>
  <sheetData>
    <row r="1" spans="1:8" x14ac:dyDescent="0.25">
      <c r="A1" s="773" t="s">
        <v>943</v>
      </c>
    </row>
    <row r="2" spans="1:8" x14ac:dyDescent="0.25">
      <c r="A2" s="773" t="s">
        <v>923</v>
      </c>
    </row>
    <row r="4" spans="1:8" ht="17.399999999999999" x14ac:dyDescent="0.3">
      <c r="A4" s="2" t="str">
        <f>'70wOH5'!A4</f>
        <v>2016 Cost of Service</v>
      </c>
    </row>
    <row r="5" spans="1:8" x14ac:dyDescent="0.25">
      <c r="A5" s="4"/>
      <c r="B5" s="4"/>
      <c r="C5" s="4"/>
      <c r="D5" s="4"/>
      <c r="E5" s="4"/>
      <c r="F5" s="14" t="s">
        <v>181</v>
      </c>
      <c r="G5" s="14" t="s">
        <v>181</v>
      </c>
      <c r="H5" s="14"/>
    </row>
    <row r="6" spans="1:8" x14ac:dyDescent="0.25">
      <c r="A6" s="12" t="s">
        <v>125</v>
      </c>
      <c r="B6" s="12"/>
      <c r="C6" s="12"/>
      <c r="D6" s="12"/>
      <c r="E6" s="12"/>
      <c r="F6" s="14" t="s">
        <v>126</v>
      </c>
      <c r="G6" s="14" t="s">
        <v>126</v>
      </c>
      <c r="H6" s="14"/>
    </row>
    <row r="7" spans="1:8" x14ac:dyDescent="0.25">
      <c r="A7" s="12"/>
      <c r="B7" s="12"/>
      <c r="C7" s="12"/>
      <c r="D7" s="12"/>
      <c r="E7" s="12"/>
      <c r="F7" s="14" t="s">
        <v>127</v>
      </c>
      <c r="G7" s="14" t="s">
        <v>168</v>
      </c>
      <c r="H7" s="14"/>
    </row>
    <row r="8" spans="1:8" x14ac:dyDescent="0.25">
      <c r="A8" s="12"/>
      <c r="B8" s="12"/>
      <c r="C8" s="12"/>
      <c r="D8" s="12"/>
      <c r="E8" s="12"/>
      <c r="F8" s="15" t="s">
        <v>130</v>
      </c>
      <c r="G8" s="15" t="s">
        <v>170</v>
      </c>
      <c r="H8" s="30"/>
    </row>
    <row r="9" spans="1:8" x14ac:dyDescent="0.25">
      <c r="A9" s="12" t="s">
        <v>131</v>
      </c>
      <c r="B9" s="13"/>
      <c r="C9" s="13"/>
      <c r="D9" s="13"/>
      <c r="E9" s="13"/>
      <c r="F9" s="6"/>
      <c r="G9" s="6"/>
      <c r="H9" s="6"/>
    </row>
    <row r="10" spans="1:8" x14ac:dyDescent="0.25">
      <c r="A10" s="13" t="s">
        <v>464</v>
      </c>
      <c r="B10" s="13"/>
      <c r="C10" s="13"/>
      <c r="D10" s="13"/>
      <c r="E10" s="13"/>
      <c r="F10" s="16">
        <v>324</v>
      </c>
      <c r="G10" s="16">
        <v>324</v>
      </c>
      <c r="H10" s="16"/>
    </row>
    <row r="11" spans="1:8" x14ac:dyDescent="0.25">
      <c r="A11" s="13" t="s">
        <v>133</v>
      </c>
      <c r="B11" s="13"/>
      <c r="C11" s="13"/>
      <c r="D11" s="13"/>
      <c r="E11" s="13"/>
      <c r="F11" s="17">
        <f>TRUNC(+F10*(1/12)*4.24)</f>
        <v>114</v>
      </c>
      <c r="G11" s="17">
        <f>TRUNC(+G10*(1/12)*4.24)</f>
        <v>114</v>
      </c>
      <c r="H11" s="17"/>
    </row>
    <row r="12" spans="1:8" x14ac:dyDescent="0.25">
      <c r="A12" s="13" t="s">
        <v>134</v>
      </c>
      <c r="B12" s="13"/>
      <c r="C12" s="13"/>
      <c r="D12" s="13"/>
      <c r="E12" s="13"/>
      <c r="F12" s="16">
        <v>60</v>
      </c>
      <c r="G12" s="16">
        <v>60</v>
      </c>
      <c r="H12" s="16"/>
    </row>
    <row r="13" spans="1:8" x14ac:dyDescent="0.25">
      <c r="A13" s="13"/>
      <c r="B13" s="13"/>
      <c r="C13" s="13"/>
      <c r="D13" s="13"/>
      <c r="E13" s="13"/>
      <c r="F13" s="18"/>
      <c r="G13" s="18"/>
      <c r="H13" s="18"/>
    </row>
    <row r="14" spans="1:8" x14ac:dyDescent="0.25">
      <c r="A14" s="12" t="s">
        <v>135</v>
      </c>
      <c r="B14" s="13"/>
      <c r="C14" s="13"/>
      <c r="D14" s="13"/>
      <c r="E14" s="13"/>
      <c r="F14" s="18"/>
      <c r="G14" s="18"/>
      <c r="H14" s="18"/>
    </row>
    <row r="15" spans="1:8" x14ac:dyDescent="0.25">
      <c r="A15" s="13" t="s">
        <v>136</v>
      </c>
      <c r="B15" s="13"/>
      <c r="C15" s="13"/>
      <c r="D15" s="13"/>
      <c r="E15" s="13"/>
      <c r="F15" s="19">
        <f>+'44'!G32</f>
        <v>278.98403215999997</v>
      </c>
      <c r="G15" s="19">
        <f>+'45'!G21</f>
        <v>211.06902670000002</v>
      </c>
      <c r="H15" s="19"/>
    </row>
    <row r="16" spans="1:8" x14ac:dyDescent="0.25">
      <c r="A16" s="13" t="s">
        <v>428</v>
      </c>
      <c r="B16" s="13"/>
      <c r="C16" s="13"/>
      <c r="D16" s="13"/>
      <c r="E16" s="13"/>
      <c r="F16" s="19">
        <f>+F15*$H$56/2</f>
        <v>0.75325688683199998</v>
      </c>
      <c r="G16" s="19">
        <f>+G15*$H$56/2</f>
        <v>0.56988637209000015</v>
      </c>
      <c r="H16" s="19"/>
    </row>
    <row r="17" spans="1:8" x14ac:dyDescent="0.25">
      <c r="A17" s="13" t="s">
        <v>137</v>
      </c>
      <c r="B17" s="13"/>
      <c r="C17" s="13"/>
      <c r="D17" s="13"/>
      <c r="E17" s="13"/>
      <c r="F17" s="19">
        <f>+'67'!H20</f>
        <v>100.88000000000002</v>
      </c>
      <c r="G17" s="19">
        <f>+'67'!H39</f>
        <v>43.650000000000006</v>
      </c>
      <c r="H17" s="19"/>
    </row>
    <row r="18" spans="1:8" x14ac:dyDescent="0.25">
      <c r="A18" s="13" t="s">
        <v>427</v>
      </c>
      <c r="B18" s="13"/>
      <c r="C18" s="13"/>
      <c r="D18" s="13"/>
      <c r="E18" s="13"/>
      <c r="F18" s="232">
        <f>+F17*$H$57/2</f>
        <v>1.5585960000000003</v>
      </c>
      <c r="G18" s="232">
        <f>+G17*$H$57/2</f>
        <v>0.67439250000000006</v>
      </c>
      <c r="H18" s="19"/>
    </row>
    <row r="19" spans="1:8" x14ac:dyDescent="0.25">
      <c r="A19" s="13"/>
      <c r="B19" s="13"/>
      <c r="C19" s="13"/>
      <c r="D19" s="13"/>
      <c r="E19" s="13"/>
      <c r="F19" s="19">
        <f>SUM(F15:F18)</f>
        <v>382.17588504683198</v>
      </c>
      <c r="G19" s="19">
        <f>SUM(G15:G18)</f>
        <v>255.96330557209004</v>
      </c>
      <c r="H19" s="19"/>
    </row>
    <row r="20" spans="1:8" x14ac:dyDescent="0.25">
      <c r="A20" s="13" t="s">
        <v>426</v>
      </c>
      <c r="B20" s="13"/>
      <c r="C20" s="13"/>
      <c r="D20" s="13"/>
      <c r="E20" s="13"/>
      <c r="F20" s="20">
        <f>+F19*$H$52</f>
        <v>97.149109978904676</v>
      </c>
      <c r="G20" s="20">
        <f>+G19*$H$52</f>
        <v>65.065872276425281</v>
      </c>
      <c r="H20" s="19"/>
    </row>
    <row r="21" spans="1:8" x14ac:dyDescent="0.25">
      <c r="A21" s="12" t="s">
        <v>138</v>
      </c>
      <c r="B21" s="13"/>
      <c r="C21" s="13"/>
      <c r="D21" s="13"/>
      <c r="E21" s="13"/>
      <c r="F21" s="21">
        <f>SUM(F19:F20)</f>
        <v>479.32499502573665</v>
      </c>
      <c r="G21" s="21">
        <f>SUM(G19:G20)</f>
        <v>321.0291778485153</v>
      </c>
      <c r="H21" s="21"/>
    </row>
    <row r="22" spans="1:8" x14ac:dyDescent="0.25">
      <c r="A22" s="13"/>
      <c r="B22" s="13"/>
      <c r="C22" s="13"/>
      <c r="D22" s="13"/>
      <c r="E22" s="13"/>
      <c r="F22" s="19"/>
      <c r="G22" s="19"/>
      <c r="H22" s="19"/>
    </row>
    <row r="23" spans="1:8" x14ac:dyDescent="0.25">
      <c r="A23" s="13" t="s">
        <v>139</v>
      </c>
      <c r="B23" s="13"/>
      <c r="C23" s="13"/>
      <c r="D23" s="13"/>
      <c r="E23" s="13"/>
      <c r="F23" s="19"/>
      <c r="G23" s="19"/>
      <c r="H23" s="19"/>
    </row>
    <row r="24" spans="1:8" x14ac:dyDescent="0.25">
      <c r="A24" s="13" t="s">
        <v>140</v>
      </c>
      <c r="B24" s="13"/>
      <c r="C24" s="13"/>
      <c r="D24" s="13"/>
      <c r="E24" s="13"/>
      <c r="F24" s="19">
        <f>+H58*(1+$H$61)*(1+$H$53)+H59</f>
        <v>6.9093100399999994</v>
      </c>
      <c r="G24" s="19">
        <f>+F24</f>
        <v>6.9093100399999994</v>
      </c>
      <c r="H24" s="19"/>
    </row>
    <row r="25" spans="1:8" x14ac:dyDescent="0.25">
      <c r="A25" s="277" t="s">
        <v>570</v>
      </c>
      <c r="B25" s="13"/>
      <c r="C25" s="13"/>
      <c r="D25" s="13"/>
      <c r="E25" s="13"/>
      <c r="F25" s="19">
        <f>+$H$60*(1+$H$61)*(1+$H$53)</f>
        <v>4.23357428</v>
      </c>
      <c r="G25" s="19">
        <f>+$H$60*(1+$H$61)*(1+$H$53)</f>
        <v>4.23357428</v>
      </c>
      <c r="H25" s="19"/>
    </row>
    <row r="26" spans="1:8" x14ac:dyDescent="0.25">
      <c r="A26" s="13" t="s">
        <v>429</v>
      </c>
      <c r="B26" s="13"/>
      <c r="C26" s="13"/>
      <c r="D26" s="13"/>
      <c r="E26" s="13"/>
      <c r="F26" s="19">
        <f>+F24*$H$56/2</f>
        <v>1.8655137108E-2</v>
      </c>
      <c r="G26" s="19">
        <f>+G24*$H$56/2</f>
        <v>1.8655137108E-2</v>
      </c>
      <c r="H26" s="19"/>
    </row>
    <row r="27" spans="1:8" x14ac:dyDescent="0.25">
      <c r="A27" s="13" t="s">
        <v>141</v>
      </c>
      <c r="B27" s="13"/>
      <c r="C27" s="13"/>
      <c r="D27" s="13"/>
      <c r="E27" s="13"/>
      <c r="F27" s="19">
        <f>+$H$55</f>
        <v>97</v>
      </c>
      <c r="G27" s="19">
        <f>+$H$55</f>
        <v>97</v>
      </c>
      <c r="H27" s="19"/>
    </row>
    <row r="28" spans="1:8" x14ac:dyDescent="0.25">
      <c r="A28" s="13" t="s">
        <v>430</v>
      </c>
      <c r="B28" s="13"/>
      <c r="C28" s="13"/>
      <c r="D28" s="13"/>
      <c r="E28" s="13"/>
      <c r="F28" s="20">
        <f>+F27*$H$57/2</f>
        <v>1.49865</v>
      </c>
      <c r="G28" s="20">
        <f>+G27*$H$57/2</f>
        <v>1.49865</v>
      </c>
      <c r="H28" s="19"/>
    </row>
    <row r="29" spans="1:8" x14ac:dyDescent="0.25">
      <c r="A29" s="12" t="s">
        <v>467</v>
      </c>
      <c r="B29" s="13"/>
      <c r="C29" s="13"/>
      <c r="D29" s="13"/>
      <c r="E29" s="13"/>
      <c r="F29" s="22">
        <f>SUM(F24:F28)</f>
        <v>109.660189457108</v>
      </c>
      <c r="G29" s="22">
        <f>SUM(G24:G28)</f>
        <v>109.660189457108</v>
      </c>
      <c r="H29" s="22"/>
    </row>
    <row r="30" spans="1:8" x14ac:dyDescent="0.25">
      <c r="A30" s="12" t="s">
        <v>143</v>
      </c>
      <c r="B30" s="13"/>
      <c r="C30" s="13"/>
      <c r="D30" s="13"/>
      <c r="E30" s="13"/>
      <c r="F30" s="22">
        <f>+F29/F12</f>
        <v>1.8276698242851335</v>
      </c>
      <c r="G30" s="22">
        <f>+G29/G12</f>
        <v>1.8276698242851335</v>
      </c>
      <c r="H30" s="22"/>
    </row>
    <row r="31" spans="1:8" x14ac:dyDescent="0.25">
      <c r="A31" s="13"/>
      <c r="B31" s="13"/>
      <c r="C31" s="13"/>
      <c r="D31" s="13"/>
      <c r="E31" s="13"/>
      <c r="F31" s="19"/>
      <c r="G31" s="19"/>
      <c r="H31" s="19"/>
    </row>
    <row r="32" spans="1:8" x14ac:dyDescent="0.25">
      <c r="A32" s="12" t="s">
        <v>144</v>
      </c>
      <c r="B32" s="13"/>
      <c r="C32" s="13"/>
      <c r="D32" s="13"/>
      <c r="E32" s="13"/>
      <c r="F32" s="19"/>
      <c r="G32" s="19"/>
      <c r="H32" s="19"/>
    </row>
    <row r="33" spans="1:8" x14ac:dyDescent="0.25">
      <c r="A33" s="13" t="s">
        <v>145</v>
      </c>
      <c r="B33" s="13"/>
      <c r="C33" s="13"/>
      <c r="D33" s="13"/>
      <c r="E33" s="13"/>
      <c r="F33" s="239">
        <f>ROUND(+$H$46*0.083333*F21*$H$47,2)</f>
        <v>6.1</v>
      </c>
      <c r="G33" s="239">
        <f>ROUND(+$H$46*0.083333*G21*$H$47,2)</f>
        <v>4.09</v>
      </c>
      <c r="H33" s="19"/>
    </row>
    <row r="34" spans="1:8" x14ac:dyDescent="0.25">
      <c r="A34" s="13" t="s">
        <v>146</v>
      </c>
      <c r="B34" s="13"/>
      <c r="C34" s="13"/>
      <c r="D34" s="13"/>
      <c r="E34" s="13"/>
      <c r="F34" s="239">
        <f>ROUND(+$H$47*0.083333*F21*$H$49,2)</f>
        <v>1.74</v>
      </c>
      <c r="G34" s="239">
        <f>ROUND(+$H$47*0.083333*G21*$H$49,2)</f>
        <v>1.17</v>
      </c>
      <c r="H34" s="19"/>
    </row>
    <row r="35" spans="1:8" x14ac:dyDescent="0.25">
      <c r="A35" s="13" t="s">
        <v>147</v>
      </c>
      <c r="B35" s="13"/>
      <c r="C35" s="13"/>
      <c r="D35" s="13"/>
      <c r="E35" s="13"/>
      <c r="F35" s="239">
        <f>ROUND(+F30*$H$47,2)</f>
        <v>1.83</v>
      </c>
      <c r="G35" s="239">
        <f>ROUND(+G30*$H$47,2)</f>
        <v>1.83</v>
      </c>
      <c r="H35" s="19"/>
    </row>
    <row r="36" spans="1:8" x14ac:dyDescent="0.25">
      <c r="A36" s="13" t="s">
        <v>148</v>
      </c>
      <c r="B36" s="13"/>
      <c r="C36" s="13"/>
      <c r="D36" s="13"/>
      <c r="E36" s="13"/>
      <c r="F36" s="232">
        <f>ROUND(+$H$51*F11,2)</f>
        <v>3.02</v>
      </c>
      <c r="G36" s="232">
        <f>ROUND(+$H$51*G11,2)</f>
        <v>3.02</v>
      </c>
      <c r="H36" s="19"/>
    </row>
    <row r="37" spans="1:8" x14ac:dyDescent="0.25">
      <c r="A37" s="12" t="s">
        <v>149</v>
      </c>
      <c r="B37" s="13"/>
      <c r="C37" s="13"/>
      <c r="D37" s="13"/>
      <c r="E37" s="13"/>
      <c r="F37" s="22">
        <f>SUM(F33:F36)</f>
        <v>12.69</v>
      </c>
      <c r="G37" s="22">
        <f>SUM(G33:G36)</f>
        <v>10.11</v>
      </c>
      <c r="H37" s="22"/>
    </row>
    <row r="38" spans="1:8" x14ac:dyDescent="0.25">
      <c r="A38" s="13"/>
      <c r="B38" s="13"/>
      <c r="C38" s="13"/>
      <c r="D38" s="13"/>
      <c r="E38" s="13"/>
      <c r="F38" s="19"/>
      <c r="G38" s="19"/>
      <c r="H38" s="19"/>
    </row>
    <row r="39" spans="1:8" x14ac:dyDescent="0.25">
      <c r="A39" s="12" t="s">
        <v>150</v>
      </c>
      <c r="B39" s="13"/>
      <c r="C39" s="13"/>
      <c r="D39" s="13"/>
      <c r="E39" s="13"/>
      <c r="F39" s="19"/>
      <c r="G39" s="19"/>
      <c r="H39" s="19"/>
    </row>
    <row r="40" spans="1:8" x14ac:dyDescent="0.25">
      <c r="A40" s="13" t="s">
        <v>145</v>
      </c>
      <c r="B40" s="13"/>
      <c r="C40" s="13"/>
      <c r="D40" s="13"/>
      <c r="E40" s="13"/>
      <c r="F40" s="19">
        <f>+F33</f>
        <v>6.1</v>
      </c>
      <c r="G40" s="19">
        <f>+G33</f>
        <v>4.09</v>
      </c>
      <c r="H40" s="19"/>
    </row>
    <row r="41" spans="1:8" x14ac:dyDescent="0.25">
      <c r="A41" s="13" t="s">
        <v>151</v>
      </c>
      <c r="B41" s="13"/>
      <c r="C41" s="13"/>
      <c r="D41" s="13"/>
      <c r="E41" s="13"/>
      <c r="F41" s="239">
        <f>ROUND(+$H$47*0.083333*F21*$H$50,2)</f>
        <v>1.59</v>
      </c>
      <c r="G41" s="239">
        <f>ROUND(+$H$47*0.083333*G21*$H$50,2)</f>
        <v>1.06</v>
      </c>
      <c r="H41" s="19"/>
    </row>
    <row r="42" spans="1:8" x14ac:dyDescent="0.25">
      <c r="A42" s="13" t="s">
        <v>147</v>
      </c>
      <c r="B42" s="13"/>
      <c r="C42" s="13"/>
      <c r="D42" s="13"/>
      <c r="E42" s="13"/>
      <c r="F42" s="239">
        <f>ROUND(+F30*$H$47,2)</f>
        <v>1.83</v>
      </c>
      <c r="G42" s="239">
        <f>ROUND(+G30*$H$47,2)</f>
        <v>1.83</v>
      </c>
      <c r="H42" s="19"/>
    </row>
    <row r="43" spans="1:8" x14ac:dyDescent="0.25">
      <c r="A43" s="13" t="s">
        <v>148</v>
      </c>
      <c r="B43" s="13"/>
      <c r="C43" s="13"/>
      <c r="D43" s="13"/>
      <c r="E43" s="13"/>
      <c r="F43" s="232">
        <f>ROUND(+$I$51*F11,2)</f>
        <v>3.05</v>
      </c>
      <c r="G43" s="232">
        <f>ROUND(+$I$51*G11,2)</f>
        <v>3.05</v>
      </c>
      <c r="H43" s="19"/>
    </row>
    <row r="44" spans="1:8" x14ac:dyDescent="0.25">
      <c r="A44" s="12" t="s">
        <v>149</v>
      </c>
      <c r="B44" s="13"/>
      <c r="C44" s="13"/>
      <c r="D44" s="13"/>
      <c r="E44" s="13"/>
      <c r="F44" s="22">
        <f>SUM(F40:F43)</f>
        <v>12.57</v>
      </c>
      <c r="G44" s="22">
        <f>SUM(G40:G43)</f>
        <v>10.030000000000001</v>
      </c>
      <c r="H44" s="22"/>
    </row>
    <row r="46" spans="1:8" x14ac:dyDescent="0.25">
      <c r="A46" s="64" t="s">
        <v>466</v>
      </c>
      <c r="B46" s="64"/>
      <c r="C46" s="64"/>
      <c r="D46" s="64"/>
      <c r="E46" s="64"/>
      <c r="F46" s="9" t="s">
        <v>152</v>
      </c>
      <c r="G46" s="8"/>
      <c r="H46" s="23">
        <f>+'Data Entry'!C9</f>
        <v>0.15265000000000001</v>
      </c>
    </row>
    <row r="47" spans="1:8" x14ac:dyDescent="0.25">
      <c r="A47" s="64" t="s">
        <v>153</v>
      </c>
      <c r="B47" s="64"/>
      <c r="C47" s="64"/>
      <c r="D47" s="64"/>
      <c r="E47" s="64"/>
      <c r="F47" s="10" t="s">
        <v>3</v>
      </c>
      <c r="G47" s="7"/>
      <c r="H47" s="24">
        <f>+'Data Entry'!C10</f>
        <v>1.0007205187735171</v>
      </c>
    </row>
    <row r="48" spans="1:8" x14ac:dyDescent="0.25">
      <c r="A48" s="64" t="s">
        <v>154</v>
      </c>
      <c r="B48" s="64"/>
      <c r="C48" s="64"/>
      <c r="D48" s="64"/>
      <c r="E48" s="64"/>
      <c r="F48" s="11" t="s">
        <v>4</v>
      </c>
      <c r="H48" s="25"/>
    </row>
    <row r="49" spans="1:9" x14ac:dyDescent="0.25">
      <c r="A49" s="64" t="s">
        <v>155</v>
      </c>
      <c r="B49" s="64"/>
      <c r="C49" s="64"/>
      <c r="D49" s="64"/>
      <c r="E49" s="64"/>
      <c r="F49" s="11" t="s">
        <v>5</v>
      </c>
      <c r="H49" s="26">
        <f>+'Data Entry'!C12</f>
        <v>4.36E-2</v>
      </c>
    </row>
    <row r="50" spans="1:9" x14ac:dyDescent="0.25">
      <c r="A50" s="64" t="s">
        <v>156</v>
      </c>
      <c r="B50" s="64"/>
      <c r="C50" s="64"/>
      <c r="D50" s="64"/>
      <c r="E50" s="64"/>
      <c r="F50" s="10" t="s">
        <v>6</v>
      </c>
      <c r="G50" s="7"/>
      <c r="H50" s="27">
        <f>+'Data Entry'!C13</f>
        <v>3.9780000000000003E-2</v>
      </c>
      <c r="I50" s="236" t="s">
        <v>504</v>
      </c>
    </row>
    <row r="51" spans="1:9" x14ac:dyDescent="0.25">
      <c r="A51" s="64" t="s">
        <v>157</v>
      </c>
      <c r="B51" s="64"/>
      <c r="C51" s="64"/>
      <c r="D51" s="64"/>
      <c r="E51" s="64"/>
      <c r="F51" s="10" t="s">
        <v>7</v>
      </c>
      <c r="G51" s="7"/>
      <c r="H51" s="237">
        <f>+'Data Entry'!C14</f>
        <v>2.6519999999999998E-2</v>
      </c>
      <c r="I51" s="238">
        <f>+'Data Entry'!D14</f>
        <v>2.6759999999999999E-2</v>
      </c>
    </row>
    <row r="52" spans="1:9" x14ac:dyDescent="0.25">
      <c r="A52" s="64" t="s">
        <v>158</v>
      </c>
      <c r="B52" s="64"/>
      <c r="C52" s="64"/>
      <c r="D52" s="64"/>
      <c r="E52" s="64"/>
      <c r="F52" s="10" t="s">
        <v>8</v>
      </c>
      <c r="G52" s="7"/>
      <c r="H52" s="27">
        <f>+'Data Entry'!C15</f>
        <v>0.25419999999999998</v>
      </c>
    </row>
    <row r="53" spans="1:9" x14ac:dyDescent="0.25">
      <c r="A53" s="64" t="s">
        <v>159</v>
      </c>
      <c r="B53" s="64"/>
      <c r="C53" s="64"/>
      <c r="D53" s="64"/>
      <c r="E53" s="64"/>
      <c r="F53" s="10" t="s">
        <v>9</v>
      </c>
      <c r="G53" s="7"/>
      <c r="H53" s="27">
        <f>+'Data Entry'!C16</f>
        <v>5.9400000000000001E-2</v>
      </c>
    </row>
    <row r="54" spans="1:9" x14ac:dyDescent="0.25">
      <c r="A54" s="64" t="s">
        <v>160</v>
      </c>
      <c r="B54" s="64"/>
      <c r="C54" s="64"/>
      <c r="D54" s="64"/>
      <c r="E54" s="64"/>
      <c r="F54" s="10" t="s">
        <v>161</v>
      </c>
      <c r="G54" s="7"/>
      <c r="H54" s="29">
        <f>+'Data Entry'!C17</f>
        <v>97</v>
      </c>
    </row>
    <row r="55" spans="1:9" x14ac:dyDescent="0.25">
      <c r="A55" s="64" t="s">
        <v>162</v>
      </c>
      <c r="B55" s="64"/>
      <c r="C55" s="64"/>
      <c r="D55" s="64"/>
      <c r="E55" s="64"/>
      <c r="F55" s="10" t="s">
        <v>12</v>
      </c>
      <c r="G55" s="7"/>
      <c r="H55" s="29">
        <f>+'Data Entry'!C18</f>
        <v>97</v>
      </c>
    </row>
    <row r="56" spans="1:9" x14ac:dyDescent="0.25">
      <c r="A56" s="64" t="s">
        <v>163</v>
      </c>
      <c r="B56" s="64"/>
      <c r="C56" s="64"/>
      <c r="D56" s="64"/>
      <c r="E56" s="64"/>
      <c r="F56" s="10" t="s">
        <v>14</v>
      </c>
      <c r="G56" s="7"/>
      <c r="H56" s="27">
        <f>+'Data Entry'!C19</f>
        <v>5.4000000000000003E-3</v>
      </c>
    </row>
    <row r="57" spans="1:9" x14ac:dyDescent="0.25">
      <c r="A57" s="64" t="s">
        <v>164</v>
      </c>
      <c r="B57" s="64"/>
      <c r="C57" s="64"/>
      <c r="D57" s="64"/>
      <c r="E57" s="64"/>
      <c r="F57" s="10" t="s">
        <v>17</v>
      </c>
      <c r="G57" s="7"/>
      <c r="H57" s="27">
        <f>+'Data Entry'!C20</f>
        <v>3.09E-2</v>
      </c>
    </row>
    <row r="58" spans="1:9" x14ac:dyDescent="0.25">
      <c r="F58" s="69" t="s">
        <v>165</v>
      </c>
      <c r="G58" s="7"/>
      <c r="H58" s="29">
        <f>+'Data Entry'!D100</f>
        <v>6.11</v>
      </c>
    </row>
    <row r="59" spans="1:9" x14ac:dyDescent="0.25">
      <c r="F59" s="69" t="s">
        <v>166</v>
      </c>
      <c r="G59" s="7"/>
      <c r="H59" s="29">
        <f>+'Data Entry'!E20</f>
        <v>4.8000000000000001E-2</v>
      </c>
    </row>
    <row r="60" spans="1:9" x14ac:dyDescent="0.25">
      <c r="F60" s="319" t="s">
        <v>568</v>
      </c>
      <c r="G60" s="7"/>
      <c r="H60" s="29">
        <f>+'Data Entry'!D113</f>
        <v>3.77</v>
      </c>
    </row>
    <row r="61" spans="1:9" x14ac:dyDescent="0.25">
      <c r="F61" s="69" t="s">
        <v>167</v>
      </c>
      <c r="G61" s="7"/>
      <c r="H61" s="27">
        <f>+'Data Entry'!C21</f>
        <v>0.06</v>
      </c>
    </row>
  </sheetData>
  <phoneticPr fontId="28" type="noConversion"/>
  <pageMargins left="0.75" right="0.25" top="0.25" bottom="0.25" header="0.5" footer="0.22"/>
  <pageSetup scale="95" orientation="portrait" horizontalDpi="300" verticalDpi="300" r:id="rId1"/>
  <headerFooter alignWithMargins="0">
    <oddFooter>&amp;R&amp;A</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1"/>
  <sheetViews>
    <sheetView workbookViewId="0">
      <selection activeCell="A2" sqref="A1:A2"/>
    </sheetView>
  </sheetViews>
  <sheetFormatPr defaultRowHeight="13.2" x14ac:dyDescent="0.25"/>
  <cols>
    <col min="6" max="9" width="12.6640625" customWidth="1"/>
  </cols>
  <sheetData>
    <row r="1" spans="1:9" x14ac:dyDescent="0.25">
      <c r="A1" s="773" t="s">
        <v>944</v>
      </c>
    </row>
    <row r="2" spans="1:9" x14ac:dyDescent="0.25">
      <c r="A2" s="773" t="s">
        <v>923</v>
      </c>
    </row>
    <row r="4" spans="1:9" ht="17.399999999999999" x14ac:dyDescent="0.3">
      <c r="A4" s="2" t="str">
        <f>'70wOH5'!A4</f>
        <v>2016 Cost of Service</v>
      </c>
    </row>
    <row r="5" spans="1:9" x14ac:dyDescent="0.25">
      <c r="A5" s="4"/>
      <c r="B5" s="4"/>
      <c r="C5" s="4"/>
      <c r="D5" s="4"/>
      <c r="E5" s="4"/>
      <c r="F5" s="14" t="s">
        <v>182</v>
      </c>
      <c r="G5" s="14" t="s">
        <v>182</v>
      </c>
      <c r="H5" s="14" t="s">
        <v>182</v>
      </c>
      <c r="I5" s="14"/>
    </row>
    <row r="6" spans="1:9" x14ac:dyDescent="0.25">
      <c r="A6" s="12" t="s">
        <v>125</v>
      </c>
      <c r="B6" s="12"/>
      <c r="C6" s="12"/>
      <c r="D6" s="12"/>
      <c r="E6" s="12"/>
      <c r="F6" s="14" t="s">
        <v>126</v>
      </c>
      <c r="G6" s="14" t="s">
        <v>126</v>
      </c>
      <c r="H6" s="14" t="s">
        <v>126</v>
      </c>
      <c r="I6" s="14"/>
    </row>
    <row r="7" spans="1:9" x14ac:dyDescent="0.25">
      <c r="A7" s="12" t="s">
        <v>433</v>
      </c>
      <c r="B7" s="12"/>
      <c r="C7" s="12"/>
      <c r="D7" s="12"/>
      <c r="E7" s="12"/>
      <c r="F7" s="14" t="s">
        <v>127</v>
      </c>
      <c r="G7" s="14" t="s">
        <v>128</v>
      </c>
      <c r="H7" s="14" t="s">
        <v>171</v>
      </c>
      <c r="I7" s="14"/>
    </row>
    <row r="8" spans="1:9" x14ac:dyDescent="0.25">
      <c r="A8" s="12"/>
      <c r="B8" s="12"/>
      <c r="C8" s="12"/>
      <c r="D8" s="12"/>
      <c r="E8" s="12"/>
      <c r="F8" s="15" t="s">
        <v>130</v>
      </c>
      <c r="G8" s="15" t="s">
        <v>130</v>
      </c>
      <c r="H8" s="15" t="s">
        <v>172</v>
      </c>
      <c r="I8" s="15"/>
    </row>
    <row r="9" spans="1:9" x14ac:dyDescent="0.25">
      <c r="A9" s="12" t="s">
        <v>131</v>
      </c>
      <c r="B9" s="13"/>
      <c r="C9" s="13"/>
      <c r="D9" s="13"/>
      <c r="E9" s="13"/>
      <c r="F9" s="6"/>
      <c r="G9" s="6"/>
      <c r="H9" s="6"/>
      <c r="I9" s="6"/>
    </row>
    <row r="10" spans="1:9" x14ac:dyDescent="0.25">
      <c r="A10" s="13" t="s">
        <v>464</v>
      </c>
      <c r="B10" s="13"/>
      <c r="C10" s="13"/>
      <c r="D10" s="13"/>
      <c r="E10" s="13"/>
      <c r="F10" s="16">
        <v>469</v>
      </c>
      <c r="G10" s="16">
        <v>469</v>
      </c>
      <c r="H10" s="16">
        <v>469</v>
      </c>
      <c r="I10" s="16"/>
    </row>
    <row r="11" spans="1:9" x14ac:dyDescent="0.25">
      <c r="A11" s="13" t="s">
        <v>133</v>
      </c>
      <c r="B11" s="13"/>
      <c r="C11" s="13"/>
      <c r="D11" s="13"/>
      <c r="E11" s="13"/>
      <c r="F11" s="235">
        <f>TRUNC(+F10*(1/12)*4.24)</f>
        <v>165</v>
      </c>
      <c r="G11" s="235">
        <f>TRUNC(+G10*(1/12)*4.24)</f>
        <v>165</v>
      </c>
      <c r="H11" s="235">
        <f>TRUNC(+H10*(1/12)*4.24)</f>
        <v>165</v>
      </c>
      <c r="I11" s="17"/>
    </row>
    <row r="12" spans="1:9" x14ac:dyDescent="0.25">
      <c r="A12" s="13" t="s">
        <v>134</v>
      </c>
      <c r="B12" s="13"/>
      <c r="C12" s="13"/>
      <c r="D12" s="13"/>
      <c r="E12" s="13"/>
      <c r="F12" s="16">
        <v>60</v>
      </c>
      <c r="G12" s="16">
        <v>60</v>
      </c>
      <c r="H12" s="16">
        <v>60</v>
      </c>
      <c r="I12" s="16"/>
    </row>
    <row r="13" spans="1:9" x14ac:dyDescent="0.25">
      <c r="A13" s="13"/>
      <c r="B13" s="13"/>
      <c r="C13" s="13"/>
      <c r="D13" s="13"/>
      <c r="E13" s="13"/>
      <c r="F13" s="18"/>
      <c r="G13" s="18"/>
      <c r="H13" s="18"/>
      <c r="I13" s="18"/>
    </row>
    <row r="14" spans="1:9" x14ac:dyDescent="0.25">
      <c r="A14" s="12" t="s">
        <v>135</v>
      </c>
      <c r="B14" s="13"/>
      <c r="C14" s="13"/>
      <c r="D14" s="13"/>
      <c r="E14" s="13"/>
      <c r="F14" s="18"/>
      <c r="G14" s="18"/>
      <c r="H14" s="18"/>
      <c r="I14" s="18"/>
    </row>
    <row r="15" spans="1:9" x14ac:dyDescent="0.25">
      <c r="A15" s="13" t="s">
        <v>136</v>
      </c>
      <c r="B15" s="13"/>
      <c r="C15" s="13"/>
      <c r="D15" s="13"/>
      <c r="E15" s="13"/>
      <c r="F15" s="19">
        <f>+'46'!G32</f>
        <v>260.62587215999997</v>
      </c>
      <c r="G15" s="19">
        <f>+'47'!G32</f>
        <v>253.22663815999999</v>
      </c>
      <c r="H15" s="19">
        <f>+'400DS'!G31</f>
        <v>201.91334216000001</v>
      </c>
      <c r="I15" s="19"/>
    </row>
    <row r="16" spans="1:9" x14ac:dyDescent="0.25">
      <c r="A16" s="13" t="s">
        <v>428</v>
      </c>
      <c r="B16" s="13"/>
      <c r="C16" s="13"/>
      <c r="D16" s="13"/>
      <c r="E16" s="13"/>
      <c r="F16" s="19">
        <f>+F15*$H$56/2</f>
        <v>0.70368985483199997</v>
      </c>
      <c r="G16" s="19">
        <f>+G15*$H$56/2</f>
        <v>0.68371192303200001</v>
      </c>
      <c r="H16" s="19">
        <f>+H15*$H$56/2</f>
        <v>0.54516602383200008</v>
      </c>
      <c r="I16" s="19"/>
    </row>
    <row r="17" spans="1:9" x14ac:dyDescent="0.25">
      <c r="A17" s="13" t="s">
        <v>137</v>
      </c>
      <c r="B17" s="13"/>
      <c r="C17" s="13"/>
      <c r="D17" s="13"/>
      <c r="E17" s="13"/>
      <c r="F17" s="19">
        <f>+'67'!H20</f>
        <v>100.88000000000002</v>
      </c>
      <c r="G17" s="19">
        <f>+'67'!H20</f>
        <v>100.88000000000002</v>
      </c>
      <c r="H17" s="19">
        <f>+'67'!H20</f>
        <v>100.88000000000002</v>
      </c>
      <c r="I17" s="19"/>
    </row>
    <row r="18" spans="1:9" x14ac:dyDescent="0.25">
      <c r="A18" s="13" t="s">
        <v>427</v>
      </c>
      <c r="B18" s="13"/>
      <c r="C18" s="13"/>
      <c r="D18" s="13"/>
      <c r="E18" s="13"/>
      <c r="F18" s="232">
        <f>+F17*$H$57/2</f>
        <v>1.5585960000000003</v>
      </c>
      <c r="G18" s="232">
        <f>+G17*$H$57/2</f>
        <v>1.5585960000000003</v>
      </c>
      <c r="H18" s="232">
        <f>+H17*$H$57/2</f>
        <v>1.5585960000000003</v>
      </c>
      <c r="I18" s="20"/>
    </row>
    <row r="19" spans="1:9" x14ac:dyDescent="0.25">
      <c r="A19" s="13"/>
      <c r="B19" s="13"/>
      <c r="C19" s="13"/>
      <c r="D19" s="13"/>
      <c r="E19" s="13"/>
      <c r="F19" s="19">
        <f>SUM(F15:F18)</f>
        <v>363.76815801483207</v>
      </c>
      <c r="G19" s="19">
        <f>SUM(G15:G18)</f>
        <v>356.34894608303205</v>
      </c>
      <c r="H19" s="19">
        <f>SUM(H15:H18)</f>
        <v>304.89710418383203</v>
      </c>
      <c r="I19" s="19"/>
    </row>
    <row r="20" spans="1:9" ht="13.8" thickBot="1" x14ac:dyDescent="0.3">
      <c r="A20" s="13" t="s">
        <v>424</v>
      </c>
      <c r="B20" s="13"/>
      <c r="C20" s="13"/>
      <c r="D20" s="13"/>
      <c r="E20" s="13"/>
      <c r="F20" s="19">
        <f>+F19*$H$52</f>
        <v>92.469865767370308</v>
      </c>
      <c r="G20" s="19">
        <f>+G19*$H$52</f>
        <v>90.583902094306737</v>
      </c>
      <c r="H20" s="19">
        <f>+H19*$H$52</f>
        <v>77.5048438835301</v>
      </c>
      <c r="I20" s="20"/>
    </row>
    <row r="21" spans="1:9" ht="13.8" thickBot="1" x14ac:dyDescent="0.3">
      <c r="A21" s="12" t="s">
        <v>138</v>
      </c>
      <c r="B21" s="13"/>
      <c r="C21" s="13"/>
      <c r="D21" s="13"/>
      <c r="E21" s="13"/>
      <c r="F21" s="480">
        <f>SUM(F19:F20)</f>
        <v>456.23802378220239</v>
      </c>
      <c r="G21" s="481">
        <f>SUM(G19:G20)</f>
        <v>446.93284817733877</v>
      </c>
      <c r="H21" s="482">
        <f>SUM(H19:H20)</f>
        <v>382.40194806736213</v>
      </c>
      <c r="I21" s="21"/>
    </row>
    <row r="22" spans="1:9" x14ac:dyDescent="0.25">
      <c r="A22" s="13"/>
      <c r="B22" s="13"/>
      <c r="C22" s="13"/>
      <c r="D22" s="13"/>
      <c r="E22" s="13"/>
      <c r="F22" s="19"/>
      <c r="G22" s="19"/>
      <c r="H22" s="19"/>
      <c r="I22" s="19"/>
    </row>
    <row r="23" spans="1:9" x14ac:dyDescent="0.25">
      <c r="A23" s="13" t="s">
        <v>139</v>
      </c>
      <c r="B23" s="13"/>
      <c r="C23" s="13"/>
      <c r="D23" s="13"/>
      <c r="E23" s="13"/>
      <c r="F23" s="19"/>
      <c r="G23" s="19"/>
      <c r="H23" s="19"/>
      <c r="I23" s="19"/>
    </row>
    <row r="24" spans="1:9" x14ac:dyDescent="0.25">
      <c r="A24" s="13" t="s">
        <v>140</v>
      </c>
      <c r="B24" s="13"/>
      <c r="C24" s="13"/>
      <c r="D24" s="13"/>
      <c r="E24" s="13"/>
      <c r="F24" s="19">
        <f>+H58*(1+$H$61)*(1+$H$53)+H59</f>
        <v>5.9997091999999999</v>
      </c>
      <c r="G24" s="19">
        <f>+F24</f>
        <v>5.9997091999999999</v>
      </c>
      <c r="H24" s="19">
        <f>+F24</f>
        <v>5.9997091999999999</v>
      </c>
      <c r="I24" s="19"/>
    </row>
    <row r="25" spans="1:9" x14ac:dyDescent="0.25">
      <c r="A25" s="277" t="s">
        <v>570</v>
      </c>
      <c r="B25" s="13"/>
      <c r="C25" s="13"/>
      <c r="D25" s="13"/>
      <c r="E25" s="13"/>
      <c r="F25" s="19">
        <f>+$H$60*(1+$H$61)*(1+$H$53)</f>
        <v>4.23357428</v>
      </c>
      <c r="G25" s="19">
        <f>+$H$60*(1+$H$61)*(1+$H$53)</f>
        <v>4.23357428</v>
      </c>
      <c r="H25" s="19">
        <f>+$H$60*(1+$H$61)*(1+$H$53)</f>
        <v>4.23357428</v>
      </c>
      <c r="I25" s="19"/>
    </row>
    <row r="26" spans="1:9" x14ac:dyDescent="0.25">
      <c r="A26" s="13" t="s">
        <v>429</v>
      </c>
      <c r="B26" s="13"/>
      <c r="C26" s="13"/>
      <c r="D26" s="13"/>
      <c r="E26" s="13"/>
      <c r="F26" s="19">
        <f>+F24*$H$56/2</f>
        <v>1.619921484E-2</v>
      </c>
      <c r="G26" s="19">
        <f>+G24*$H$56/2</f>
        <v>1.619921484E-2</v>
      </c>
      <c r="H26" s="19">
        <f>+H24*$H$56/2</f>
        <v>1.619921484E-2</v>
      </c>
      <c r="I26" s="19"/>
    </row>
    <row r="27" spans="1:9" x14ac:dyDescent="0.25">
      <c r="A27" s="13" t="s">
        <v>141</v>
      </c>
      <c r="B27" s="13"/>
      <c r="C27" s="13"/>
      <c r="D27" s="13"/>
      <c r="E27" s="13"/>
      <c r="F27" s="19">
        <f>+$H$55</f>
        <v>97</v>
      </c>
      <c r="G27" s="19">
        <f>+$H$55</f>
        <v>97</v>
      </c>
      <c r="H27" s="19">
        <f>+$H$55</f>
        <v>97</v>
      </c>
      <c r="I27" s="19"/>
    </row>
    <row r="28" spans="1:9" x14ac:dyDescent="0.25">
      <c r="A28" s="13" t="s">
        <v>430</v>
      </c>
      <c r="B28" s="13"/>
      <c r="C28" s="13"/>
      <c r="D28" s="13"/>
      <c r="E28" s="13"/>
      <c r="F28" s="20">
        <f>+F27*$H$57/2</f>
        <v>1.49865</v>
      </c>
      <c r="G28" s="20">
        <f>+G27*$H$57/2</f>
        <v>1.49865</v>
      </c>
      <c r="H28" s="20">
        <f>+H27*$H$57/2</f>
        <v>1.49865</v>
      </c>
      <c r="I28" s="20"/>
    </row>
    <row r="29" spans="1:9" x14ac:dyDescent="0.25">
      <c r="A29" s="12" t="s">
        <v>467</v>
      </c>
      <c r="B29" s="13"/>
      <c r="C29" s="13"/>
      <c r="D29" s="13"/>
      <c r="E29" s="13"/>
      <c r="F29" s="22">
        <f>SUM(F24:F28)</f>
        <v>108.74813269484</v>
      </c>
      <c r="G29" s="22">
        <f>SUM(G24:G28)</f>
        <v>108.74813269484</v>
      </c>
      <c r="H29" s="22">
        <f>SUM(H24:H28)</f>
        <v>108.74813269484</v>
      </c>
      <c r="I29" s="22"/>
    </row>
    <row r="30" spans="1:9" x14ac:dyDescent="0.25">
      <c r="A30" s="12" t="s">
        <v>143</v>
      </c>
      <c r="B30" s="13"/>
      <c r="C30" s="13"/>
      <c r="D30" s="13"/>
      <c r="E30" s="13"/>
      <c r="F30" s="22">
        <f>+F29/F12</f>
        <v>1.8124688782473333</v>
      </c>
      <c r="G30" s="22">
        <f>+G29/G12</f>
        <v>1.8124688782473333</v>
      </c>
      <c r="H30" s="22">
        <f>+H29/H12</f>
        <v>1.8124688782473333</v>
      </c>
      <c r="I30" s="22"/>
    </row>
    <row r="31" spans="1:9" x14ac:dyDescent="0.25">
      <c r="A31" s="13"/>
      <c r="B31" s="13"/>
      <c r="C31" s="13"/>
      <c r="D31" s="13"/>
      <c r="E31" s="13"/>
      <c r="F31" s="19"/>
      <c r="G31" s="19"/>
      <c r="H31" s="19"/>
      <c r="I31" s="19"/>
    </row>
    <row r="32" spans="1:9" x14ac:dyDescent="0.25">
      <c r="A32" s="12" t="s">
        <v>144</v>
      </c>
      <c r="B32" s="13"/>
      <c r="C32" s="13"/>
      <c r="D32" s="13"/>
      <c r="E32" s="13"/>
      <c r="F32" s="19"/>
      <c r="G32" s="19"/>
      <c r="H32" s="19"/>
      <c r="I32" s="19"/>
    </row>
    <row r="33" spans="1:9" x14ac:dyDescent="0.25">
      <c r="A33" s="13" t="s">
        <v>145</v>
      </c>
      <c r="B33" s="13"/>
      <c r="C33" s="13"/>
      <c r="D33" s="13"/>
      <c r="E33" s="13"/>
      <c r="F33" s="239">
        <f>ROUND(+$H$46*0.083333*F21*$H$47,2)</f>
        <v>5.81</v>
      </c>
      <c r="G33" s="239">
        <f>ROUND(+$H$46*0.083333*G21*$H$47,2)</f>
        <v>5.69</v>
      </c>
      <c r="H33" s="239">
        <f>ROUND(+$H$46*0.083333*H21*$H$47,2)</f>
        <v>4.87</v>
      </c>
      <c r="I33" s="19"/>
    </row>
    <row r="34" spans="1:9" x14ac:dyDescent="0.25">
      <c r="A34" s="13" t="s">
        <v>146</v>
      </c>
      <c r="B34" s="13"/>
      <c r="C34" s="13"/>
      <c r="D34" s="13"/>
      <c r="E34" s="13"/>
      <c r="F34" s="239">
        <f>ROUND(+$H$47*0.083333*F21*$H$49,2)</f>
        <v>1.66</v>
      </c>
      <c r="G34" s="239">
        <f>ROUND(+$H$47*0.083333*G21*$H$49,2)</f>
        <v>1.63</v>
      </c>
      <c r="H34" s="239">
        <f>ROUND(+$H$47*0.083333*H21*$H$49,2)</f>
        <v>1.39</v>
      </c>
      <c r="I34" s="19"/>
    </row>
    <row r="35" spans="1:9" x14ac:dyDescent="0.25">
      <c r="A35" s="13" t="s">
        <v>147</v>
      </c>
      <c r="B35" s="13"/>
      <c r="C35" s="13"/>
      <c r="D35" s="13"/>
      <c r="E35" s="13"/>
      <c r="F35" s="239">
        <f>ROUND(+F30*$H$47,2)</f>
        <v>1.81</v>
      </c>
      <c r="G35" s="239">
        <f>ROUND(+G30*$H$47,2)</f>
        <v>1.81</v>
      </c>
      <c r="H35" s="239">
        <f>ROUND(+H30*$H$47,2)</f>
        <v>1.81</v>
      </c>
      <c r="I35" s="19"/>
    </row>
    <row r="36" spans="1:9" x14ac:dyDescent="0.25">
      <c r="A36" s="13" t="s">
        <v>148</v>
      </c>
      <c r="B36" s="13"/>
      <c r="C36" s="13"/>
      <c r="D36" s="13"/>
      <c r="E36" s="13"/>
      <c r="F36" s="232">
        <f>ROUND(+$H$51*F11,2)</f>
        <v>4.38</v>
      </c>
      <c r="G36" s="232">
        <f>ROUND(+$H$51*G11,2)</f>
        <v>4.38</v>
      </c>
      <c r="H36" s="232">
        <f>ROUND(+$H$51*H11,2)</f>
        <v>4.38</v>
      </c>
      <c r="I36" s="20"/>
    </row>
    <row r="37" spans="1:9" x14ac:dyDescent="0.25">
      <c r="A37" s="12" t="s">
        <v>149</v>
      </c>
      <c r="B37" s="13"/>
      <c r="C37" s="13"/>
      <c r="D37" s="13"/>
      <c r="E37" s="13"/>
      <c r="F37" s="22">
        <f>SUM(F33:F36)</f>
        <v>13.66</v>
      </c>
      <c r="G37" s="22">
        <f>SUM(G33:G36)</f>
        <v>13.510000000000002</v>
      </c>
      <c r="H37" s="22">
        <f>SUM(H33:H36)</f>
        <v>12.45</v>
      </c>
      <c r="I37" s="22"/>
    </row>
    <row r="38" spans="1:9" x14ac:dyDescent="0.25">
      <c r="A38" s="13"/>
      <c r="B38" s="13"/>
      <c r="C38" s="13"/>
      <c r="D38" s="13"/>
      <c r="E38" s="13"/>
      <c r="F38" s="19"/>
      <c r="G38" s="19"/>
      <c r="H38" s="19"/>
      <c r="I38" s="19"/>
    </row>
    <row r="39" spans="1:9" x14ac:dyDescent="0.25">
      <c r="A39" s="12" t="s">
        <v>150</v>
      </c>
      <c r="B39" s="13"/>
      <c r="C39" s="13"/>
      <c r="D39" s="13"/>
      <c r="E39" s="13"/>
      <c r="F39" s="19"/>
      <c r="G39" s="19"/>
      <c r="H39" s="19"/>
      <c r="I39" s="19"/>
    </row>
    <row r="40" spans="1:9" x14ac:dyDescent="0.25">
      <c r="A40" s="13" t="s">
        <v>145</v>
      </c>
      <c r="B40" s="13"/>
      <c r="C40" s="13"/>
      <c r="D40" s="13"/>
      <c r="E40" s="13"/>
      <c r="F40" s="19">
        <f>+F33</f>
        <v>5.81</v>
      </c>
      <c r="G40" s="19">
        <f>+G33</f>
        <v>5.69</v>
      </c>
      <c r="H40" s="19">
        <f>+H33</f>
        <v>4.87</v>
      </c>
      <c r="I40" s="19"/>
    </row>
    <row r="41" spans="1:9" x14ac:dyDescent="0.25">
      <c r="A41" s="13" t="s">
        <v>151</v>
      </c>
      <c r="B41" s="13"/>
      <c r="C41" s="13"/>
      <c r="D41" s="13"/>
      <c r="E41" s="13"/>
      <c r="F41" s="239">
        <f>ROUND(+$H$47*0.083333*F21*$H$50,2)</f>
        <v>1.51</v>
      </c>
      <c r="G41" s="239">
        <f>ROUND(+$H$47*0.083333*G21*$H$50,2)</f>
        <v>1.48</v>
      </c>
      <c r="H41" s="239">
        <f>ROUND(+$H$47*0.083333*H21*$H$50,2)</f>
        <v>1.27</v>
      </c>
      <c r="I41" s="19"/>
    </row>
    <row r="42" spans="1:9" x14ac:dyDescent="0.25">
      <c r="A42" s="13" t="s">
        <v>147</v>
      </c>
      <c r="B42" s="13"/>
      <c r="C42" s="13"/>
      <c r="D42" s="13"/>
      <c r="E42" s="13"/>
      <c r="F42" s="239">
        <f>ROUND(+F30*$H$47,2)</f>
        <v>1.81</v>
      </c>
      <c r="G42" s="239">
        <f>ROUND(+G30*$H$47,2)</f>
        <v>1.81</v>
      </c>
      <c r="H42" s="239">
        <f>ROUND(+H30*$H$47,2)</f>
        <v>1.81</v>
      </c>
      <c r="I42" s="19"/>
    </row>
    <row r="43" spans="1:9" x14ac:dyDescent="0.25">
      <c r="A43" s="13" t="s">
        <v>148</v>
      </c>
      <c r="B43" s="13"/>
      <c r="C43" s="13"/>
      <c r="D43" s="13"/>
      <c r="E43" s="13"/>
      <c r="F43" s="232">
        <f>ROUND(+$I$51*F11,2)</f>
        <v>4.42</v>
      </c>
      <c r="G43" s="232">
        <f>ROUND(+$I$51*G11,2)</f>
        <v>4.42</v>
      </c>
      <c r="H43" s="232">
        <f>ROUND(+$I$51*H11,2)</f>
        <v>4.42</v>
      </c>
      <c r="I43" s="20"/>
    </row>
    <row r="44" spans="1:9" x14ac:dyDescent="0.25">
      <c r="A44" s="12" t="s">
        <v>149</v>
      </c>
      <c r="B44" s="13"/>
      <c r="C44" s="13"/>
      <c r="D44" s="13"/>
      <c r="E44" s="13"/>
      <c r="F44" s="22">
        <f>SUM(F40:F43)</f>
        <v>13.549999999999999</v>
      </c>
      <c r="G44" s="22">
        <f>SUM(G40:G43)</f>
        <v>13.4</v>
      </c>
      <c r="H44" s="22">
        <f>SUM(H40:H43)</f>
        <v>12.370000000000001</v>
      </c>
      <c r="I44" s="22"/>
    </row>
    <row r="46" spans="1:9" x14ac:dyDescent="0.25">
      <c r="A46" s="64" t="s">
        <v>466</v>
      </c>
      <c r="B46" s="64"/>
      <c r="C46" s="64"/>
      <c r="D46" s="64"/>
      <c r="E46" s="64"/>
      <c r="F46" s="9" t="s">
        <v>152</v>
      </c>
      <c r="G46" s="8"/>
      <c r="H46" s="23">
        <f>+'Data Entry'!C9</f>
        <v>0.15265000000000001</v>
      </c>
    </row>
    <row r="47" spans="1:9" x14ac:dyDescent="0.25">
      <c r="A47" s="64" t="s">
        <v>153</v>
      </c>
      <c r="B47" s="64"/>
      <c r="C47" s="64"/>
      <c r="D47" s="64"/>
      <c r="E47" s="64"/>
      <c r="F47" s="10" t="s">
        <v>3</v>
      </c>
      <c r="G47" s="7"/>
      <c r="H47" s="24">
        <f>+'Data Entry'!C10</f>
        <v>1.0007205187735171</v>
      </c>
    </row>
    <row r="48" spans="1:9" x14ac:dyDescent="0.25">
      <c r="A48" s="64" t="s">
        <v>154</v>
      </c>
      <c r="B48" s="64"/>
      <c r="C48" s="64"/>
      <c r="D48" s="64"/>
      <c r="E48" s="64"/>
      <c r="F48" s="11" t="s">
        <v>4</v>
      </c>
      <c r="H48" s="25"/>
    </row>
    <row r="49" spans="1:9" x14ac:dyDescent="0.25">
      <c r="A49" s="64" t="s">
        <v>155</v>
      </c>
      <c r="B49" s="64"/>
      <c r="C49" s="64"/>
      <c r="D49" s="64"/>
      <c r="E49" s="64"/>
      <c r="F49" s="11" t="s">
        <v>5</v>
      </c>
      <c r="H49" s="26">
        <f>+'Data Entry'!C12</f>
        <v>4.36E-2</v>
      </c>
    </row>
    <row r="50" spans="1:9" x14ac:dyDescent="0.25">
      <c r="A50" s="64" t="s">
        <v>156</v>
      </c>
      <c r="B50" s="64"/>
      <c r="C50" s="64"/>
      <c r="D50" s="64"/>
      <c r="E50" s="64"/>
      <c r="F50" s="10" t="s">
        <v>6</v>
      </c>
      <c r="G50" s="7"/>
      <c r="H50" s="27">
        <f>+'Data Entry'!C13</f>
        <v>3.9780000000000003E-2</v>
      </c>
      <c r="I50" s="236" t="s">
        <v>504</v>
      </c>
    </row>
    <row r="51" spans="1:9" x14ac:dyDescent="0.25">
      <c r="A51" s="64" t="s">
        <v>157</v>
      </c>
      <c r="B51" s="64"/>
      <c r="C51" s="64"/>
      <c r="D51" s="64"/>
      <c r="E51" s="64"/>
      <c r="F51" s="10" t="s">
        <v>7</v>
      </c>
      <c r="G51" s="7"/>
      <c r="H51" s="237">
        <f>+'Data Entry'!C14</f>
        <v>2.6519999999999998E-2</v>
      </c>
      <c r="I51" s="238">
        <f>+'Data Entry'!D14</f>
        <v>2.6759999999999999E-2</v>
      </c>
    </row>
    <row r="52" spans="1:9" x14ac:dyDescent="0.25">
      <c r="A52" s="64" t="s">
        <v>158</v>
      </c>
      <c r="B52" s="64"/>
      <c r="C52" s="64"/>
      <c r="D52" s="64"/>
      <c r="E52" s="64"/>
      <c r="F52" s="10" t="s">
        <v>8</v>
      </c>
      <c r="G52" s="7"/>
      <c r="H52" s="27">
        <f>+'Data Entry'!C15</f>
        <v>0.25419999999999998</v>
      </c>
    </row>
    <row r="53" spans="1:9" x14ac:dyDescent="0.25">
      <c r="A53" s="64" t="s">
        <v>159</v>
      </c>
      <c r="B53" s="64"/>
      <c r="C53" s="64"/>
      <c r="D53" s="64"/>
      <c r="E53" s="64"/>
      <c r="F53" s="10" t="s">
        <v>9</v>
      </c>
      <c r="G53" s="7"/>
      <c r="H53" s="27">
        <f>+'Data Entry'!C16</f>
        <v>5.9400000000000001E-2</v>
      </c>
    </row>
    <row r="54" spans="1:9" x14ac:dyDescent="0.25">
      <c r="A54" s="64" t="s">
        <v>160</v>
      </c>
      <c r="B54" s="64"/>
      <c r="C54" s="64"/>
      <c r="D54" s="64"/>
      <c r="E54" s="64"/>
      <c r="F54" s="10" t="s">
        <v>161</v>
      </c>
      <c r="G54" s="7"/>
      <c r="H54" s="29">
        <f>+'Data Entry'!C17</f>
        <v>97</v>
      </c>
    </row>
    <row r="55" spans="1:9" x14ac:dyDescent="0.25">
      <c r="A55" s="64" t="s">
        <v>162</v>
      </c>
      <c r="B55" s="64"/>
      <c r="C55" s="64"/>
      <c r="D55" s="64"/>
      <c r="E55" s="64"/>
      <c r="F55" s="10" t="s">
        <v>12</v>
      </c>
      <c r="G55" s="7"/>
      <c r="H55" s="29">
        <f>+'Data Entry'!C18</f>
        <v>97</v>
      </c>
    </row>
    <row r="56" spans="1:9" x14ac:dyDescent="0.25">
      <c r="A56" s="64" t="s">
        <v>163</v>
      </c>
      <c r="B56" s="64"/>
      <c r="C56" s="64"/>
      <c r="D56" s="64"/>
      <c r="E56" s="64"/>
      <c r="F56" s="10" t="s">
        <v>14</v>
      </c>
      <c r="G56" s="7"/>
      <c r="H56" s="27">
        <f>+'Data Entry'!C19</f>
        <v>5.4000000000000003E-3</v>
      </c>
    </row>
    <row r="57" spans="1:9" x14ac:dyDescent="0.25">
      <c r="A57" s="64" t="s">
        <v>164</v>
      </c>
      <c r="B57" s="64"/>
      <c r="C57" s="64"/>
      <c r="D57" s="64"/>
      <c r="E57" s="64"/>
      <c r="F57" s="10" t="s">
        <v>17</v>
      </c>
      <c r="G57" s="7"/>
      <c r="H57" s="27">
        <f>+'Data Entry'!C20</f>
        <v>3.09E-2</v>
      </c>
    </row>
    <row r="58" spans="1:9" x14ac:dyDescent="0.25">
      <c r="F58" s="69" t="s">
        <v>165</v>
      </c>
      <c r="G58" s="7"/>
      <c r="H58" s="29">
        <f>+'Data Entry'!D101</f>
        <v>5.3</v>
      </c>
    </row>
    <row r="59" spans="1:9" x14ac:dyDescent="0.25">
      <c r="F59" s="69" t="s">
        <v>166</v>
      </c>
      <c r="G59" s="7"/>
      <c r="H59" s="29">
        <f>+'Data Entry'!E20</f>
        <v>4.8000000000000001E-2</v>
      </c>
    </row>
    <row r="60" spans="1:9" x14ac:dyDescent="0.25">
      <c r="F60" s="319" t="s">
        <v>568</v>
      </c>
      <c r="G60" s="7"/>
      <c r="H60" s="29">
        <f>+'Data Entry'!D113</f>
        <v>3.77</v>
      </c>
    </row>
    <row r="61" spans="1:9" x14ac:dyDescent="0.25">
      <c r="F61" s="69" t="s">
        <v>167</v>
      </c>
      <c r="G61" s="7"/>
      <c r="H61" s="27">
        <f>+'Data Entry'!C21</f>
        <v>0.06</v>
      </c>
    </row>
  </sheetData>
  <phoneticPr fontId="28" type="noConversion"/>
  <pageMargins left="0.75" right="0.25" top="0.25" bottom="0.25" header="0.5" footer="0.22"/>
  <pageSetup orientation="portrait" horizontalDpi="300" verticalDpi="300" r:id="rId1"/>
  <headerFooter alignWithMargins="0">
    <oddFooter>&amp;R&amp;A</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1"/>
  <sheetViews>
    <sheetView workbookViewId="0">
      <selection activeCell="A2" sqref="A2"/>
    </sheetView>
  </sheetViews>
  <sheetFormatPr defaultRowHeight="13.2" x14ac:dyDescent="0.25"/>
  <cols>
    <col min="6" max="8" width="15.6640625" customWidth="1"/>
  </cols>
  <sheetData>
    <row r="1" spans="1:8" x14ac:dyDescent="0.25">
      <c r="A1" s="773" t="s">
        <v>946</v>
      </c>
    </row>
    <row r="2" spans="1:8" x14ac:dyDescent="0.25">
      <c r="A2" s="773" t="s">
        <v>923</v>
      </c>
    </row>
    <row r="4" spans="1:8" ht="17.399999999999999" x14ac:dyDescent="0.3">
      <c r="A4" s="2" t="str">
        <f>'70wOH5'!A4</f>
        <v>2016 Cost of Service</v>
      </c>
    </row>
    <row r="5" spans="1:8" x14ac:dyDescent="0.25">
      <c r="A5" s="4"/>
      <c r="B5" s="4"/>
      <c r="C5" s="4"/>
      <c r="D5" s="4"/>
      <c r="E5" s="4"/>
      <c r="F5" s="14" t="s">
        <v>183</v>
      </c>
      <c r="G5" s="14"/>
      <c r="H5" s="30"/>
    </row>
    <row r="6" spans="1:8" x14ac:dyDescent="0.25">
      <c r="A6" s="12" t="s">
        <v>125</v>
      </c>
      <c r="B6" s="12"/>
      <c r="C6" s="12"/>
      <c r="D6" s="12"/>
      <c r="E6" s="12"/>
      <c r="F6" s="14" t="s">
        <v>126</v>
      </c>
      <c r="G6" s="14"/>
      <c r="H6" s="30"/>
    </row>
    <row r="7" spans="1:8" x14ac:dyDescent="0.25">
      <c r="A7" s="12" t="s">
        <v>433</v>
      </c>
      <c r="B7" s="12"/>
      <c r="C7" s="12"/>
      <c r="D7" s="12"/>
      <c r="E7" s="12"/>
      <c r="F7" s="14" t="s">
        <v>127</v>
      </c>
      <c r="G7" s="14"/>
      <c r="H7" s="30"/>
    </row>
    <row r="8" spans="1:8" x14ac:dyDescent="0.25">
      <c r="A8" s="12"/>
      <c r="B8" s="12"/>
      <c r="C8" s="12"/>
      <c r="D8" s="12"/>
      <c r="E8" s="12"/>
      <c r="F8" s="15" t="s">
        <v>130</v>
      </c>
      <c r="G8" s="15"/>
      <c r="H8" s="30"/>
    </row>
    <row r="9" spans="1:8" x14ac:dyDescent="0.25">
      <c r="A9" s="12" t="s">
        <v>131</v>
      </c>
      <c r="B9" s="13"/>
      <c r="C9" s="13"/>
      <c r="D9" s="13"/>
      <c r="E9" s="13"/>
      <c r="F9" s="6"/>
      <c r="G9" s="6"/>
      <c r="H9" s="6"/>
    </row>
    <row r="10" spans="1:8" x14ac:dyDescent="0.25">
      <c r="A10" s="13" t="s">
        <v>464</v>
      </c>
      <c r="B10" s="13"/>
      <c r="C10" s="13"/>
      <c r="D10" s="13"/>
      <c r="E10" s="13"/>
      <c r="F10" s="16">
        <v>1105</v>
      </c>
      <c r="G10" s="16"/>
      <c r="H10" s="16"/>
    </row>
    <row r="11" spans="1:8" x14ac:dyDescent="0.25">
      <c r="A11" s="13" t="s">
        <v>133</v>
      </c>
      <c r="B11" s="13"/>
      <c r="C11" s="13"/>
      <c r="D11" s="13"/>
      <c r="E11" s="13"/>
      <c r="F11" s="17">
        <f>TRUNC(+F10*(1/12)*4.24)</f>
        <v>390</v>
      </c>
      <c r="G11" s="17"/>
      <c r="H11" s="17"/>
    </row>
    <row r="12" spans="1:8" x14ac:dyDescent="0.25">
      <c r="A12" s="13" t="s">
        <v>134</v>
      </c>
      <c r="B12" s="13"/>
      <c r="C12" s="13"/>
      <c r="D12" s="13"/>
      <c r="E12" s="13"/>
      <c r="F12" s="16">
        <v>60</v>
      </c>
      <c r="G12" s="16"/>
      <c r="H12" s="16"/>
    </row>
    <row r="13" spans="1:8" x14ac:dyDescent="0.25">
      <c r="A13" s="13"/>
      <c r="B13" s="13"/>
      <c r="C13" s="13"/>
      <c r="D13" s="13"/>
      <c r="E13" s="13"/>
      <c r="F13" s="18"/>
      <c r="G13" s="18"/>
      <c r="H13" s="18"/>
    </row>
    <row r="14" spans="1:8" x14ac:dyDescent="0.25">
      <c r="A14" s="12" t="s">
        <v>135</v>
      </c>
      <c r="B14" s="13"/>
      <c r="C14" s="13"/>
      <c r="D14" s="13"/>
      <c r="E14" s="13"/>
      <c r="F14" s="18"/>
      <c r="G14" s="18"/>
      <c r="H14" s="18"/>
    </row>
    <row r="15" spans="1:8" x14ac:dyDescent="0.25">
      <c r="A15" s="13" t="s">
        <v>136</v>
      </c>
      <c r="B15" s="13"/>
      <c r="C15" s="13"/>
      <c r="D15" s="13"/>
      <c r="E15" s="13"/>
      <c r="F15" s="19">
        <f>+'49'!G30</f>
        <v>598.5167621600001</v>
      </c>
      <c r="G15" s="19"/>
      <c r="H15" s="19"/>
    </row>
    <row r="16" spans="1:8" x14ac:dyDescent="0.25">
      <c r="A16" s="13" t="s">
        <v>428</v>
      </c>
      <c r="B16" s="13"/>
      <c r="C16" s="13"/>
      <c r="D16" s="13"/>
      <c r="E16" s="13"/>
      <c r="F16" s="19">
        <f>+F15*$H$56/2</f>
        <v>1.6159952578320003</v>
      </c>
      <c r="G16" s="19"/>
      <c r="H16" s="19"/>
    </row>
    <row r="17" spans="1:8" x14ac:dyDescent="0.25">
      <c r="A17" s="13" t="s">
        <v>137</v>
      </c>
      <c r="B17" s="13"/>
      <c r="C17" s="13"/>
      <c r="D17" s="13"/>
      <c r="E17" s="13"/>
      <c r="F17" s="19">
        <f>+'67'!H20</f>
        <v>100.88000000000002</v>
      </c>
      <c r="G17" s="19"/>
      <c r="H17" s="19"/>
    </row>
    <row r="18" spans="1:8" x14ac:dyDescent="0.25">
      <c r="A18" s="13" t="s">
        <v>427</v>
      </c>
      <c r="B18" s="13"/>
      <c r="C18" s="13"/>
      <c r="D18" s="13"/>
      <c r="E18" s="13"/>
      <c r="F18" s="232">
        <f>+F17*$H$57/2</f>
        <v>1.5585960000000003</v>
      </c>
      <c r="G18" s="20"/>
      <c r="H18" s="19"/>
    </row>
    <row r="19" spans="1:8" x14ac:dyDescent="0.25">
      <c r="A19" s="13"/>
      <c r="B19" s="13"/>
      <c r="C19" s="13"/>
      <c r="D19" s="13"/>
      <c r="E19" s="13"/>
      <c r="F19" s="19">
        <f>SUM(F15:F18)</f>
        <v>702.57135341783203</v>
      </c>
      <c r="G19" s="19"/>
      <c r="H19" s="19"/>
    </row>
    <row r="20" spans="1:8" x14ac:dyDescent="0.25">
      <c r="A20" s="13" t="s">
        <v>424</v>
      </c>
      <c r="B20" s="13"/>
      <c r="C20" s="13"/>
      <c r="D20" s="13"/>
      <c r="E20" s="13"/>
      <c r="F20" s="20">
        <f>+F19*$H$52</f>
        <v>178.59363803881288</v>
      </c>
      <c r="G20" s="20"/>
      <c r="H20" s="19"/>
    </row>
    <row r="21" spans="1:8" x14ac:dyDescent="0.25">
      <c r="A21" s="12" t="s">
        <v>138</v>
      </c>
      <c r="B21" s="13"/>
      <c r="C21" s="13"/>
      <c r="D21" s="13"/>
      <c r="E21" s="13"/>
      <c r="F21" s="21">
        <f>SUM(F19:F20)</f>
        <v>881.16499145664488</v>
      </c>
      <c r="G21" s="21"/>
      <c r="H21" s="21"/>
    </row>
    <row r="22" spans="1:8" x14ac:dyDescent="0.25">
      <c r="A22" s="13"/>
      <c r="B22" s="13"/>
      <c r="C22" s="13"/>
      <c r="D22" s="13"/>
      <c r="E22" s="13"/>
      <c r="F22" s="19"/>
      <c r="G22" s="19"/>
      <c r="H22" s="19"/>
    </row>
    <row r="23" spans="1:8" x14ac:dyDescent="0.25">
      <c r="A23" s="12" t="s">
        <v>139</v>
      </c>
      <c r="B23" s="13"/>
      <c r="C23" s="13"/>
      <c r="D23" s="13"/>
      <c r="E23" s="13"/>
      <c r="F23" s="19"/>
      <c r="G23" s="19"/>
      <c r="H23" s="19"/>
    </row>
    <row r="24" spans="1:8" x14ac:dyDescent="0.25">
      <c r="A24" s="13" t="s">
        <v>140</v>
      </c>
      <c r="B24" s="13"/>
      <c r="C24" s="13"/>
      <c r="D24" s="13"/>
      <c r="E24" s="13"/>
      <c r="F24" s="19">
        <f>+H58*(1+$H$61)*(1+$H$53)+H59</f>
        <v>34.26471308</v>
      </c>
      <c r="G24" s="19"/>
      <c r="H24" s="19"/>
    </row>
    <row r="25" spans="1:8" x14ac:dyDescent="0.25">
      <c r="A25" s="277" t="s">
        <v>570</v>
      </c>
      <c r="B25" s="13"/>
      <c r="C25" s="13"/>
      <c r="D25" s="13"/>
      <c r="E25" s="13"/>
      <c r="F25" s="19">
        <f>+$H$60*(1+$H$61)*(1+$H$53)</f>
        <v>4.23357428</v>
      </c>
      <c r="G25" s="19"/>
      <c r="H25" s="19"/>
    </row>
    <row r="26" spans="1:8" x14ac:dyDescent="0.25">
      <c r="A26" s="13" t="s">
        <v>429</v>
      </c>
      <c r="B26" s="13"/>
      <c r="C26" s="13"/>
      <c r="D26" s="13"/>
      <c r="E26" s="13"/>
      <c r="F26" s="19">
        <f>+F24*$H$56/2</f>
        <v>9.251472531600001E-2</v>
      </c>
      <c r="G26" s="19"/>
      <c r="H26" s="19"/>
    </row>
    <row r="27" spans="1:8" x14ac:dyDescent="0.25">
      <c r="A27" s="13" t="s">
        <v>141</v>
      </c>
      <c r="B27" s="13"/>
      <c r="C27" s="13"/>
      <c r="D27" s="13"/>
      <c r="E27" s="13"/>
      <c r="F27" s="19">
        <f>+$H$55</f>
        <v>97</v>
      </c>
      <c r="G27" s="19"/>
      <c r="H27" s="19"/>
    </row>
    <row r="28" spans="1:8" x14ac:dyDescent="0.25">
      <c r="A28" s="13" t="s">
        <v>430</v>
      </c>
      <c r="B28" s="13"/>
      <c r="C28" s="13"/>
      <c r="D28" s="13"/>
      <c r="E28" s="13"/>
      <c r="F28" s="20">
        <f>+F27*$H$57/2</f>
        <v>1.49865</v>
      </c>
      <c r="G28" s="20"/>
      <c r="H28" s="19"/>
    </row>
    <row r="29" spans="1:8" x14ac:dyDescent="0.25">
      <c r="A29" s="12" t="s">
        <v>467</v>
      </c>
      <c r="B29" s="13"/>
      <c r="C29" s="13"/>
      <c r="D29" s="13"/>
      <c r="E29" s="13"/>
      <c r="F29" s="22">
        <f>SUM(F24:F28)</f>
        <v>137.089452085316</v>
      </c>
      <c r="G29" s="22"/>
      <c r="H29" s="22"/>
    </row>
    <row r="30" spans="1:8" x14ac:dyDescent="0.25">
      <c r="A30" s="12" t="s">
        <v>143</v>
      </c>
      <c r="B30" s="13"/>
      <c r="C30" s="13"/>
      <c r="D30" s="13"/>
      <c r="E30" s="13"/>
      <c r="F30" s="22">
        <f>+F29/F12</f>
        <v>2.2848242014219333</v>
      </c>
      <c r="G30" s="22"/>
      <c r="H30" s="22"/>
    </row>
    <row r="31" spans="1:8" x14ac:dyDescent="0.25">
      <c r="A31" s="13"/>
      <c r="B31" s="13"/>
      <c r="C31" s="13"/>
      <c r="D31" s="13"/>
      <c r="E31" s="13"/>
      <c r="F31" s="19"/>
      <c r="G31" s="19"/>
      <c r="H31" s="19"/>
    </row>
    <row r="32" spans="1:8" x14ac:dyDescent="0.25">
      <c r="A32" s="12" t="s">
        <v>144</v>
      </c>
      <c r="B32" s="13"/>
      <c r="C32" s="13"/>
      <c r="D32" s="13"/>
      <c r="E32" s="13"/>
      <c r="F32" s="19"/>
      <c r="G32" s="19"/>
      <c r="H32" s="19"/>
    </row>
    <row r="33" spans="1:8" x14ac:dyDescent="0.25">
      <c r="A33" s="13" t="s">
        <v>145</v>
      </c>
      <c r="B33" s="13"/>
      <c r="C33" s="13"/>
      <c r="D33" s="13"/>
      <c r="E33" s="13"/>
      <c r="F33" s="239">
        <f>ROUND(+$H$46*0.083333*F21*$H$47,2)</f>
        <v>11.22</v>
      </c>
      <c r="G33" s="19"/>
      <c r="H33" s="19"/>
    </row>
    <row r="34" spans="1:8" x14ac:dyDescent="0.25">
      <c r="A34" s="13" t="s">
        <v>146</v>
      </c>
      <c r="B34" s="13"/>
      <c r="C34" s="13"/>
      <c r="D34" s="13"/>
      <c r="E34" s="13"/>
      <c r="F34" s="239">
        <f>ROUND(+$H$47*0.083333*F21*$H$49,2)</f>
        <v>3.2</v>
      </c>
      <c r="G34" s="19"/>
      <c r="H34" s="19"/>
    </row>
    <row r="35" spans="1:8" x14ac:dyDescent="0.25">
      <c r="A35" s="13" t="s">
        <v>147</v>
      </c>
      <c r="B35" s="13"/>
      <c r="C35" s="13"/>
      <c r="D35" s="13"/>
      <c r="E35" s="13"/>
      <c r="F35" s="239">
        <f>ROUND(+F30*$H$47,2)</f>
        <v>2.29</v>
      </c>
      <c r="G35" s="19"/>
      <c r="H35" s="19"/>
    </row>
    <row r="36" spans="1:8" x14ac:dyDescent="0.25">
      <c r="A36" s="13" t="s">
        <v>148</v>
      </c>
      <c r="B36" s="13"/>
      <c r="C36" s="13"/>
      <c r="D36" s="13"/>
      <c r="E36" s="13"/>
      <c r="F36" s="232">
        <f>ROUND(+$H$51*F11,2)</f>
        <v>10.34</v>
      </c>
      <c r="G36" s="20"/>
      <c r="H36" s="19"/>
    </row>
    <row r="37" spans="1:8" x14ac:dyDescent="0.25">
      <c r="A37" s="12" t="s">
        <v>149</v>
      </c>
      <c r="B37" s="13"/>
      <c r="C37" s="13"/>
      <c r="D37" s="13"/>
      <c r="E37" s="13"/>
      <c r="F37" s="22">
        <f>SUM(F33:F36)</f>
        <v>27.05</v>
      </c>
      <c r="G37" s="22"/>
      <c r="H37" s="22"/>
    </row>
    <row r="38" spans="1:8" x14ac:dyDescent="0.25">
      <c r="A38" s="13"/>
      <c r="B38" s="13"/>
      <c r="C38" s="13"/>
      <c r="D38" s="13"/>
      <c r="E38" s="13"/>
      <c r="F38" s="19"/>
      <c r="G38" s="19"/>
      <c r="H38" s="19"/>
    </row>
    <row r="39" spans="1:8" x14ac:dyDescent="0.25">
      <c r="A39" s="12" t="s">
        <v>150</v>
      </c>
      <c r="B39" s="13"/>
      <c r="C39" s="13"/>
      <c r="D39" s="13"/>
      <c r="E39" s="13"/>
      <c r="F39" s="19"/>
      <c r="G39" s="19"/>
      <c r="H39" s="19"/>
    </row>
    <row r="40" spans="1:8" x14ac:dyDescent="0.25">
      <c r="A40" s="13" t="s">
        <v>145</v>
      </c>
      <c r="B40" s="13"/>
      <c r="C40" s="13"/>
      <c r="D40" s="13"/>
      <c r="E40" s="13"/>
      <c r="F40" s="19">
        <f>+F33</f>
        <v>11.22</v>
      </c>
      <c r="G40" s="19"/>
      <c r="H40" s="19"/>
    </row>
    <row r="41" spans="1:8" x14ac:dyDescent="0.25">
      <c r="A41" s="13" t="s">
        <v>151</v>
      </c>
      <c r="B41" s="13"/>
      <c r="C41" s="13"/>
      <c r="D41" s="13"/>
      <c r="E41" s="13"/>
      <c r="F41" s="239">
        <f>ROUND(+$H$47*0.083333*F21*$H$50,2)</f>
        <v>2.92</v>
      </c>
      <c r="G41" s="19"/>
      <c r="H41" s="19"/>
    </row>
    <row r="42" spans="1:8" x14ac:dyDescent="0.25">
      <c r="A42" s="13" t="s">
        <v>147</v>
      </c>
      <c r="B42" s="13"/>
      <c r="C42" s="13"/>
      <c r="D42" s="13"/>
      <c r="E42" s="13"/>
      <c r="F42" s="239">
        <f>ROUND(+F30*$H$47,2)</f>
        <v>2.29</v>
      </c>
      <c r="G42" s="19"/>
      <c r="H42" s="19"/>
    </row>
    <row r="43" spans="1:8" x14ac:dyDescent="0.25">
      <c r="A43" s="13" t="s">
        <v>148</v>
      </c>
      <c r="B43" s="13"/>
      <c r="C43" s="13"/>
      <c r="D43" s="13"/>
      <c r="E43" s="13"/>
      <c r="F43" s="232">
        <f>ROUND(+$I$51*F11,2)</f>
        <v>10.44</v>
      </c>
      <c r="G43" s="20"/>
      <c r="H43" s="19"/>
    </row>
    <row r="44" spans="1:8" x14ac:dyDescent="0.25">
      <c r="A44" s="12" t="s">
        <v>149</v>
      </c>
      <c r="B44" s="13"/>
      <c r="C44" s="13"/>
      <c r="D44" s="13"/>
      <c r="E44" s="13"/>
      <c r="F44" s="22">
        <f>SUM(F40:F43)</f>
        <v>26.869999999999997</v>
      </c>
      <c r="G44" s="22"/>
      <c r="H44" s="22"/>
    </row>
    <row r="46" spans="1:8" x14ac:dyDescent="0.25">
      <c r="A46" s="64" t="s">
        <v>466</v>
      </c>
      <c r="B46" s="64"/>
      <c r="C46" s="64"/>
      <c r="D46" s="64"/>
      <c r="E46" s="64"/>
      <c r="F46" s="9" t="s">
        <v>152</v>
      </c>
      <c r="G46" s="8"/>
      <c r="H46" s="23">
        <f>+'Data Entry'!C9</f>
        <v>0.15265000000000001</v>
      </c>
    </row>
    <row r="47" spans="1:8" x14ac:dyDescent="0.25">
      <c r="A47" s="64" t="s">
        <v>153</v>
      </c>
      <c r="B47" s="64"/>
      <c r="C47" s="64"/>
      <c r="D47" s="64"/>
      <c r="E47" s="64"/>
      <c r="F47" s="10" t="s">
        <v>3</v>
      </c>
      <c r="G47" s="7"/>
      <c r="H47" s="24">
        <f>+'Data Entry'!C10</f>
        <v>1.0007205187735171</v>
      </c>
    </row>
    <row r="48" spans="1:8" x14ac:dyDescent="0.25">
      <c r="A48" s="64" t="s">
        <v>154</v>
      </c>
      <c r="B48" s="64"/>
      <c r="C48" s="64"/>
      <c r="D48" s="64"/>
      <c r="E48" s="64"/>
      <c r="F48" s="11" t="s">
        <v>4</v>
      </c>
      <c r="H48" s="25"/>
    </row>
    <row r="49" spans="1:9" x14ac:dyDescent="0.25">
      <c r="A49" s="64" t="s">
        <v>155</v>
      </c>
      <c r="B49" s="64"/>
      <c r="C49" s="64"/>
      <c r="D49" s="64"/>
      <c r="E49" s="64"/>
      <c r="F49" s="11" t="s">
        <v>5</v>
      </c>
      <c r="H49" s="26">
        <f>+'Data Entry'!C12</f>
        <v>4.36E-2</v>
      </c>
    </row>
    <row r="50" spans="1:9" x14ac:dyDescent="0.25">
      <c r="A50" s="64" t="s">
        <v>156</v>
      </c>
      <c r="B50" s="64"/>
      <c r="C50" s="64"/>
      <c r="D50" s="64"/>
      <c r="E50" s="64"/>
      <c r="F50" s="10" t="s">
        <v>6</v>
      </c>
      <c r="G50" s="7"/>
      <c r="H50" s="27">
        <f>+'Data Entry'!C13</f>
        <v>3.9780000000000003E-2</v>
      </c>
      <c r="I50" s="236" t="s">
        <v>504</v>
      </c>
    </row>
    <row r="51" spans="1:9" x14ac:dyDescent="0.25">
      <c r="A51" s="64" t="s">
        <v>157</v>
      </c>
      <c r="B51" s="64"/>
      <c r="C51" s="64"/>
      <c r="D51" s="64"/>
      <c r="E51" s="64"/>
      <c r="F51" s="10" t="s">
        <v>7</v>
      </c>
      <c r="G51" s="7"/>
      <c r="H51" s="237">
        <f>+'Data Entry'!C14</f>
        <v>2.6519999999999998E-2</v>
      </c>
      <c r="I51" s="238">
        <f>+'Data Entry'!D14</f>
        <v>2.6759999999999999E-2</v>
      </c>
    </row>
    <row r="52" spans="1:9" x14ac:dyDescent="0.25">
      <c r="A52" s="64" t="s">
        <v>158</v>
      </c>
      <c r="B52" s="64"/>
      <c r="C52" s="64"/>
      <c r="D52" s="64"/>
      <c r="E52" s="64"/>
      <c r="F52" s="10" t="s">
        <v>8</v>
      </c>
      <c r="G52" s="7"/>
      <c r="H52" s="27">
        <f>+'Data Entry'!C15</f>
        <v>0.25419999999999998</v>
      </c>
    </row>
    <row r="53" spans="1:9" x14ac:dyDescent="0.25">
      <c r="A53" s="64" t="s">
        <v>159</v>
      </c>
      <c r="B53" s="64"/>
      <c r="C53" s="64"/>
      <c r="D53" s="64"/>
      <c r="E53" s="64"/>
      <c r="F53" s="10" t="s">
        <v>9</v>
      </c>
      <c r="G53" s="7"/>
      <c r="H53" s="27">
        <f>+'Data Entry'!C16</f>
        <v>5.9400000000000001E-2</v>
      </c>
    </row>
    <row r="54" spans="1:9" x14ac:dyDescent="0.25">
      <c r="A54" s="64" t="s">
        <v>160</v>
      </c>
      <c r="B54" s="64"/>
      <c r="C54" s="64"/>
      <c r="D54" s="64"/>
      <c r="E54" s="64"/>
      <c r="F54" s="10" t="s">
        <v>161</v>
      </c>
      <c r="G54" s="7"/>
      <c r="H54" s="29">
        <f>+'Data Entry'!C17</f>
        <v>97</v>
      </c>
    </row>
    <row r="55" spans="1:9" x14ac:dyDescent="0.25">
      <c r="A55" s="64" t="s">
        <v>162</v>
      </c>
      <c r="B55" s="64"/>
      <c r="C55" s="64"/>
      <c r="D55" s="64"/>
      <c r="E55" s="64"/>
      <c r="F55" s="10" t="s">
        <v>12</v>
      </c>
      <c r="G55" s="7"/>
      <c r="H55" s="29">
        <f>+'Data Entry'!C18</f>
        <v>97</v>
      </c>
    </row>
    <row r="56" spans="1:9" x14ac:dyDescent="0.25">
      <c r="A56" s="64" t="s">
        <v>163</v>
      </c>
      <c r="B56" s="64"/>
      <c r="C56" s="64"/>
      <c r="D56" s="64"/>
      <c r="E56" s="64"/>
      <c r="F56" s="10" t="s">
        <v>14</v>
      </c>
      <c r="G56" s="7"/>
      <c r="H56" s="27">
        <f>+'Data Entry'!C19</f>
        <v>5.4000000000000003E-3</v>
      </c>
    </row>
    <row r="57" spans="1:9" x14ac:dyDescent="0.25">
      <c r="A57" s="64" t="s">
        <v>164</v>
      </c>
      <c r="B57" s="64"/>
      <c r="C57" s="64"/>
      <c r="D57" s="64"/>
      <c r="E57" s="64"/>
      <c r="F57" s="10" t="s">
        <v>17</v>
      </c>
      <c r="G57" s="7"/>
      <c r="H57" s="27">
        <f>+'Data Entry'!C20</f>
        <v>3.09E-2</v>
      </c>
    </row>
    <row r="58" spans="1:9" x14ac:dyDescent="0.25">
      <c r="F58" s="69" t="s">
        <v>165</v>
      </c>
      <c r="G58" s="7"/>
      <c r="H58" s="29">
        <f>+'Data Entry'!D102</f>
        <v>30.47</v>
      </c>
    </row>
    <row r="59" spans="1:9" x14ac:dyDescent="0.25">
      <c r="F59" s="69" t="s">
        <v>166</v>
      </c>
      <c r="G59" s="7"/>
      <c r="H59" s="29">
        <f>+'Data Entry'!E20</f>
        <v>4.8000000000000001E-2</v>
      </c>
    </row>
    <row r="60" spans="1:9" x14ac:dyDescent="0.25">
      <c r="F60" s="319" t="s">
        <v>568</v>
      </c>
      <c r="G60" s="7"/>
      <c r="H60" s="29">
        <f>+'Data Entry'!D113</f>
        <v>3.77</v>
      </c>
    </row>
    <row r="61" spans="1:9" x14ac:dyDescent="0.25">
      <c r="F61" s="69" t="s">
        <v>167</v>
      </c>
      <c r="G61" s="7"/>
      <c r="H61" s="27">
        <f>+'Data Entry'!C21</f>
        <v>0.06</v>
      </c>
    </row>
  </sheetData>
  <phoneticPr fontId="28" type="noConversion"/>
  <pageMargins left="0.75" right="0.25" top="0.25" bottom="0.25" header="0.5" footer="0.22"/>
  <pageSetup scale="95" orientation="portrait" horizontalDpi="300" verticalDpi="300" r:id="rId1"/>
  <headerFooter alignWithMargins="0">
    <oddFooter>&amp;R&amp;A</oddFooter>
  </headerFooter>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workbookViewId="0">
      <selection activeCell="A2" sqref="A1:A2"/>
    </sheetView>
  </sheetViews>
  <sheetFormatPr defaultRowHeight="13.2" x14ac:dyDescent="0.25"/>
  <cols>
    <col min="6" max="8" width="15.6640625" customWidth="1"/>
  </cols>
  <sheetData>
    <row r="1" spans="1:8" x14ac:dyDescent="0.25">
      <c r="A1" s="773" t="s">
        <v>945</v>
      </c>
    </row>
    <row r="2" spans="1:8" x14ac:dyDescent="0.25">
      <c r="A2" s="773" t="s">
        <v>923</v>
      </c>
    </row>
    <row r="4" spans="1:8" ht="17.399999999999999" x14ac:dyDescent="0.3">
      <c r="A4" s="2" t="str">
        <f>'70wOH5'!A4</f>
        <v>2016 Cost of Service</v>
      </c>
    </row>
    <row r="5" spans="1:8" x14ac:dyDescent="0.25">
      <c r="A5" s="4"/>
      <c r="B5" s="4"/>
      <c r="C5" s="4"/>
      <c r="D5" s="4"/>
      <c r="E5" s="4"/>
      <c r="F5" s="14" t="s">
        <v>184</v>
      </c>
      <c r="G5" s="14"/>
      <c r="H5" s="14"/>
    </row>
    <row r="6" spans="1:8" x14ac:dyDescent="0.25">
      <c r="A6" s="12" t="s">
        <v>125</v>
      </c>
      <c r="B6" s="12"/>
      <c r="C6" s="12"/>
      <c r="D6" s="12"/>
      <c r="E6" s="12"/>
      <c r="F6" s="14" t="s">
        <v>185</v>
      </c>
      <c r="G6" s="14"/>
      <c r="H6" s="14"/>
    </row>
    <row r="7" spans="1:8" x14ac:dyDescent="0.25">
      <c r="A7" s="12"/>
      <c r="B7" s="12"/>
      <c r="C7" s="12"/>
      <c r="D7" s="12"/>
      <c r="E7" s="12"/>
      <c r="F7" s="14" t="s">
        <v>174</v>
      </c>
      <c r="G7" s="14"/>
      <c r="H7" s="14"/>
    </row>
    <row r="8" spans="1:8" x14ac:dyDescent="0.25">
      <c r="A8" s="12"/>
      <c r="B8" s="12"/>
      <c r="C8" s="12"/>
      <c r="D8" s="12"/>
      <c r="E8" s="12"/>
      <c r="F8" s="15" t="s">
        <v>175</v>
      </c>
      <c r="G8" s="15"/>
      <c r="H8" s="15"/>
    </row>
    <row r="9" spans="1:8" x14ac:dyDescent="0.25">
      <c r="A9" s="12" t="s">
        <v>131</v>
      </c>
      <c r="B9" s="13"/>
      <c r="C9" s="13"/>
      <c r="D9" s="13"/>
      <c r="E9" s="13"/>
      <c r="F9" s="6"/>
      <c r="G9" s="6"/>
      <c r="H9" s="6"/>
    </row>
    <row r="10" spans="1:8" x14ac:dyDescent="0.25">
      <c r="A10" s="13" t="s">
        <v>465</v>
      </c>
      <c r="B10" s="13"/>
      <c r="C10" s="13"/>
      <c r="D10" s="13"/>
      <c r="E10" s="13"/>
      <c r="F10" s="16">
        <v>176</v>
      </c>
      <c r="G10" s="16"/>
      <c r="H10" s="16"/>
    </row>
    <row r="11" spans="1:8" x14ac:dyDescent="0.25">
      <c r="A11" s="13" t="s">
        <v>133</v>
      </c>
      <c r="B11" s="13"/>
      <c r="C11" s="13"/>
      <c r="D11" s="13"/>
      <c r="E11" s="13"/>
      <c r="F11" s="235">
        <f>TRUNC(+F10*(1/12)*4.24)</f>
        <v>62</v>
      </c>
      <c r="G11" s="17"/>
      <c r="H11" s="17"/>
    </row>
    <row r="12" spans="1:8" x14ac:dyDescent="0.25">
      <c r="A12" s="13" t="s">
        <v>134</v>
      </c>
      <c r="B12" s="13"/>
      <c r="C12" s="13"/>
      <c r="D12" s="13"/>
      <c r="E12" s="13"/>
      <c r="F12" s="16">
        <v>48</v>
      </c>
      <c r="G12" s="16"/>
      <c r="H12" s="16"/>
    </row>
    <row r="13" spans="1:8" x14ac:dyDescent="0.25">
      <c r="A13" s="13"/>
      <c r="B13" s="13"/>
      <c r="C13" s="13"/>
      <c r="D13" s="13"/>
      <c r="E13" s="13"/>
      <c r="F13" s="18"/>
      <c r="G13" s="18"/>
      <c r="H13" s="18"/>
    </row>
    <row r="14" spans="1:8" x14ac:dyDescent="0.25">
      <c r="A14" s="12" t="s">
        <v>139</v>
      </c>
      <c r="B14" s="13"/>
      <c r="C14" s="13"/>
      <c r="D14" s="13"/>
      <c r="E14" s="13"/>
      <c r="F14" s="19"/>
      <c r="G14" s="19"/>
      <c r="H14" s="19"/>
    </row>
    <row r="15" spans="1:8" x14ac:dyDescent="0.25">
      <c r="A15" s="13" t="s">
        <v>140</v>
      </c>
      <c r="B15" s="13"/>
      <c r="C15" s="13"/>
      <c r="D15" s="13"/>
      <c r="E15" s="13"/>
      <c r="F15" s="19">
        <f>+H45*(1+$H$48)*(1+$H$40)+H46</f>
        <v>4.6633820400000001</v>
      </c>
      <c r="G15" s="19"/>
      <c r="H15" s="19"/>
    </row>
    <row r="16" spans="1:8" x14ac:dyDescent="0.25">
      <c r="A16" s="277" t="s">
        <v>567</v>
      </c>
      <c r="B16" s="13"/>
      <c r="C16" s="13"/>
      <c r="D16" s="13"/>
      <c r="E16" s="13"/>
      <c r="F16" s="19">
        <f>+$H$47*(1+$H$48)*(1+$H$40)</f>
        <v>4.23357428</v>
      </c>
      <c r="G16" s="19"/>
      <c r="H16" s="19"/>
    </row>
    <row r="17" spans="1:8" x14ac:dyDescent="0.25">
      <c r="A17" s="13" t="s">
        <v>429</v>
      </c>
      <c r="B17" s="13"/>
      <c r="C17" s="13"/>
      <c r="D17" s="13"/>
      <c r="E17" s="13"/>
      <c r="F17" s="19">
        <f>+F15*$H$43/2</f>
        <v>1.2591131508000002E-2</v>
      </c>
      <c r="G17" s="19"/>
      <c r="H17" s="19"/>
    </row>
    <row r="18" spans="1:8" x14ac:dyDescent="0.25">
      <c r="A18" s="13" t="s">
        <v>141</v>
      </c>
      <c r="B18" s="13"/>
      <c r="C18" s="13"/>
      <c r="D18" s="13"/>
      <c r="E18" s="13"/>
      <c r="F18" s="19">
        <f>+$H$42</f>
        <v>97</v>
      </c>
      <c r="G18" s="19"/>
      <c r="H18" s="19"/>
    </row>
    <row r="19" spans="1:8" x14ac:dyDescent="0.25">
      <c r="A19" s="13" t="s">
        <v>430</v>
      </c>
      <c r="B19" s="13"/>
      <c r="C19" s="13"/>
      <c r="D19" s="13"/>
      <c r="E19" s="13"/>
      <c r="F19" s="20">
        <f>+F18*$H$44/2</f>
        <v>1.49865</v>
      </c>
      <c r="G19" s="20"/>
      <c r="H19" s="20"/>
    </row>
    <row r="20" spans="1:8" x14ac:dyDescent="0.25">
      <c r="A20" s="12" t="s">
        <v>467</v>
      </c>
      <c r="B20" s="13"/>
      <c r="C20" s="13"/>
      <c r="D20" s="13"/>
      <c r="E20" s="13"/>
      <c r="F20" s="22">
        <f>SUM(F15:F19)</f>
        <v>107.408197451508</v>
      </c>
      <c r="G20" s="22"/>
      <c r="H20" s="22"/>
    </row>
    <row r="21" spans="1:8" x14ac:dyDescent="0.25">
      <c r="A21" s="12" t="s">
        <v>143</v>
      </c>
      <c r="B21" s="13"/>
      <c r="C21" s="13"/>
      <c r="D21" s="13"/>
      <c r="E21" s="13"/>
      <c r="F21" s="22">
        <f>+F20/F12</f>
        <v>2.2376707802397502</v>
      </c>
      <c r="G21" s="22"/>
      <c r="H21" s="22"/>
    </row>
    <row r="22" spans="1:8" x14ac:dyDescent="0.25">
      <c r="A22" s="13"/>
      <c r="B22" s="13"/>
      <c r="C22" s="13"/>
      <c r="D22" s="13"/>
      <c r="E22" s="13"/>
      <c r="F22" s="19"/>
      <c r="G22" s="19"/>
      <c r="H22" s="19"/>
    </row>
    <row r="23" spans="1:8" x14ac:dyDescent="0.25">
      <c r="A23" s="12" t="s">
        <v>144</v>
      </c>
      <c r="B23" s="13"/>
      <c r="C23" s="13"/>
      <c r="D23" s="13"/>
      <c r="E23" s="13"/>
      <c r="F23" s="19"/>
      <c r="G23" s="19"/>
      <c r="H23" s="19"/>
    </row>
    <row r="24" spans="1:8" x14ac:dyDescent="0.25">
      <c r="A24" s="13" t="s">
        <v>147</v>
      </c>
      <c r="B24" s="13"/>
      <c r="C24" s="13"/>
      <c r="D24" s="13"/>
      <c r="E24" s="13"/>
      <c r="F24" s="239">
        <f>ROUND(+F21*$H$34,2)</f>
        <v>2.2400000000000002</v>
      </c>
      <c r="G24" s="19"/>
      <c r="H24" s="19"/>
    </row>
    <row r="25" spans="1:8" x14ac:dyDescent="0.25">
      <c r="A25" s="13" t="s">
        <v>148</v>
      </c>
      <c r="B25" s="13"/>
      <c r="C25" s="13"/>
      <c r="D25" s="13"/>
      <c r="E25" s="13"/>
      <c r="F25" s="232">
        <f>ROUND(+$H$38*F11,2)</f>
        <v>1.64</v>
      </c>
      <c r="G25" s="20"/>
      <c r="H25" s="20"/>
    </row>
    <row r="26" spans="1:8" x14ac:dyDescent="0.25">
      <c r="A26" s="12" t="s">
        <v>458</v>
      </c>
      <c r="B26" s="13"/>
      <c r="C26" s="13"/>
      <c r="D26" s="13"/>
      <c r="E26" s="13"/>
      <c r="F26" s="22">
        <f>SUM(F24:F25)</f>
        <v>3.88</v>
      </c>
      <c r="G26" s="22"/>
      <c r="H26" s="22"/>
    </row>
    <row r="27" spans="1:8" x14ac:dyDescent="0.25">
      <c r="A27" s="13"/>
      <c r="B27" s="13"/>
      <c r="C27" s="13"/>
      <c r="D27" s="13"/>
      <c r="E27" s="13"/>
      <c r="F27" s="19"/>
      <c r="G27" s="19"/>
      <c r="H27" s="19"/>
    </row>
    <row r="28" spans="1:8" x14ac:dyDescent="0.25">
      <c r="A28" s="12" t="s">
        <v>150</v>
      </c>
      <c r="B28" s="13"/>
      <c r="C28" s="13"/>
      <c r="D28" s="13"/>
      <c r="E28" s="13"/>
      <c r="F28" s="19"/>
      <c r="G28" s="19"/>
      <c r="H28" s="19"/>
    </row>
    <row r="29" spans="1:8" x14ac:dyDescent="0.25">
      <c r="A29" s="13" t="s">
        <v>147</v>
      </c>
      <c r="B29" s="13"/>
      <c r="C29" s="13"/>
      <c r="D29" s="13"/>
      <c r="E29" s="13"/>
      <c r="F29" s="239">
        <f>ROUND(+F21*$H$34,2)</f>
        <v>2.2400000000000002</v>
      </c>
      <c r="G29" s="19"/>
      <c r="H29" s="19"/>
    </row>
    <row r="30" spans="1:8" x14ac:dyDescent="0.25">
      <c r="A30" s="13" t="s">
        <v>148</v>
      </c>
      <c r="B30" s="13"/>
      <c r="C30" s="13"/>
      <c r="D30" s="13"/>
      <c r="E30" s="13"/>
      <c r="F30" s="232">
        <f>ROUND(+$I$38*F11,2)</f>
        <v>1.66</v>
      </c>
      <c r="G30" s="20"/>
      <c r="H30" s="20"/>
    </row>
    <row r="31" spans="1:8" x14ac:dyDescent="0.25">
      <c r="A31" s="12" t="s">
        <v>458</v>
      </c>
      <c r="B31" s="13"/>
      <c r="C31" s="13"/>
      <c r="D31" s="13"/>
      <c r="E31" s="13"/>
      <c r="F31" s="22">
        <f>SUM(F29:F30)</f>
        <v>3.9000000000000004</v>
      </c>
      <c r="G31" s="22"/>
      <c r="H31" s="22"/>
    </row>
    <row r="33" spans="1:9" x14ac:dyDescent="0.25">
      <c r="A33" s="64" t="s">
        <v>466</v>
      </c>
      <c r="B33" s="64"/>
      <c r="C33" s="64"/>
      <c r="D33" s="64"/>
      <c r="E33" s="64"/>
      <c r="F33" s="9" t="s">
        <v>152</v>
      </c>
      <c r="G33" s="8"/>
      <c r="H33" s="23">
        <f>+'Data Entry'!C9</f>
        <v>0.15265000000000001</v>
      </c>
    </row>
    <row r="34" spans="1:9" x14ac:dyDescent="0.25">
      <c r="A34" s="64" t="s">
        <v>153</v>
      </c>
      <c r="B34" s="64"/>
      <c r="C34" s="64"/>
      <c r="D34" s="64"/>
      <c r="E34" s="64"/>
      <c r="F34" s="10" t="s">
        <v>3</v>
      </c>
      <c r="G34" s="7"/>
      <c r="H34" s="24">
        <f>+'Data Entry'!C10</f>
        <v>1.0007205187735171</v>
      </c>
    </row>
    <row r="35" spans="1:9" x14ac:dyDescent="0.25">
      <c r="A35" s="64" t="s">
        <v>154</v>
      </c>
      <c r="B35" s="64"/>
      <c r="C35" s="64"/>
      <c r="D35" s="64"/>
      <c r="E35" s="64"/>
      <c r="F35" s="11" t="s">
        <v>4</v>
      </c>
      <c r="H35" s="25"/>
    </row>
    <row r="36" spans="1:9" x14ac:dyDescent="0.25">
      <c r="A36" s="64" t="s">
        <v>155</v>
      </c>
      <c r="B36" s="64"/>
      <c r="C36" s="64"/>
      <c r="D36" s="64"/>
      <c r="E36" s="64"/>
      <c r="F36" s="11" t="s">
        <v>5</v>
      </c>
      <c r="H36" s="26">
        <f>+'Data Entry'!C12</f>
        <v>4.36E-2</v>
      </c>
    </row>
    <row r="37" spans="1:9" x14ac:dyDescent="0.25">
      <c r="A37" s="64" t="s">
        <v>156</v>
      </c>
      <c r="B37" s="64"/>
      <c r="C37" s="64"/>
      <c r="D37" s="64"/>
      <c r="E37" s="64"/>
      <c r="F37" s="10" t="s">
        <v>6</v>
      </c>
      <c r="G37" s="7"/>
      <c r="H37" s="27">
        <f>+'Data Entry'!C13</f>
        <v>3.9780000000000003E-2</v>
      </c>
      <c r="I37" s="236" t="s">
        <v>504</v>
      </c>
    </row>
    <row r="38" spans="1:9" x14ac:dyDescent="0.25">
      <c r="A38" s="64" t="s">
        <v>157</v>
      </c>
      <c r="B38" s="64"/>
      <c r="C38" s="64"/>
      <c r="D38" s="64"/>
      <c r="E38" s="64"/>
      <c r="F38" s="10" t="s">
        <v>7</v>
      </c>
      <c r="G38" s="7"/>
      <c r="H38" s="237">
        <f>+'Data Entry'!C14</f>
        <v>2.6519999999999998E-2</v>
      </c>
      <c r="I38" s="238">
        <f>+'Data Entry'!D14</f>
        <v>2.6759999999999999E-2</v>
      </c>
    </row>
    <row r="39" spans="1:9" x14ac:dyDescent="0.25">
      <c r="A39" s="64" t="s">
        <v>158</v>
      </c>
      <c r="B39" s="64"/>
      <c r="C39" s="64"/>
      <c r="D39" s="64"/>
      <c r="E39" s="64"/>
      <c r="F39" s="10" t="s">
        <v>8</v>
      </c>
      <c r="G39" s="7"/>
      <c r="H39" s="27">
        <f>+'Data Entry'!C15</f>
        <v>0.25419999999999998</v>
      </c>
    </row>
    <row r="40" spans="1:9" x14ac:dyDescent="0.25">
      <c r="A40" s="64" t="s">
        <v>159</v>
      </c>
      <c r="B40" s="64"/>
      <c r="C40" s="64"/>
      <c r="D40" s="64"/>
      <c r="E40" s="64"/>
      <c r="F40" s="10" t="s">
        <v>9</v>
      </c>
      <c r="G40" s="7"/>
      <c r="H40" s="27">
        <f>+'Data Entry'!C16</f>
        <v>5.9400000000000001E-2</v>
      </c>
    </row>
    <row r="41" spans="1:9" x14ac:dyDescent="0.25">
      <c r="A41" s="64" t="s">
        <v>160</v>
      </c>
      <c r="B41" s="64"/>
      <c r="C41" s="64"/>
      <c r="D41" s="64"/>
      <c r="E41" s="64"/>
      <c r="F41" s="10" t="s">
        <v>161</v>
      </c>
      <c r="G41" s="7"/>
      <c r="H41" s="29">
        <f>+'Data Entry'!C17</f>
        <v>97</v>
      </c>
    </row>
    <row r="42" spans="1:9" x14ac:dyDescent="0.25">
      <c r="A42" s="64" t="s">
        <v>162</v>
      </c>
      <c r="B42" s="64"/>
      <c r="C42" s="64"/>
      <c r="D42" s="64"/>
      <c r="E42" s="64"/>
      <c r="F42" s="10" t="s">
        <v>12</v>
      </c>
      <c r="G42" s="7"/>
      <c r="H42" s="29">
        <f>+'Data Entry'!C18</f>
        <v>97</v>
      </c>
    </row>
    <row r="43" spans="1:9" x14ac:dyDescent="0.25">
      <c r="A43" s="64" t="s">
        <v>163</v>
      </c>
      <c r="B43" s="64"/>
      <c r="C43" s="64"/>
      <c r="D43" s="64"/>
      <c r="E43" s="64"/>
      <c r="F43" s="10" t="s">
        <v>14</v>
      </c>
      <c r="G43" s="7"/>
      <c r="H43" s="27">
        <f>+'Data Entry'!C19</f>
        <v>5.4000000000000003E-3</v>
      </c>
    </row>
    <row r="44" spans="1:9" x14ac:dyDescent="0.25">
      <c r="A44" s="64" t="s">
        <v>164</v>
      </c>
      <c r="B44" s="64"/>
      <c r="C44" s="64"/>
      <c r="D44" s="64"/>
      <c r="E44" s="64"/>
      <c r="F44" s="10" t="s">
        <v>17</v>
      </c>
      <c r="G44" s="7"/>
      <c r="H44" s="27">
        <f>+'Data Entry'!C20</f>
        <v>3.09E-2</v>
      </c>
    </row>
    <row r="45" spans="1:9" x14ac:dyDescent="0.25">
      <c r="F45" s="69" t="s">
        <v>165</v>
      </c>
      <c r="G45" s="7"/>
      <c r="H45" s="29">
        <f>+'Data Entry'!D107</f>
        <v>4.1100000000000003</v>
      </c>
    </row>
    <row r="46" spans="1:9" x14ac:dyDescent="0.25">
      <c r="F46" s="69" t="s">
        <v>166</v>
      </c>
      <c r="G46" s="7"/>
      <c r="H46" s="29">
        <f>+'Data Entry'!E20</f>
        <v>4.8000000000000001E-2</v>
      </c>
    </row>
    <row r="47" spans="1:9" x14ac:dyDescent="0.25">
      <c r="F47" s="319" t="s">
        <v>568</v>
      </c>
      <c r="G47" s="7"/>
      <c r="H47" s="29">
        <f>+'Data Entry'!D113</f>
        <v>3.77</v>
      </c>
    </row>
    <row r="48" spans="1:9" x14ac:dyDescent="0.25">
      <c r="F48" s="69" t="s">
        <v>167</v>
      </c>
      <c r="G48" s="7"/>
      <c r="H48" s="27">
        <f>+'Data Entry'!C21</f>
        <v>0.06</v>
      </c>
    </row>
    <row r="61" spans="6:8" x14ac:dyDescent="0.25">
      <c r="F61" s="277" t="s">
        <v>568</v>
      </c>
      <c r="H61" s="3">
        <f>+'Data Entry'!D113</f>
        <v>3.77</v>
      </c>
    </row>
  </sheetData>
  <phoneticPr fontId="28" type="noConversion"/>
  <pageMargins left="0.75" right="0.25" top="0.25" bottom="0.25" header="0.5" footer="0.22"/>
  <pageSetup scale="95" orientation="portrait" horizontalDpi="300" verticalDpi="300" r:id="rId1"/>
  <headerFooter alignWithMargins="0">
    <oddFooter>&amp;R&amp;A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workbookViewId="0">
      <selection activeCell="A2" sqref="A1:A2"/>
    </sheetView>
  </sheetViews>
  <sheetFormatPr defaultRowHeight="13.2" x14ac:dyDescent="0.25"/>
  <cols>
    <col min="6" max="8" width="15.6640625" customWidth="1"/>
  </cols>
  <sheetData>
    <row r="1" spans="1:8" x14ac:dyDescent="0.25">
      <c r="A1" s="773" t="s">
        <v>947</v>
      </c>
    </row>
    <row r="2" spans="1:8" x14ac:dyDescent="0.25">
      <c r="A2" s="773" t="s">
        <v>923</v>
      </c>
    </row>
    <row r="4" spans="1:8" ht="17.399999999999999" x14ac:dyDescent="0.3">
      <c r="A4" s="2" t="str">
        <f>'70wOH5'!A4</f>
        <v>2016 Cost of Service</v>
      </c>
    </row>
    <row r="5" spans="1:8" x14ac:dyDescent="0.25">
      <c r="A5" s="4"/>
      <c r="B5" s="4"/>
      <c r="C5" s="4"/>
      <c r="D5" s="4"/>
      <c r="E5" s="4"/>
      <c r="F5" s="14" t="s">
        <v>186</v>
      </c>
      <c r="G5" s="14"/>
      <c r="H5" s="14"/>
    </row>
    <row r="6" spans="1:8" x14ac:dyDescent="0.25">
      <c r="A6" s="12" t="s">
        <v>125</v>
      </c>
      <c r="B6" s="12"/>
      <c r="C6" s="12"/>
      <c r="D6" s="12"/>
      <c r="E6" s="12"/>
      <c r="F6" s="14" t="s">
        <v>185</v>
      </c>
      <c r="G6" s="14"/>
      <c r="H6" s="14"/>
    </row>
    <row r="7" spans="1:8" x14ac:dyDescent="0.25">
      <c r="A7" s="12"/>
      <c r="B7" s="12"/>
      <c r="C7" s="12"/>
      <c r="D7" s="12"/>
      <c r="E7" s="12"/>
      <c r="F7" s="14" t="s">
        <v>174</v>
      </c>
      <c r="G7" s="14"/>
      <c r="H7" s="14"/>
    </row>
    <row r="8" spans="1:8" x14ac:dyDescent="0.25">
      <c r="A8" s="12"/>
      <c r="B8" s="12"/>
      <c r="C8" s="12"/>
      <c r="D8" s="12"/>
      <c r="E8" s="12"/>
      <c r="F8" s="15" t="s">
        <v>175</v>
      </c>
      <c r="G8" s="15"/>
      <c r="H8" s="15"/>
    </row>
    <row r="9" spans="1:8" x14ac:dyDescent="0.25">
      <c r="A9" s="12" t="s">
        <v>131</v>
      </c>
      <c r="B9" s="13"/>
      <c r="C9" s="13"/>
      <c r="D9" s="13"/>
      <c r="E9" s="13"/>
      <c r="F9" s="6"/>
      <c r="G9" s="6"/>
      <c r="H9" s="6"/>
    </row>
    <row r="10" spans="1:8" x14ac:dyDescent="0.25">
      <c r="A10" s="13" t="s">
        <v>464</v>
      </c>
      <c r="B10" s="13"/>
      <c r="C10" s="13"/>
      <c r="D10" s="13"/>
      <c r="E10" s="13"/>
      <c r="F10" s="16">
        <v>218</v>
      </c>
      <c r="G10" s="16"/>
      <c r="H10" s="16"/>
    </row>
    <row r="11" spans="1:8" x14ac:dyDescent="0.25">
      <c r="A11" s="13" t="s">
        <v>133</v>
      </c>
      <c r="B11" s="13"/>
      <c r="C11" s="13"/>
      <c r="D11" s="13"/>
      <c r="E11" s="13"/>
      <c r="F11" s="235">
        <f>TRUNC(+F10*(1/12)*4.24)</f>
        <v>77</v>
      </c>
      <c r="G11" s="17"/>
      <c r="H11" s="17"/>
    </row>
    <row r="12" spans="1:8" x14ac:dyDescent="0.25">
      <c r="A12" s="13" t="s">
        <v>134</v>
      </c>
      <c r="B12" s="13"/>
      <c r="C12" s="13"/>
      <c r="D12" s="13"/>
      <c r="E12" s="13"/>
      <c r="F12" s="16">
        <v>48</v>
      </c>
      <c r="G12" s="16"/>
      <c r="H12" s="16"/>
    </row>
    <row r="13" spans="1:8" x14ac:dyDescent="0.25">
      <c r="A13" s="13"/>
      <c r="B13" s="13"/>
      <c r="C13" s="13"/>
      <c r="D13" s="13"/>
      <c r="E13" s="13"/>
      <c r="F13" s="19"/>
      <c r="G13" s="19"/>
      <c r="H13" s="19"/>
    </row>
    <row r="14" spans="1:8" x14ac:dyDescent="0.25">
      <c r="A14" s="12" t="s">
        <v>139</v>
      </c>
      <c r="B14" s="13"/>
      <c r="C14" s="13"/>
      <c r="D14" s="13"/>
      <c r="E14" s="13"/>
      <c r="F14" s="19"/>
      <c r="G14" s="19"/>
      <c r="H14" s="19"/>
    </row>
    <row r="15" spans="1:8" x14ac:dyDescent="0.25">
      <c r="A15" s="13" t="s">
        <v>140</v>
      </c>
      <c r="B15" s="13"/>
      <c r="C15" s="13"/>
      <c r="D15" s="13"/>
      <c r="E15" s="13"/>
      <c r="F15" s="19">
        <f>+H45*(1+$H$48)*(1+$H$40)+H46</f>
        <v>4.6633820400000001</v>
      </c>
      <c r="G15" s="19"/>
      <c r="H15" s="19"/>
    </row>
    <row r="16" spans="1:8" x14ac:dyDescent="0.25">
      <c r="A16" s="277" t="s">
        <v>567</v>
      </c>
      <c r="B16" s="13"/>
      <c r="C16" s="13"/>
      <c r="D16" s="13"/>
      <c r="E16" s="13"/>
      <c r="F16" s="19">
        <f>+$H$47*(1+$H$48)*(1+$H$40)</f>
        <v>4.23357428</v>
      </c>
      <c r="G16" s="19"/>
      <c r="H16" s="19"/>
    </row>
    <row r="17" spans="1:8" x14ac:dyDescent="0.25">
      <c r="A17" s="13" t="s">
        <v>429</v>
      </c>
      <c r="B17" s="13"/>
      <c r="C17" s="13"/>
      <c r="D17" s="13"/>
      <c r="E17" s="13"/>
      <c r="F17" s="19">
        <f>+F15*$H$43/2</f>
        <v>1.2591131508000002E-2</v>
      </c>
      <c r="G17" s="19"/>
      <c r="H17" s="19"/>
    </row>
    <row r="18" spans="1:8" x14ac:dyDescent="0.25">
      <c r="A18" s="13" t="s">
        <v>141</v>
      </c>
      <c r="B18" s="13"/>
      <c r="C18" s="13"/>
      <c r="D18" s="13"/>
      <c r="E18" s="13"/>
      <c r="F18" s="19">
        <f>+$H$42</f>
        <v>97</v>
      </c>
      <c r="G18" s="19"/>
      <c r="H18" s="19"/>
    </row>
    <row r="19" spans="1:8" x14ac:dyDescent="0.25">
      <c r="A19" s="13" t="s">
        <v>430</v>
      </c>
      <c r="B19" s="13"/>
      <c r="C19" s="13"/>
      <c r="D19" s="13"/>
      <c r="E19" s="13"/>
      <c r="F19" s="20">
        <f>+F18*$H$44/2</f>
        <v>1.49865</v>
      </c>
      <c r="G19" s="20"/>
      <c r="H19" s="20"/>
    </row>
    <row r="20" spans="1:8" x14ac:dyDescent="0.25">
      <c r="A20" s="12" t="s">
        <v>467</v>
      </c>
      <c r="B20" s="13"/>
      <c r="C20" s="13"/>
      <c r="D20" s="13"/>
      <c r="E20" s="13"/>
      <c r="F20" s="22">
        <f>SUM(F15:F19)</f>
        <v>107.408197451508</v>
      </c>
      <c r="G20" s="22"/>
      <c r="H20" s="22"/>
    </row>
    <row r="21" spans="1:8" x14ac:dyDescent="0.25">
      <c r="A21" s="12" t="s">
        <v>143</v>
      </c>
      <c r="B21" s="13"/>
      <c r="C21" s="13"/>
      <c r="D21" s="13"/>
      <c r="E21" s="13"/>
      <c r="F21" s="22">
        <f>+F20/F12</f>
        <v>2.2376707802397502</v>
      </c>
      <c r="G21" s="22"/>
      <c r="H21" s="22"/>
    </row>
    <row r="22" spans="1:8" x14ac:dyDescent="0.25">
      <c r="A22" s="13"/>
      <c r="B22" s="13"/>
      <c r="C22" s="13"/>
      <c r="D22" s="13"/>
      <c r="E22" s="13"/>
      <c r="F22" s="19"/>
      <c r="G22" s="19"/>
      <c r="H22" s="19"/>
    </row>
    <row r="23" spans="1:8" x14ac:dyDescent="0.25">
      <c r="A23" s="12" t="s">
        <v>144</v>
      </c>
      <c r="B23" s="13"/>
      <c r="C23" s="13"/>
      <c r="D23" s="13"/>
      <c r="E23" s="13"/>
      <c r="F23" s="19"/>
      <c r="G23" s="19"/>
      <c r="H23" s="19"/>
    </row>
    <row r="24" spans="1:8" x14ac:dyDescent="0.25">
      <c r="A24" s="13" t="s">
        <v>147</v>
      </c>
      <c r="B24" s="13"/>
      <c r="C24" s="13"/>
      <c r="D24" s="13"/>
      <c r="E24" s="13"/>
      <c r="F24" s="239">
        <f>ROUND(+F21*$H$34,2)</f>
        <v>2.2400000000000002</v>
      </c>
      <c r="G24" s="19"/>
      <c r="H24" s="19"/>
    </row>
    <row r="25" spans="1:8" x14ac:dyDescent="0.25">
      <c r="A25" s="13" t="s">
        <v>148</v>
      </c>
      <c r="B25" s="13"/>
      <c r="C25" s="13"/>
      <c r="D25" s="13"/>
      <c r="E25" s="13"/>
      <c r="F25" s="232">
        <f>ROUND(+$H$38*F11,2)</f>
        <v>2.04</v>
      </c>
      <c r="G25" s="20"/>
      <c r="H25" s="20"/>
    </row>
    <row r="26" spans="1:8" x14ac:dyDescent="0.25">
      <c r="A26" s="12" t="s">
        <v>458</v>
      </c>
      <c r="B26" s="13"/>
      <c r="C26" s="13"/>
      <c r="D26" s="13"/>
      <c r="E26" s="13"/>
      <c r="F26" s="22">
        <f>SUM(F24:F25)</f>
        <v>4.28</v>
      </c>
      <c r="G26" s="22"/>
      <c r="H26" s="22"/>
    </row>
    <row r="27" spans="1:8" x14ac:dyDescent="0.25">
      <c r="A27" s="13"/>
      <c r="B27" s="13"/>
      <c r="C27" s="13"/>
      <c r="D27" s="13"/>
      <c r="E27" s="13"/>
      <c r="F27" s="19"/>
      <c r="G27" s="19"/>
      <c r="H27" s="19"/>
    </row>
    <row r="28" spans="1:8" x14ac:dyDescent="0.25">
      <c r="A28" s="12" t="s">
        <v>150</v>
      </c>
      <c r="B28" s="13"/>
      <c r="C28" s="13"/>
      <c r="D28" s="13"/>
      <c r="E28" s="13"/>
      <c r="F28" s="19"/>
      <c r="G28" s="19"/>
      <c r="H28" s="19"/>
    </row>
    <row r="29" spans="1:8" x14ac:dyDescent="0.25">
      <c r="A29" s="13" t="s">
        <v>147</v>
      </c>
      <c r="B29" s="13"/>
      <c r="C29" s="13"/>
      <c r="D29" s="13"/>
      <c r="E29" s="13"/>
      <c r="F29" s="239">
        <f>ROUND(+F21*$H$34,2)</f>
        <v>2.2400000000000002</v>
      </c>
      <c r="G29" s="19"/>
      <c r="H29" s="19"/>
    </row>
    <row r="30" spans="1:8" x14ac:dyDescent="0.25">
      <c r="A30" s="13" t="s">
        <v>148</v>
      </c>
      <c r="B30" s="13"/>
      <c r="C30" s="13"/>
      <c r="D30" s="13"/>
      <c r="E30" s="13"/>
      <c r="F30" s="232">
        <f>ROUND(+$I$38*F11,2)</f>
        <v>2.06</v>
      </c>
      <c r="G30" s="20"/>
      <c r="H30" s="20"/>
    </row>
    <row r="31" spans="1:8" x14ac:dyDescent="0.25">
      <c r="A31" s="12" t="s">
        <v>458</v>
      </c>
      <c r="B31" s="13"/>
      <c r="C31" s="13"/>
      <c r="D31" s="13"/>
      <c r="E31" s="13"/>
      <c r="F31" s="22">
        <f>SUM(F29:F30)</f>
        <v>4.3000000000000007</v>
      </c>
      <c r="G31" s="22"/>
      <c r="H31" s="22"/>
    </row>
    <row r="33" spans="1:9" x14ac:dyDescent="0.25">
      <c r="A33" s="64" t="s">
        <v>466</v>
      </c>
      <c r="B33" s="64"/>
      <c r="C33" s="64"/>
      <c r="D33" s="64"/>
      <c r="E33" s="64"/>
      <c r="F33" s="9" t="s">
        <v>152</v>
      </c>
      <c r="G33" s="8"/>
      <c r="H33" s="23">
        <f>+'Data Entry'!C9</f>
        <v>0.15265000000000001</v>
      </c>
    </row>
    <row r="34" spans="1:9" x14ac:dyDescent="0.25">
      <c r="A34" s="64" t="s">
        <v>153</v>
      </c>
      <c r="B34" s="64"/>
      <c r="C34" s="64"/>
      <c r="D34" s="64"/>
      <c r="E34" s="64"/>
      <c r="F34" s="10" t="s">
        <v>3</v>
      </c>
      <c r="G34" s="7"/>
      <c r="H34" s="24">
        <f>+'Data Entry'!C10</f>
        <v>1.0007205187735171</v>
      </c>
    </row>
    <row r="35" spans="1:9" x14ac:dyDescent="0.25">
      <c r="A35" s="64" t="s">
        <v>154</v>
      </c>
      <c r="B35" s="64"/>
      <c r="C35" s="64"/>
      <c r="D35" s="64"/>
      <c r="E35" s="64"/>
      <c r="F35" s="11" t="s">
        <v>4</v>
      </c>
      <c r="H35" s="25"/>
    </row>
    <row r="36" spans="1:9" x14ac:dyDescent="0.25">
      <c r="A36" s="64" t="s">
        <v>155</v>
      </c>
      <c r="B36" s="64"/>
      <c r="C36" s="64"/>
      <c r="D36" s="64"/>
      <c r="E36" s="64"/>
      <c r="F36" s="11" t="s">
        <v>5</v>
      </c>
      <c r="H36" s="26">
        <f>+'Data Entry'!C12</f>
        <v>4.36E-2</v>
      </c>
    </row>
    <row r="37" spans="1:9" x14ac:dyDescent="0.25">
      <c r="A37" s="64" t="s">
        <v>156</v>
      </c>
      <c r="B37" s="64"/>
      <c r="C37" s="64"/>
      <c r="D37" s="64"/>
      <c r="E37" s="64"/>
      <c r="F37" s="10" t="s">
        <v>6</v>
      </c>
      <c r="G37" s="7"/>
      <c r="H37" s="27">
        <f>+'Data Entry'!C13</f>
        <v>3.9780000000000003E-2</v>
      </c>
      <c r="I37" s="236" t="s">
        <v>504</v>
      </c>
    </row>
    <row r="38" spans="1:9" x14ac:dyDescent="0.25">
      <c r="A38" s="64" t="s">
        <v>157</v>
      </c>
      <c r="B38" s="64"/>
      <c r="C38" s="64"/>
      <c r="D38" s="64"/>
      <c r="E38" s="64"/>
      <c r="F38" s="10" t="s">
        <v>7</v>
      </c>
      <c r="G38" s="7"/>
      <c r="H38" s="237">
        <f>+'Data Entry'!C14</f>
        <v>2.6519999999999998E-2</v>
      </c>
      <c r="I38" s="238">
        <f>+'Data Entry'!D14</f>
        <v>2.6759999999999999E-2</v>
      </c>
    </row>
    <row r="39" spans="1:9" x14ac:dyDescent="0.25">
      <c r="A39" s="64" t="s">
        <v>158</v>
      </c>
      <c r="B39" s="64"/>
      <c r="C39" s="64"/>
      <c r="D39" s="64"/>
      <c r="E39" s="64"/>
      <c r="F39" s="10" t="s">
        <v>8</v>
      </c>
      <c r="G39" s="7"/>
      <c r="H39" s="27">
        <f>+'Data Entry'!C15</f>
        <v>0.25419999999999998</v>
      </c>
    </row>
    <row r="40" spans="1:9" x14ac:dyDescent="0.25">
      <c r="A40" s="64" t="s">
        <v>159</v>
      </c>
      <c r="B40" s="64"/>
      <c r="C40" s="64"/>
      <c r="D40" s="64"/>
      <c r="E40" s="64"/>
      <c r="F40" s="10" t="s">
        <v>9</v>
      </c>
      <c r="G40" s="7"/>
      <c r="H40" s="27">
        <f>+'Data Entry'!C16</f>
        <v>5.9400000000000001E-2</v>
      </c>
    </row>
    <row r="41" spans="1:9" x14ac:dyDescent="0.25">
      <c r="A41" s="64" t="s">
        <v>160</v>
      </c>
      <c r="B41" s="64"/>
      <c r="C41" s="64"/>
      <c r="D41" s="64"/>
      <c r="E41" s="64"/>
      <c r="F41" s="10" t="s">
        <v>161</v>
      </c>
      <c r="G41" s="7"/>
      <c r="H41" s="29">
        <f>+'Data Entry'!C17</f>
        <v>97</v>
      </c>
    </row>
    <row r="42" spans="1:9" x14ac:dyDescent="0.25">
      <c r="A42" s="64" t="s">
        <v>162</v>
      </c>
      <c r="B42" s="64"/>
      <c r="C42" s="64"/>
      <c r="D42" s="64"/>
      <c r="E42" s="64"/>
      <c r="F42" s="10" t="s">
        <v>12</v>
      </c>
      <c r="G42" s="7"/>
      <c r="H42" s="29">
        <f>+'Data Entry'!C18</f>
        <v>97</v>
      </c>
    </row>
    <row r="43" spans="1:9" x14ac:dyDescent="0.25">
      <c r="A43" s="64" t="s">
        <v>163</v>
      </c>
      <c r="B43" s="64"/>
      <c r="C43" s="64"/>
      <c r="D43" s="64"/>
      <c r="E43" s="64"/>
      <c r="F43" s="10" t="s">
        <v>14</v>
      </c>
      <c r="G43" s="7"/>
      <c r="H43" s="27">
        <f>+'Data Entry'!C19</f>
        <v>5.4000000000000003E-3</v>
      </c>
    </row>
    <row r="44" spans="1:9" x14ac:dyDescent="0.25">
      <c r="A44" s="64" t="s">
        <v>164</v>
      </c>
      <c r="B44" s="64"/>
      <c r="C44" s="64"/>
      <c r="D44" s="64"/>
      <c r="E44" s="64"/>
      <c r="F44" s="10" t="s">
        <v>17</v>
      </c>
      <c r="G44" s="7"/>
      <c r="H44" s="27">
        <f>+'Data Entry'!C20</f>
        <v>3.09E-2</v>
      </c>
    </row>
    <row r="45" spans="1:9" x14ac:dyDescent="0.25">
      <c r="F45" s="69" t="s">
        <v>165</v>
      </c>
      <c r="G45" s="7"/>
      <c r="H45" s="29">
        <f>+'Data Entry'!D107</f>
        <v>4.1100000000000003</v>
      </c>
    </row>
    <row r="46" spans="1:9" x14ac:dyDescent="0.25">
      <c r="F46" s="69" t="s">
        <v>166</v>
      </c>
      <c r="G46" s="7"/>
      <c r="H46" s="29">
        <f>+'Data Entry'!E20</f>
        <v>4.8000000000000001E-2</v>
      </c>
    </row>
    <row r="47" spans="1:9" x14ac:dyDescent="0.25">
      <c r="F47" s="319" t="s">
        <v>568</v>
      </c>
      <c r="G47" s="7"/>
      <c r="H47" s="29">
        <f>+'Data Entry'!D113</f>
        <v>3.77</v>
      </c>
    </row>
    <row r="48" spans="1:9" x14ac:dyDescent="0.25">
      <c r="F48" s="69" t="s">
        <v>167</v>
      </c>
      <c r="G48" s="7"/>
      <c r="H48" s="27">
        <f>+'Data Entry'!C21</f>
        <v>0.06</v>
      </c>
    </row>
    <row r="61" spans="6:8" x14ac:dyDescent="0.25">
      <c r="F61" s="277" t="s">
        <v>568</v>
      </c>
      <c r="H61" s="3">
        <f>+'Data Entry'!D113</f>
        <v>3.77</v>
      </c>
    </row>
  </sheetData>
  <phoneticPr fontId="28" type="noConversion"/>
  <pageMargins left="0.75" right="0.25" top="0.25" bottom="0.25" header="0.5" footer="0.22"/>
  <pageSetup scale="95" orientation="portrait" horizontalDpi="300" verticalDpi="300" r:id="rId1"/>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workbookViewId="0">
      <selection activeCell="A2" sqref="A1:A2"/>
    </sheetView>
  </sheetViews>
  <sheetFormatPr defaultRowHeight="13.2" x14ac:dyDescent="0.25"/>
  <cols>
    <col min="6" max="6" width="15.109375" customWidth="1"/>
    <col min="7" max="7" width="14.5546875" customWidth="1"/>
  </cols>
  <sheetData>
    <row r="1" spans="1:8" x14ac:dyDescent="0.25">
      <c r="A1" s="773" t="s">
        <v>948</v>
      </c>
    </row>
    <row r="2" spans="1:8" x14ac:dyDescent="0.25">
      <c r="A2" s="773" t="s">
        <v>923</v>
      </c>
    </row>
    <row r="4" spans="1:8" ht="17.399999999999999" x14ac:dyDescent="0.3">
      <c r="A4" s="2" t="str">
        <f>'70wOH5'!A4</f>
        <v>2016 Cost of Service</v>
      </c>
    </row>
    <row r="5" spans="1:8" x14ac:dyDescent="0.25">
      <c r="A5" s="4"/>
      <c r="B5" s="4"/>
      <c r="C5" s="4"/>
      <c r="D5" s="4"/>
      <c r="E5" s="4"/>
      <c r="F5" s="14" t="s">
        <v>448</v>
      </c>
      <c r="G5" s="14"/>
      <c r="H5" s="30"/>
    </row>
    <row r="6" spans="1:8" x14ac:dyDescent="0.25">
      <c r="A6" s="12" t="s">
        <v>125</v>
      </c>
      <c r="B6" s="12"/>
      <c r="C6" s="12"/>
      <c r="D6" s="12"/>
      <c r="E6" s="12"/>
      <c r="F6" s="14" t="s">
        <v>185</v>
      </c>
      <c r="G6" s="14"/>
      <c r="H6" s="30"/>
    </row>
    <row r="7" spans="1:8" x14ac:dyDescent="0.25">
      <c r="A7" s="12"/>
      <c r="B7" s="12"/>
      <c r="C7" s="12"/>
      <c r="D7" s="12"/>
      <c r="E7" s="12"/>
      <c r="F7" s="14" t="s">
        <v>433</v>
      </c>
      <c r="G7" s="14"/>
      <c r="H7" s="30"/>
    </row>
    <row r="8" spans="1:8" x14ac:dyDescent="0.25">
      <c r="A8" s="12"/>
      <c r="B8" s="12"/>
      <c r="C8" s="12"/>
      <c r="D8" s="12"/>
      <c r="E8" s="12"/>
      <c r="F8" s="15" t="s">
        <v>433</v>
      </c>
      <c r="G8" s="15"/>
      <c r="H8" s="30"/>
    </row>
    <row r="9" spans="1:8" x14ac:dyDescent="0.25">
      <c r="A9" s="12" t="s">
        <v>131</v>
      </c>
      <c r="B9" s="13"/>
      <c r="C9" s="13"/>
      <c r="D9" s="13"/>
      <c r="E9" s="13"/>
      <c r="F9" s="6"/>
      <c r="G9" s="6"/>
      <c r="H9" s="6"/>
    </row>
    <row r="10" spans="1:8" x14ac:dyDescent="0.25">
      <c r="A10" s="13" t="s">
        <v>132</v>
      </c>
      <c r="B10" s="13"/>
      <c r="C10" s="13"/>
      <c r="D10" s="13"/>
      <c r="E10" s="13"/>
      <c r="F10" s="16">
        <v>453</v>
      </c>
      <c r="G10" s="16"/>
      <c r="H10" s="16"/>
    </row>
    <row r="11" spans="1:8" x14ac:dyDescent="0.25">
      <c r="A11" s="13" t="s">
        <v>133</v>
      </c>
      <c r="B11" s="13"/>
      <c r="C11" s="13"/>
      <c r="D11" s="13"/>
      <c r="E11" s="13"/>
      <c r="F11" s="235">
        <f>TRUNC(+F10*(1/12)*4.24)</f>
        <v>160</v>
      </c>
      <c r="G11" s="17"/>
      <c r="H11" s="17"/>
    </row>
    <row r="12" spans="1:8" x14ac:dyDescent="0.25">
      <c r="A12" s="13" t="s">
        <v>134</v>
      </c>
      <c r="B12" s="13"/>
      <c r="C12" s="13"/>
      <c r="D12" s="13"/>
      <c r="E12" s="13"/>
      <c r="F12" s="16">
        <v>48</v>
      </c>
      <c r="G12" s="16"/>
      <c r="H12" s="16"/>
    </row>
    <row r="13" spans="1:8" x14ac:dyDescent="0.25">
      <c r="A13" s="13"/>
      <c r="B13" s="13"/>
      <c r="C13" s="13"/>
      <c r="D13" s="13"/>
      <c r="E13" s="13"/>
      <c r="F13" s="19"/>
      <c r="G13" s="19"/>
      <c r="H13" s="19"/>
    </row>
    <row r="14" spans="1:8" x14ac:dyDescent="0.25">
      <c r="A14" s="12" t="s">
        <v>139</v>
      </c>
      <c r="B14" s="13"/>
      <c r="C14" s="13"/>
      <c r="D14" s="13"/>
      <c r="E14" s="13"/>
      <c r="F14" s="19"/>
      <c r="G14" s="19"/>
      <c r="H14" s="19"/>
    </row>
    <row r="15" spans="1:8" x14ac:dyDescent="0.25">
      <c r="A15" s="13" t="s">
        <v>140</v>
      </c>
      <c r="B15" s="13"/>
      <c r="C15" s="13"/>
      <c r="D15" s="13"/>
      <c r="E15" s="13"/>
      <c r="F15" s="19">
        <f>+H45*(1+$H$48)*(1+$H$40)+H46</f>
        <v>6.6622579599999998</v>
      </c>
      <c r="G15" s="19"/>
      <c r="H15" s="19"/>
    </row>
    <row r="16" spans="1:8" x14ac:dyDescent="0.25">
      <c r="A16" s="277" t="s">
        <v>567</v>
      </c>
      <c r="B16" s="13"/>
      <c r="C16" s="13"/>
      <c r="D16" s="13"/>
      <c r="E16" s="13"/>
      <c r="F16" s="19">
        <f>+H47*(1+$H$48)*(1+$H$40)</f>
        <v>4.23357428</v>
      </c>
      <c r="G16" s="19"/>
      <c r="H16" s="19"/>
    </row>
    <row r="17" spans="1:8" x14ac:dyDescent="0.25">
      <c r="A17" s="13" t="s">
        <v>429</v>
      </c>
      <c r="B17" s="13"/>
      <c r="C17" s="13"/>
      <c r="D17" s="13"/>
      <c r="E17" s="13"/>
      <c r="F17" s="19">
        <f>+F15*$H$43/2</f>
        <v>1.7988096492000002E-2</v>
      </c>
      <c r="G17" s="19"/>
      <c r="H17" s="19"/>
    </row>
    <row r="18" spans="1:8" x14ac:dyDescent="0.25">
      <c r="A18" s="13" t="s">
        <v>141</v>
      </c>
      <c r="B18" s="13"/>
      <c r="C18" s="13"/>
      <c r="D18" s="13"/>
      <c r="E18" s="13"/>
      <c r="F18" s="19">
        <f>+$H$42</f>
        <v>97</v>
      </c>
      <c r="G18" s="19"/>
      <c r="H18" s="19"/>
    </row>
    <row r="19" spans="1:8" x14ac:dyDescent="0.25">
      <c r="A19" s="13" t="s">
        <v>430</v>
      </c>
      <c r="B19" s="13"/>
      <c r="C19" s="13"/>
      <c r="D19" s="13"/>
      <c r="E19" s="13"/>
      <c r="F19" s="20">
        <f>+F18*$H$44/2</f>
        <v>1.49865</v>
      </c>
      <c r="G19" s="20"/>
      <c r="H19" s="19"/>
    </row>
    <row r="20" spans="1:8" x14ac:dyDescent="0.25">
      <c r="A20" s="12" t="s">
        <v>142</v>
      </c>
      <c r="B20" s="13"/>
      <c r="C20" s="13"/>
      <c r="D20" s="13"/>
      <c r="E20" s="13"/>
      <c r="F20" s="22">
        <f>SUM(F15:F19)</f>
        <v>109.41247033649199</v>
      </c>
      <c r="G20" s="22"/>
      <c r="H20" s="22"/>
    </row>
    <row r="21" spans="1:8" x14ac:dyDescent="0.25">
      <c r="A21" s="12" t="s">
        <v>143</v>
      </c>
      <c r="B21" s="13"/>
      <c r="C21" s="13"/>
      <c r="D21" s="13"/>
      <c r="E21" s="13"/>
      <c r="F21" s="22">
        <f>+F20/F12</f>
        <v>2.2794264653435832</v>
      </c>
      <c r="G21" s="22"/>
      <c r="H21" s="22"/>
    </row>
    <row r="22" spans="1:8" x14ac:dyDescent="0.25">
      <c r="A22" s="13"/>
      <c r="B22" s="13"/>
      <c r="C22" s="13"/>
      <c r="D22" s="13"/>
      <c r="E22" s="13"/>
      <c r="F22" s="19"/>
      <c r="G22" s="19"/>
      <c r="H22" s="19"/>
    </row>
    <row r="23" spans="1:8" x14ac:dyDescent="0.25">
      <c r="A23" s="12" t="s">
        <v>144</v>
      </c>
      <c r="B23" s="13"/>
      <c r="C23" s="13"/>
      <c r="D23" s="13"/>
      <c r="E23" s="13"/>
      <c r="F23" s="19"/>
      <c r="G23" s="19"/>
      <c r="H23" s="19"/>
    </row>
    <row r="24" spans="1:8" x14ac:dyDescent="0.25">
      <c r="A24" s="13" t="s">
        <v>147</v>
      </c>
      <c r="B24" s="13"/>
      <c r="C24" s="13"/>
      <c r="D24" s="13"/>
      <c r="E24" s="13"/>
      <c r="F24" s="239">
        <f>ROUND(+F21*$H$34,2)</f>
        <v>2.2799999999999998</v>
      </c>
      <c r="G24" s="19"/>
      <c r="H24" s="19"/>
    </row>
    <row r="25" spans="1:8" x14ac:dyDescent="0.25">
      <c r="A25" s="13" t="s">
        <v>148</v>
      </c>
      <c r="B25" s="13"/>
      <c r="C25" s="13"/>
      <c r="D25" s="13"/>
      <c r="E25" s="13"/>
      <c r="F25" s="232">
        <f>ROUND(+$H$38*F11,2)</f>
        <v>4.24</v>
      </c>
      <c r="G25" s="20"/>
      <c r="H25" s="19"/>
    </row>
    <row r="26" spans="1:8" x14ac:dyDescent="0.25">
      <c r="A26" s="12" t="s">
        <v>449</v>
      </c>
      <c r="B26" s="13"/>
      <c r="C26" s="13"/>
      <c r="D26" s="13"/>
      <c r="E26" s="13"/>
      <c r="F26" s="22">
        <f>SUM(F24:F25)</f>
        <v>6.52</v>
      </c>
      <c r="G26" s="22"/>
      <c r="H26" s="22"/>
    </row>
    <row r="27" spans="1:8" x14ac:dyDescent="0.25">
      <c r="A27" s="13"/>
      <c r="B27" s="13"/>
      <c r="C27" s="13"/>
      <c r="D27" s="13"/>
      <c r="E27" s="13"/>
      <c r="F27" s="19"/>
      <c r="G27" s="19"/>
      <c r="H27" s="19"/>
    </row>
    <row r="28" spans="1:8" x14ac:dyDescent="0.25">
      <c r="A28" s="12" t="s">
        <v>150</v>
      </c>
      <c r="B28" s="13"/>
      <c r="C28" s="13"/>
      <c r="D28" s="13"/>
      <c r="E28" s="13"/>
      <c r="F28" s="19"/>
      <c r="G28" s="19"/>
      <c r="H28" s="19"/>
    </row>
    <row r="29" spans="1:8" x14ac:dyDescent="0.25">
      <c r="A29" s="13" t="s">
        <v>147</v>
      </c>
      <c r="B29" s="13"/>
      <c r="C29" s="13"/>
      <c r="D29" s="13"/>
      <c r="E29" s="13"/>
      <c r="F29" s="239">
        <f>ROUND(+F21*$H$34,2)</f>
        <v>2.2799999999999998</v>
      </c>
      <c r="G29" s="19"/>
      <c r="H29" s="19"/>
    </row>
    <row r="30" spans="1:8" x14ac:dyDescent="0.25">
      <c r="A30" s="13" t="s">
        <v>148</v>
      </c>
      <c r="B30" s="13"/>
      <c r="C30" s="13"/>
      <c r="D30" s="13"/>
      <c r="E30" s="13"/>
      <c r="F30" s="232">
        <f>+ROUND($I$38*F11,2)</f>
        <v>4.28</v>
      </c>
      <c r="G30" s="20"/>
      <c r="H30" s="19"/>
    </row>
    <row r="31" spans="1:8" x14ac:dyDescent="0.25">
      <c r="A31" s="12" t="s">
        <v>449</v>
      </c>
      <c r="B31" s="13"/>
      <c r="C31" s="13"/>
      <c r="D31" s="13"/>
      <c r="E31" s="13"/>
      <c r="F31" s="22">
        <f>SUM(F29:F30)</f>
        <v>6.5600000000000005</v>
      </c>
      <c r="G31" s="22"/>
      <c r="H31" s="22"/>
    </row>
    <row r="33" spans="1:9" x14ac:dyDescent="0.25">
      <c r="A33" s="64" t="s">
        <v>466</v>
      </c>
      <c r="B33" s="64"/>
      <c r="C33" s="64"/>
      <c r="D33" s="64"/>
      <c r="E33" s="64"/>
      <c r="F33" s="9" t="s">
        <v>152</v>
      </c>
      <c r="G33" s="8"/>
      <c r="H33" s="23">
        <f>+'Data Entry'!C9</f>
        <v>0.15265000000000001</v>
      </c>
    </row>
    <row r="34" spans="1:9" x14ac:dyDescent="0.25">
      <c r="A34" s="64" t="s">
        <v>153</v>
      </c>
      <c r="B34" s="64"/>
      <c r="C34" s="64"/>
      <c r="D34" s="64"/>
      <c r="E34" s="64"/>
      <c r="F34" s="10" t="s">
        <v>3</v>
      </c>
      <c r="G34" s="7"/>
      <c r="H34" s="24">
        <f>+'Data Entry'!C10</f>
        <v>1.0007205187735171</v>
      </c>
    </row>
    <row r="35" spans="1:9" x14ac:dyDescent="0.25">
      <c r="A35" s="64" t="s">
        <v>154</v>
      </c>
      <c r="B35" s="64"/>
      <c r="C35" s="64"/>
      <c r="D35" s="64"/>
      <c r="E35" s="64"/>
      <c r="F35" s="11" t="s">
        <v>4</v>
      </c>
      <c r="H35" s="25"/>
    </row>
    <row r="36" spans="1:9" x14ac:dyDescent="0.25">
      <c r="A36" s="64" t="s">
        <v>155</v>
      </c>
      <c r="B36" s="64"/>
      <c r="C36" s="64"/>
      <c r="D36" s="64"/>
      <c r="E36" s="64"/>
      <c r="F36" s="11" t="s">
        <v>5</v>
      </c>
      <c r="H36" s="26">
        <f>+'Data Entry'!C12</f>
        <v>4.36E-2</v>
      </c>
    </row>
    <row r="37" spans="1:9" x14ac:dyDescent="0.25">
      <c r="A37" s="64" t="s">
        <v>156</v>
      </c>
      <c r="B37" s="64"/>
      <c r="C37" s="64"/>
      <c r="D37" s="64"/>
      <c r="E37" s="64"/>
      <c r="F37" s="10" t="s">
        <v>6</v>
      </c>
      <c r="G37" s="7"/>
      <c r="H37" s="27">
        <f>+'Data Entry'!C13</f>
        <v>3.9780000000000003E-2</v>
      </c>
      <c r="I37" s="236" t="s">
        <v>504</v>
      </c>
    </row>
    <row r="38" spans="1:9" x14ac:dyDescent="0.25">
      <c r="A38" s="64" t="s">
        <v>157</v>
      </c>
      <c r="B38" s="64"/>
      <c r="C38" s="64"/>
      <c r="D38" s="64"/>
      <c r="E38" s="64"/>
      <c r="F38" s="10" t="s">
        <v>7</v>
      </c>
      <c r="G38" s="7"/>
      <c r="H38" s="237">
        <f>+'Data Entry'!C14</f>
        <v>2.6519999999999998E-2</v>
      </c>
      <c r="I38" s="238">
        <f>+'Data Entry'!D14</f>
        <v>2.6759999999999999E-2</v>
      </c>
    </row>
    <row r="39" spans="1:9" x14ac:dyDescent="0.25">
      <c r="A39" s="64" t="s">
        <v>158</v>
      </c>
      <c r="B39" s="64"/>
      <c r="C39" s="64"/>
      <c r="D39" s="64"/>
      <c r="E39" s="64"/>
      <c r="F39" s="10" t="s">
        <v>8</v>
      </c>
      <c r="G39" s="7"/>
      <c r="H39" s="27">
        <f>+'Data Entry'!C15</f>
        <v>0.25419999999999998</v>
      </c>
    </row>
    <row r="40" spans="1:9" x14ac:dyDescent="0.25">
      <c r="A40" s="64" t="s">
        <v>159</v>
      </c>
      <c r="B40" s="64"/>
      <c r="C40" s="64"/>
      <c r="D40" s="64"/>
      <c r="E40" s="64"/>
      <c r="F40" s="10" t="s">
        <v>9</v>
      </c>
      <c r="G40" s="7"/>
      <c r="H40" s="27">
        <f>+'Data Entry'!C16</f>
        <v>5.9400000000000001E-2</v>
      </c>
    </row>
    <row r="41" spans="1:9" x14ac:dyDescent="0.25">
      <c r="A41" s="64" t="s">
        <v>160</v>
      </c>
      <c r="B41" s="64"/>
      <c r="C41" s="64"/>
      <c r="D41" s="64"/>
      <c r="E41" s="64"/>
      <c r="F41" s="10" t="s">
        <v>161</v>
      </c>
      <c r="G41" s="7"/>
      <c r="H41" s="29">
        <f>+'Data Entry'!C17</f>
        <v>97</v>
      </c>
    </row>
    <row r="42" spans="1:9" x14ac:dyDescent="0.25">
      <c r="A42" s="64" t="s">
        <v>162</v>
      </c>
      <c r="B42" s="64"/>
      <c r="C42" s="64"/>
      <c r="D42" s="64"/>
      <c r="E42" s="64"/>
      <c r="F42" s="10" t="s">
        <v>12</v>
      </c>
      <c r="G42" s="7"/>
      <c r="H42" s="29">
        <f>+'Data Entry'!C18</f>
        <v>97</v>
      </c>
    </row>
    <row r="43" spans="1:9" x14ac:dyDescent="0.25">
      <c r="A43" s="64" t="s">
        <v>163</v>
      </c>
      <c r="B43" s="64"/>
      <c r="C43" s="64"/>
      <c r="D43" s="64"/>
      <c r="E43" s="64"/>
      <c r="F43" s="10" t="s">
        <v>14</v>
      </c>
      <c r="G43" s="7"/>
      <c r="H43" s="27">
        <f>+'Data Entry'!C19</f>
        <v>5.4000000000000003E-3</v>
      </c>
    </row>
    <row r="44" spans="1:9" x14ac:dyDescent="0.25">
      <c r="A44" s="64" t="s">
        <v>164</v>
      </c>
      <c r="B44" s="64"/>
      <c r="C44" s="64"/>
      <c r="D44" s="64"/>
      <c r="E44" s="64"/>
      <c r="F44" s="10" t="s">
        <v>17</v>
      </c>
      <c r="G44" s="7"/>
      <c r="H44" s="27">
        <f>+'Data Entry'!C20</f>
        <v>3.09E-2</v>
      </c>
    </row>
    <row r="45" spans="1:9" x14ac:dyDescent="0.25">
      <c r="F45" s="69" t="s">
        <v>165</v>
      </c>
      <c r="G45" s="7"/>
      <c r="H45" s="29">
        <f>+'Data Entry'!D108</f>
        <v>5.89</v>
      </c>
    </row>
    <row r="46" spans="1:9" x14ac:dyDescent="0.25">
      <c r="F46" s="69" t="s">
        <v>166</v>
      </c>
      <c r="G46" s="7"/>
      <c r="H46" s="29">
        <f>+'Data Entry'!E20</f>
        <v>4.8000000000000001E-2</v>
      </c>
    </row>
    <row r="47" spans="1:9" x14ac:dyDescent="0.25">
      <c r="F47" s="319" t="s">
        <v>568</v>
      </c>
      <c r="G47" s="7"/>
      <c r="H47" s="29">
        <f>+'Data Entry'!D113</f>
        <v>3.77</v>
      </c>
    </row>
    <row r="48" spans="1:9" x14ac:dyDescent="0.25">
      <c r="F48" s="69" t="s">
        <v>167</v>
      </c>
      <c r="G48" s="7"/>
      <c r="H48" s="27">
        <f>+'Data Entry'!C21</f>
        <v>0.06</v>
      </c>
    </row>
    <row r="60" spans="6:8" x14ac:dyDescent="0.25">
      <c r="F60" s="277"/>
      <c r="H60" s="3"/>
    </row>
  </sheetData>
  <phoneticPr fontId="28" type="noConversion"/>
  <pageMargins left="0.75" right="0.25" top="0.25" bottom="0.25" header="0.5" footer="0.22"/>
  <pageSetup orientation="portrait" r:id="rId1"/>
  <headerFooter alignWithMargins="0">
    <oddFooter>&amp;R&amp;A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workbookViewId="0">
      <selection activeCell="A2" sqref="A1:A2"/>
    </sheetView>
  </sheetViews>
  <sheetFormatPr defaultRowHeight="13.2" x14ac:dyDescent="0.25"/>
  <cols>
    <col min="6" max="8" width="15.6640625" customWidth="1"/>
  </cols>
  <sheetData>
    <row r="1" spans="1:8" x14ac:dyDescent="0.25">
      <c r="A1" s="773" t="s">
        <v>949</v>
      </c>
    </row>
    <row r="2" spans="1:8" x14ac:dyDescent="0.25">
      <c r="A2" s="773" t="s">
        <v>923</v>
      </c>
    </row>
    <row r="4" spans="1:8" ht="17.399999999999999" x14ac:dyDescent="0.3">
      <c r="A4" s="2" t="str">
        <f>'70wOH5'!A4</f>
        <v>2016 Cost of Service</v>
      </c>
    </row>
    <row r="5" spans="1:8" x14ac:dyDescent="0.25">
      <c r="A5" s="4"/>
      <c r="B5" s="4"/>
      <c r="C5" s="4"/>
      <c r="D5" s="4"/>
      <c r="E5" s="4"/>
      <c r="F5" s="14"/>
      <c r="G5" s="14" t="s">
        <v>187</v>
      </c>
      <c r="H5" s="30"/>
    </row>
    <row r="6" spans="1:8" x14ac:dyDescent="0.25">
      <c r="A6" s="12" t="s">
        <v>125</v>
      </c>
      <c r="B6" s="12"/>
      <c r="C6" s="12"/>
      <c r="D6" s="12"/>
      <c r="E6" s="12"/>
      <c r="F6" s="14"/>
      <c r="G6" s="73" t="s">
        <v>188</v>
      </c>
      <c r="H6" s="30"/>
    </row>
    <row r="7" spans="1:8" x14ac:dyDescent="0.25">
      <c r="A7" s="12"/>
      <c r="B7" s="12"/>
      <c r="C7" s="12"/>
      <c r="D7" s="12"/>
      <c r="E7" s="12"/>
      <c r="F7" s="14"/>
      <c r="G7" s="14" t="s">
        <v>174</v>
      </c>
      <c r="H7" s="30"/>
    </row>
    <row r="8" spans="1:8" x14ac:dyDescent="0.25">
      <c r="A8" s="12"/>
      <c r="B8" s="12"/>
      <c r="C8" s="12"/>
      <c r="D8" s="12"/>
      <c r="E8" s="12"/>
      <c r="F8" s="15"/>
      <c r="G8" s="15" t="s">
        <v>175</v>
      </c>
      <c r="H8" s="30"/>
    </row>
    <row r="9" spans="1:8" x14ac:dyDescent="0.25">
      <c r="A9" s="12" t="s">
        <v>131</v>
      </c>
      <c r="B9" s="13"/>
      <c r="C9" s="13"/>
      <c r="D9" s="13"/>
      <c r="E9" s="13"/>
      <c r="F9" s="6"/>
      <c r="G9" s="6"/>
      <c r="H9" s="6"/>
    </row>
    <row r="10" spans="1:8" x14ac:dyDescent="0.25">
      <c r="A10" s="13" t="s">
        <v>464</v>
      </c>
      <c r="B10" s="13"/>
      <c r="C10" s="13"/>
      <c r="D10" s="13"/>
      <c r="E10" s="13"/>
      <c r="F10" s="16"/>
      <c r="G10" s="16">
        <v>202</v>
      </c>
      <c r="H10" s="16"/>
    </row>
    <row r="11" spans="1:8" x14ac:dyDescent="0.25">
      <c r="A11" s="13" t="s">
        <v>133</v>
      </c>
      <c r="B11" s="13"/>
      <c r="C11" s="13"/>
      <c r="D11" s="13"/>
      <c r="E11" s="13"/>
      <c r="F11" s="17"/>
      <c r="G11" s="17">
        <f>TRUNC(+G10*(1/12)*4.24)</f>
        <v>71</v>
      </c>
      <c r="H11" s="17"/>
    </row>
    <row r="12" spans="1:8" x14ac:dyDescent="0.25">
      <c r="A12" s="13" t="s">
        <v>134</v>
      </c>
      <c r="B12" s="13"/>
      <c r="C12" s="13"/>
      <c r="D12" s="13"/>
      <c r="E12" s="13"/>
      <c r="F12" s="16"/>
      <c r="G12" s="16">
        <v>12</v>
      </c>
      <c r="H12" s="16"/>
    </row>
    <row r="13" spans="1:8" x14ac:dyDescent="0.25">
      <c r="A13" s="13"/>
      <c r="B13" s="13"/>
      <c r="C13" s="13"/>
      <c r="D13" s="13"/>
      <c r="E13" s="13"/>
      <c r="F13" s="19"/>
      <c r="G13" s="19"/>
      <c r="H13" s="19"/>
    </row>
    <row r="14" spans="1:8" x14ac:dyDescent="0.25">
      <c r="A14" s="12" t="s">
        <v>139</v>
      </c>
      <c r="B14" s="13"/>
      <c r="C14" s="13"/>
      <c r="D14" s="13"/>
      <c r="E14" s="13"/>
      <c r="F14" s="19"/>
      <c r="G14" s="19"/>
      <c r="H14" s="19"/>
    </row>
    <row r="15" spans="1:8" x14ac:dyDescent="0.25">
      <c r="A15" s="13" t="s">
        <v>140</v>
      </c>
      <c r="B15" s="13"/>
      <c r="C15" s="13"/>
      <c r="D15" s="13"/>
      <c r="E15" s="13"/>
      <c r="F15" s="19"/>
      <c r="G15" s="19">
        <f>+H45*(1+$H$48)*(1+$H$40)+H46</f>
        <v>6.3447466000000006</v>
      </c>
      <c r="H15" s="19"/>
    </row>
    <row r="16" spans="1:8" x14ac:dyDescent="0.25">
      <c r="A16" s="277" t="s">
        <v>567</v>
      </c>
      <c r="B16" s="13"/>
      <c r="C16" s="13"/>
      <c r="D16" s="13"/>
      <c r="E16" s="13"/>
      <c r="F16" s="19"/>
      <c r="G16" s="19">
        <f>+H47*(1+$H$48)*(1+$H$40)</f>
        <v>4.23357428</v>
      </c>
      <c r="H16" s="19"/>
    </row>
    <row r="17" spans="1:8" x14ac:dyDescent="0.25">
      <c r="A17" s="13" t="s">
        <v>429</v>
      </c>
      <c r="B17" s="13"/>
      <c r="C17" s="13"/>
      <c r="D17" s="13"/>
      <c r="E17" s="13"/>
      <c r="F17" s="19"/>
      <c r="G17" s="19">
        <f>+G15*$H$43/2</f>
        <v>1.7130815820000003E-2</v>
      </c>
      <c r="H17" s="19"/>
    </row>
    <row r="18" spans="1:8" x14ac:dyDescent="0.25">
      <c r="A18" s="13" t="s">
        <v>141</v>
      </c>
      <c r="B18" s="13"/>
      <c r="C18" s="13"/>
      <c r="D18" s="13"/>
      <c r="E18" s="13"/>
      <c r="F18" s="19"/>
      <c r="G18" s="19">
        <f>+$H$42</f>
        <v>97</v>
      </c>
      <c r="H18" s="19"/>
    </row>
    <row r="19" spans="1:8" x14ac:dyDescent="0.25">
      <c r="A19" s="13" t="s">
        <v>430</v>
      </c>
      <c r="B19" s="13"/>
      <c r="C19" s="13"/>
      <c r="D19" s="13"/>
      <c r="E19" s="13"/>
      <c r="F19" s="20"/>
      <c r="G19" s="20">
        <f>+G18*$H$44/2</f>
        <v>1.49865</v>
      </c>
      <c r="H19" s="19"/>
    </row>
    <row r="20" spans="1:8" x14ac:dyDescent="0.25">
      <c r="A20" s="12" t="s">
        <v>142</v>
      </c>
      <c r="B20" s="13"/>
      <c r="C20" s="13"/>
      <c r="D20" s="13"/>
      <c r="E20" s="13"/>
      <c r="F20" s="22"/>
      <c r="G20" s="22">
        <f>SUM(G15:G19)</f>
        <v>109.09410169582</v>
      </c>
      <c r="H20" s="22"/>
    </row>
    <row r="21" spans="1:8" x14ac:dyDescent="0.25">
      <c r="A21" s="12" t="s">
        <v>143</v>
      </c>
      <c r="B21" s="13"/>
      <c r="C21" s="13"/>
      <c r="D21" s="13"/>
      <c r="E21" s="13"/>
      <c r="F21" s="22"/>
      <c r="G21" s="22">
        <f>+G20/G12</f>
        <v>9.0911751413183328</v>
      </c>
      <c r="H21" s="22"/>
    </row>
    <row r="22" spans="1:8" x14ac:dyDescent="0.25">
      <c r="A22" s="13"/>
      <c r="B22" s="13"/>
      <c r="C22" s="13"/>
      <c r="D22" s="13"/>
      <c r="E22" s="13"/>
      <c r="F22" s="19"/>
      <c r="G22" s="19"/>
      <c r="H22" s="19"/>
    </row>
    <row r="23" spans="1:8" x14ac:dyDescent="0.25">
      <c r="A23" s="12" t="s">
        <v>144</v>
      </c>
      <c r="B23" s="13"/>
      <c r="C23" s="13"/>
      <c r="D23" s="13"/>
      <c r="E23" s="13"/>
      <c r="F23" s="19"/>
      <c r="G23" s="19"/>
      <c r="H23" s="19"/>
    </row>
    <row r="24" spans="1:8" x14ac:dyDescent="0.25">
      <c r="A24" s="13" t="s">
        <v>147</v>
      </c>
      <c r="B24" s="13"/>
      <c r="C24" s="13"/>
      <c r="D24" s="13"/>
      <c r="E24" s="13"/>
      <c r="F24" s="19"/>
      <c r="G24" s="239">
        <f>ROUND(+G21*$H$34,2)</f>
        <v>9.1</v>
      </c>
      <c r="H24" s="19"/>
    </row>
    <row r="25" spans="1:8" x14ac:dyDescent="0.25">
      <c r="A25" s="13" t="s">
        <v>148</v>
      </c>
      <c r="B25" s="13"/>
      <c r="C25" s="13"/>
      <c r="D25" s="13"/>
      <c r="E25" s="13"/>
      <c r="F25" s="20"/>
      <c r="G25" s="232">
        <f>ROUND(+$H$38*G11,2)</f>
        <v>1.88</v>
      </c>
      <c r="H25" s="19"/>
    </row>
    <row r="26" spans="1:8" x14ac:dyDescent="0.25">
      <c r="A26" s="12" t="s">
        <v>458</v>
      </c>
      <c r="B26" s="13"/>
      <c r="C26" s="13"/>
      <c r="D26" s="13"/>
      <c r="E26" s="13"/>
      <c r="F26" s="22"/>
      <c r="G26" s="22">
        <f>SUM(G24:G25)</f>
        <v>10.98</v>
      </c>
      <c r="H26" s="22"/>
    </row>
    <row r="27" spans="1:8" x14ac:dyDescent="0.25">
      <c r="A27" s="13"/>
      <c r="B27" s="13"/>
      <c r="C27" s="13"/>
      <c r="D27" s="13"/>
      <c r="E27" s="13"/>
      <c r="F27" s="19"/>
      <c r="G27" s="19"/>
      <c r="H27" s="19"/>
    </row>
    <row r="28" spans="1:8" x14ac:dyDescent="0.25">
      <c r="A28" s="12" t="s">
        <v>150</v>
      </c>
      <c r="B28" s="13"/>
      <c r="C28" s="13"/>
      <c r="D28" s="13"/>
      <c r="E28" s="13"/>
      <c r="F28" s="19"/>
      <c r="G28" s="19"/>
      <c r="H28" s="19"/>
    </row>
    <row r="29" spans="1:8" x14ac:dyDescent="0.25">
      <c r="A29" s="13" t="s">
        <v>147</v>
      </c>
      <c r="B29" s="13"/>
      <c r="C29" s="13"/>
      <c r="D29" s="13"/>
      <c r="E29" s="13"/>
      <c r="F29" s="19"/>
      <c r="G29" s="239">
        <f>ROUND(+G21*$H$34,2)</f>
        <v>9.1</v>
      </c>
      <c r="H29" s="19"/>
    </row>
    <row r="30" spans="1:8" x14ac:dyDescent="0.25">
      <c r="A30" s="13" t="s">
        <v>148</v>
      </c>
      <c r="B30" s="13"/>
      <c r="C30" s="13"/>
      <c r="D30" s="13"/>
      <c r="E30" s="13"/>
      <c r="F30" s="20"/>
      <c r="G30" s="232">
        <f>ROUND(+$I$38*G11,2)</f>
        <v>1.9</v>
      </c>
      <c r="H30" s="19"/>
    </row>
    <row r="31" spans="1:8" x14ac:dyDescent="0.25">
      <c r="A31" s="12" t="s">
        <v>458</v>
      </c>
      <c r="B31" s="13"/>
      <c r="C31" s="13"/>
      <c r="D31" s="13"/>
      <c r="E31" s="13"/>
      <c r="F31" s="22"/>
      <c r="G31" s="22">
        <f>SUM(G29:G30)</f>
        <v>11</v>
      </c>
      <c r="H31" s="22"/>
    </row>
    <row r="33" spans="1:9" x14ac:dyDescent="0.25">
      <c r="A33" s="64" t="s">
        <v>466</v>
      </c>
      <c r="B33" s="64"/>
      <c r="C33" s="64"/>
      <c r="D33" s="64"/>
      <c r="E33" s="64"/>
      <c r="F33" s="9" t="s">
        <v>152</v>
      </c>
      <c r="G33" s="8"/>
      <c r="H33" s="23">
        <f>+'Data Entry'!C9</f>
        <v>0.15265000000000001</v>
      </c>
    </row>
    <row r="34" spans="1:9" x14ac:dyDescent="0.25">
      <c r="A34" s="64" t="s">
        <v>153</v>
      </c>
      <c r="B34" s="64"/>
      <c r="C34" s="64"/>
      <c r="D34" s="64"/>
      <c r="E34" s="64"/>
      <c r="F34" s="10" t="s">
        <v>3</v>
      </c>
      <c r="G34" s="7"/>
      <c r="H34" s="24">
        <f>+'Data Entry'!C10</f>
        <v>1.0007205187735171</v>
      </c>
    </row>
    <row r="35" spans="1:9" x14ac:dyDescent="0.25">
      <c r="A35" s="64" t="s">
        <v>154</v>
      </c>
      <c r="B35" s="64"/>
      <c r="C35" s="64"/>
      <c r="D35" s="64"/>
      <c r="E35" s="64"/>
      <c r="F35" s="11" t="s">
        <v>4</v>
      </c>
      <c r="H35" s="25"/>
    </row>
    <row r="36" spans="1:9" x14ac:dyDescent="0.25">
      <c r="A36" s="64" t="s">
        <v>155</v>
      </c>
      <c r="B36" s="64"/>
      <c r="C36" s="64"/>
      <c r="D36" s="64"/>
      <c r="E36" s="64"/>
      <c r="F36" s="11" t="s">
        <v>5</v>
      </c>
      <c r="H36" s="26">
        <f>+'Data Entry'!C12</f>
        <v>4.36E-2</v>
      </c>
    </row>
    <row r="37" spans="1:9" x14ac:dyDescent="0.25">
      <c r="A37" s="64" t="s">
        <v>156</v>
      </c>
      <c r="B37" s="64"/>
      <c r="C37" s="64"/>
      <c r="D37" s="64"/>
      <c r="E37" s="64"/>
      <c r="F37" s="10" t="s">
        <v>6</v>
      </c>
      <c r="G37" s="7"/>
      <c r="H37" s="27">
        <f>+'Data Entry'!C13</f>
        <v>3.9780000000000003E-2</v>
      </c>
      <c r="I37" s="236" t="s">
        <v>504</v>
      </c>
    </row>
    <row r="38" spans="1:9" x14ac:dyDescent="0.25">
      <c r="A38" s="64" t="s">
        <v>157</v>
      </c>
      <c r="B38" s="64"/>
      <c r="C38" s="64"/>
      <c r="D38" s="64"/>
      <c r="E38" s="64"/>
      <c r="F38" s="10" t="s">
        <v>7</v>
      </c>
      <c r="G38" s="7"/>
      <c r="H38" s="237">
        <f>+'Data Entry'!C14</f>
        <v>2.6519999999999998E-2</v>
      </c>
      <c r="I38" s="238">
        <f>+'Data Entry'!D14</f>
        <v>2.6759999999999999E-2</v>
      </c>
    </row>
    <row r="39" spans="1:9" x14ac:dyDescent="0.25">
      <c r="A39" s="64" t="s">
        <v>158</v>
      </c>
      <c r="B39" s="64"/>
      <c r="C39" s="64"/>
      <c r="D39" s="64"/>
      <c r="E39" s="64"/>
      <c r="F39" s="10" t="s">
        <v>8</v>
      </c>
      <c r="G39" s="7"/>
      <c r="H39" s="27">
        <f>+'Data Entry'!C15</f>
        <v>0.25419999999999998</v>
      </c>
    </row>
    <row r="40" spans="1:9" x14ac:dyDescent="0.25">
      <c r="A40" s="64" t="s">
        <v>159</v>
      </c>
      <c r="B40" s="64"/>
      <c r="C40" s="64"/>
      <c r="D40" s="64"/>
      <c r="E40" s="64"/>
      <c r="F40" s="10" t="s">
        <v>9</v>
      </c>
      <c r="G40" s="7"/>
      <c r="H40" s="27">
        <f>+'Data Entry'!C16</f>
        <v>5.9400000000000001E-2</v>
      </c>
    </row>
    <row r="41" spans="1:9" x14ac:dyDescent="0.25">
      <c r="A41" s="64" t="s">
        <v>160</v>
      </c>
      <c r="B41" s="64"/>
      <c r="C41" s="64"/>
      <c r="D41" s="64"/>
      <c r="E41" s="64"/>
      <c r="F41" s="10" t="s">
        <v>161</v>
      </c>
      <c r="G41" s="7"/>
      <c r="H41" s="29">
        <f>+'Data Entry'!C17</f>
        <v>97</v>
      </c>
    </row>
    <row r="42" spans="1:9" x14ac:dyDescent="0.25">
      <c r="A42" s="64" t="s">
        <v>162</v>
      </c>
      <c r="B42" s="64"/>
      <c r="C42" s="64"/>
      <c r="D42" s="64"/>
      <c r="E42" s="64"/>
      <c r="F42" s="10" t="s">
        <v>12</v>
      </c>
      <c r="G42" s="7"/>
      <c r="H42" s="29">
        <f>+'Data Entry'!C18</f>
        <v>97</v>
      </c>
    </row>
    <row r="43" spans="1:9" x14ac:dyDescent="0.25">
      <c r="A43" s="64" t="s">
        <v>163</v>
      </c>
      <c r="B43" s="64"/>
      <c r="C43" s="64"/>
      <c r="D43" s="64"/>
      <c r="E43" s="64"/>
      <c r="F43" s="10" t="s">
        <v>14</v>
      </c>
      <c r="G43" s="7"/>
      <c r="H43" s="27">
        <f>+'Data Entry'!C19</f>
        <v>5.4000000000000003E-3</v>
      </c>
    </row>
    <row r="44" spans="1:9" x14ac:dyDescent="0.25">
      <c r="A44" s="64" t="s">
        <v>164</v>
      </c>
      <c r="B44" s="64"/>
      <c r="C44" s="64"/>
      <c r="D44" s="64"/>
      <c r="E44" s="64"/>
      <c r="F44" s="10" t="s">
        <v>17</v>
      </c>
      <c r="G44" s="7"/>
      <c r="H44" s="27">
        <f>+'Data Entry'!C20</f>
        <v>3.09E-2</v>
      </c>
    </row>
    <row r="45" spans="1:9" x14ac:dyDescent="0.25">
      <c r="F45" s="67" t="s">
        <v>165</v>
      </c>
      <c r="G45" s="70"/>
      <c r="H45" s="68">
        <f>+'Data Entry'!D122</f>
        <v>5.65</v>
      </c>
    </row>
    <row r="46" spans="1:9" x14ac:dyDescent="0.25">
      <c r="F46" s="69" t="s">
        <v>166</v>
      </c>
      <c r="G46" s="7"/>
      <c r="H46" s="29">
        <f>+'Data Entry'!D20</f>
        <v>0</v>
      </c>
    </row>
    <row r="47" spans="1:9" x14ac:dyDescent="0.25">
      <c r="F47" s="319" t="s">
        <v>568</v>
      </c>
      <c r="G47" s="7"/>
      <c r="H47" s="68">
        <f>+'Data Entry'!D113</f>
        <v>3.77</v>
      </c>
    </row>
    <row r="48" spans="1:9" x14ac:dyDescent="0.25">
      <c r="F48" s="69" t="s">
        <v>167</v>
      </c>
      <c r="G48" s="7"/>
      <c r="H48" s="27">
        <f>+'Data Entry'!C21</f>
        <v>0.06</v>
      </c>
    </row>
    <row r="61" spans="6:8" x14ac:dyDescent="0.25">
      <c r="F61" s="277" t="s">
        <v>568</v>
      </c>
      <c r="H61" s="3">
        <f>+'Data Entry'!D113</f>
        <v>3.77</v>
      </c>
    </row>
  </sheetData>
  <phoneticPr fontId="28" type="noConversion"/>
  <pageMargins left="0.75" right="0.25" top="0.25" bottom="0.25" header="0.5" footer="0.22"/>
  <pageSetup scale="95" orientation="portrait" horizontalDpi="300" verticalDpi="300" r:id="rId1"/>
  <headerFooter alignWithMargins="0">
    <oddFooter>&amp;R&amp;A</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K50"/>
  <sheetViews>
    <sheetView zoomScaleNormal="100" workbookViewId="0">
      <selection activeCell="A2" sqref="A1:A2"/>
    </sheetView>
  </sheetViews>
  <sheetFormatPr defaultRowHeight="13.2" x14ac:dyDescent="0.25"/>
  <cols>
    <col min="6" max="9" width="10.6640625" customWidth="1"/>
    <col min="10" max="10" width="10" customWidth="1"/>
  </cols>
  <sheetData>
    <row r="1" spans="1:10" x14ac:dyDescent="0.25">
      <c r="A1" s="773" t="s">
        <v>950</v>
      </c>
    </row>
    <row r="2" spans="1:10" x14ac:dyDescent="0.25">
      <c r="A2" s="773" t="s">
        <v>923</v>
      </c>
    </row>
    <row r="4" spans="1:10" ht="17.399999999999999" x14ac:dyDescent="0.3">
      <c r="A4" s="2" t="str">
        <f>'70wOH5'!A4</f>
        <v>2016 Cost of Service</v>
      </c>
    </row>
    <row r="5" spans="1:10" ht="17.399999999999999" x14ac:dyDescent="0.3">
      <c r="A5" s="2" t="s">
        <v>189</v>
      </c>
    </row>
    <row r="6" spans="1:10" ht="17.399999999999999" x14ac:dyDescent="0.3">
      <c r="A6" s="2" t="s">
        <v>190</v>
      </c>
    </row>
    <row r="7" spans="1:10" x14ac:dyDescent="0.25">
      <c r="A7" s="4"/>
      <c r="B7" s="4"/>
      <c r="C7" s="4"/>
      <c r="D7" s="4"/>
      <c r="E7" s="4"/>
      <c r="F7" s="14"/>
      <c r="G7" s="14"/>
      <c r="H7" s="14"/>
    </row>
    <row r="8" spans="1:10" x14ac:dyDescent="0.25">
      <c r="A8" s="12" t="s">
        <v>191</v>
      </c>
      <c r="B8" s="12"/>
      <c r="C8" s="12"/>
      <c r="D8" s="12"/>
      <c r="E8" s="12"/>
      <c r="F8" s="14" t="s">
        <v>192</v>
      </c>
      <c r="G8" s="14" t="s">
        <v>193</v>
      </c>
      <c r="H8" s="14" t="s">
        <v>194</v>
      </c>
      <c r="I8" s="14" t="s">
        <v>195</v>
      </c>
      <c r="J8" s="14" t="s">
        <v>495</v>
      </c>
    </row>
    <row r="9" spans="1:10" x14ac:dyDescent="0.25">
      <c r="A9" s="12"/>
      <c r="B9" s="12"/>
      <c r="C9" s="12"/>
      <c r="D9" s="12"/>
      <c r="E9" s="12"/>
      <c r="F9" s="14"/>
      <c r="G9" s="14"/>
      <c r="H9" s="14"/>
      <c r="I9" s="14"/>
      <c r="J9" s="14"/>
    </row>
    <row r="10" spans="1:10" x14ac:dyDescent="0.25">
      <c r="A10" s="12" t="s">
        <v>135</v>
      </c>
      <c r="B10" s="13"/>
      <c r="C10" s="13"/>
      <c r="D10" s="13"/>
      <c r="E10" s="13"/>
      <c r="F10" s="18"/>
      <c r="G10" s="18"/>
      <c r="H10" s="18"/>
      <c r="I10" s="18"/>
      <c r="J10" s="18"/>
    </row>
    <row r="11" spans="1:10" x14ac:dyDescent="0.25">
      <c r="A11" s="13" t="s">
        <v>196</v>
      </c>
      <c r="B11" s="13"/>
      <c r="C11" s="13"/>
      <c r="D11" s="13"/>
      <c r="E11" s="13"/>
      <c r="F11" s="19">
        <f>+'30_6'!G34</f>
        <v>206.79112766</v>
      </c>
      <c r="G11" s="19">
        <f>+'35_5'!G34</f>
        <v>297.78715366</v>
      </c>
      <c r="H11" s="19">
        <f>+'40_5'!G34</f>
        <v>322.33559566000008</v>
      </c>
      <c r="I11" s="19">
        <f>+'45_4'!G34</f>
        <v>407.54432365999998</v>
      </c>
      <c r="J11" s="19">
        <f>'50_2'!$G$34</f>
        <v>583.48042165999993</v>
      </c>
    </row>
    <row r="12" spans="1:10" x14ac:dyDescent="0.25">
      <c r="A12" s="13" t="s">
        <v>428</v>
      </c>
      <c r="B12" s="13"/>
      <c r="C12" s="13"/>
      <c r="D12" s="13"/>
      <c r="E12" s="13"/>
      <c r="F12" s="19">
        <f>+F11*$H$49/2</f>
        <v>0.55833604468200004</v>
      </c>
      <c r="G12" s="19">
        <f>+G11*$H$49/2</f>
        <v>0.80402531488200002</v>
      </c>
      <c r="H12" s="19">
        <f>+H11*$H$49/2</f>
        <v>0.87030610828200028</v>
      </c>
      <c r="I12" s="19">
        <f>+I11*$H$49/2</f>
        <v>1.1003696738819999</v>
      </c>
      <c r="J12" s="19">
        <f>+J11*$H$49/2</f>
        <v>1.5753971384819998</v>
      </c>
    </row>
    <row r="13" spans="1:10" x14ac:dyDescent="0.25">
      <c r="A13" s="13" t="s">
        <v>197</v>
      </c>
      <c r="B13" s="13"/>
      <c r="C13" s="13"/>
      <c r="D13" s="13"/>
      <c r="E13" s="13"/>
      <c r="F13" s="325">
        <f>+'30_40L 68'!H25</f>
        <v>662.02499999999998</v>
      </c>
      <c r="G13" s="325">
        <f>+'30_40L 68'!H25</f>
        <v>662.02499999999998</v>
      </c>
      <c r="H13" s="325">
        <f>+'30_40L 68'!H25</f>
        <v>662.02499999999998</v>
      </c>
      <c r="I13" s="19">
        <f>+'30_40L 68'!H49</f>
        <v>691.12500000000011</v>
      </c>
      <c r="J13" s="19">
        <f>'30_40L 68'!$H$49</f>
        <v>691.12500000000011</v>
      </c>
    </row>
    <row r="14" spans="1:10" x14ac:dyDescent="0.25">
      <c r="A14" s="13" t="s">
        <v>427</v>
      </c>
      <c r="B14" s="13"/>
      <c r="C14" s="13"/>
      <c r="D14" s="13"/>
      <c r="E14" s="13"/>
      <c r="F14" s="326">
        <f>+F13*$H$50/2</f>
        <v>10.22828625</v>
      </c>
      <c r="G14" s="326">
        <f>+G13*$H$50/2</f>
        <v>10.22828625</v>
      </c>
      <c r="H14" s="326">
        <f>+H13*$H$50/2</f>
        <v>10.22828625</v>
      </c>
      <c r="I14" s="326">
        <f>+I13*$H$50/2</f>
        <v>10.677881250000002</v>
      </c>
      <c r="J14" s="326">
        <f>+J13*$H$50/2</f>
        <v>10.677881250000002</v>
      </c>
    </row>
    <row r="15" spans="1:10" x14ac:dyDescent="0.25">
      <c r="A15" s="13"/>
      <c r="B15" s="13"/>
      <c r="C15" s="13"/>
      <c r="D15" s="13"/>
      <c r="E15" s="13"/>
      <c r="F15" s="19">
        <f>SUM(F11:F14)</f>
        <v>879.60274995468194</v>
      </c>
      <c r="G15" s="19">
        <f>SUM(G11:G14)</f>
        <v>970.8444652248819</v>
      </c>
      <c r="H15" s="19">
        <f>SUM(H11:H14)</f>
        <v>995.45918801828213</v>
      </c>
      <c r="I15" s="19">
        <f>SUM(I11:I14)</f>
        <v>1110.447574583882</v>
      </c>
      <c r="J15" s="19">
        <f>SUM(J11:J14)</f>
        <v>1286.858700048482</v>
      </c>
    </row>
    <row r="16" spans="1:10" ht="13.8" thickBot="1" x14ac:dyDescent="0.3">
      <c r="A16" s="13" t="s">
        <v>424</v>
      </c>
      <c r="B16" s="13"/>
      <c r="C16" s="13"/>
      <c r="D16" s="13"/>
      <c r="E16" s="13"/>
      <c r="F16" s="19">
        <f>+F15*$H$45</f>
        <v>223.59501903848013</v>
      </c>
      <c r="G16" s="19">
        <f>+G15*$H$45</f>
        <v>246.78866306016496</v>
      </c>
      <c r="H16" s="19">
        <f>+H15*$H$45</f>
        <v>253.0457255942473</v>
      </c>
      <c r="I16" s="19">
        <f>+I15*$H$45</f>
        <v>282.27577345922276</v>
      </c>
      <c r="J16" s="19">
        <f>+J15*$H$45</f>
        <v>327.11948155232409</v>
      </c>
    </row>
    <row r="17" spans="1:11" ht="13.8" thickBot="1" x14ac:dyDescent="0.3">
      <c r="A17" s="12" t="s">
        <v>138</v>
      </c>
      <c r="B17" s="13"/>
      <c r="C17" s="13"/>
      <c r="D17" s="13"/>
      <c r="E17" s="13"/>
      <c r="F17" s="480">
        <f>SUM(F15:F16)</f>
        <v>1103.1977689931621</v>
      </c>
      <c r="G17" s="481">
        <f>SUM(G15:G16)</f>
        <v>1217.633128285047</v>
      </c>
      <c r="H17" s="481">
        <f>SUM(H15:H16)</f>
        <v>1248.5049136125294</v>
      </c>
      <c r="I17" s="481">
        <f>SUM(I15:I16)</f>
        <v>1392.7233480431048</v>
      </c>
      <c r="J17" s="482">
        <f>SUM(J15:J16)</f>
        <v>1613.978181600806</v>
      </c>
    </row>
    <row r="19" spans="1:11" x14ac:dyDescent="0.25">
      <c r="A19" s="13"/>
      <c r="B19" s="13"/>
      <c r="C19" s="13"/>
      <c r="D19" s="13"/>
      <c r="E19" s="13"/>
      <c r="F19" s="19"/>
      <c r="G19" s="19"/>
      <c r="H19" s="19"/>
      <c r="I19" s="19"/>
      <c r="J19" s="19"/>
    </row>
    <row r="20" spans="1:11" x14ac:dyDescent="0.25">
      <c r="A20" s="12" t="s">
        <v>198</v>
      </c>
      <c r="B20" s="13"/>
      <c r="C20" s="13"/>
      <c r="D20" s="13"/>
      <c r="E20" s="13"/>
      <c r="F20" s="19"/>
      <c r="G20" s="19"/>
      <c r="H20" s="19"/>
      <c r="I20" s="19"/>
      <c r="J20" s="19"/>
    </row>
    <row r="21" spans="1:11" x14ac:dyDescent="0.25">
      <c r="A21" s="13" t="s">
        <v>199</v>
      </c>
      <c r="B21" s="13"/>
      <c r="C21" s="13"/>
      <c r="D21" s="13"/>
      <c r="E21" s="13"/>
      <c r="F21" s="239">
        <f>ROUND(+$H$39*0.083333*F17*$H$40,2)</f>
        <v>14.04</v>
      </c>
      <c r="G21" s="239">
        <f>ROUND(+$H$39*0.083333*G17*$H$40,2)</f>
        <v>15.5</v>
      </c>
      <c r="H21" s="239">
        <f>ROUND(+$H$39*0.083333*H17*$H$40,2)</f>
        <v>15.89</v>
      </c>
      <c r="I21" s="239">
        <f>ROUND(+$H$39*0.083333*I17*$H$40,2)</f>
        <v>17.73</v>
      </c>
      <c r="J21" s="239">
        <f>ROUND(+$H$39*0.083333*J17*$H$40,2)</f>
        <v>20.55</v>
      </c>
      <c r="K21" s="329" t="s">
        <v>573</v>
      </c>
    </row>
    <row r="22" spans="1:11" x14ac:dyDescent="0.25">
      <c r="A22" s="321" t="s">
        <v>200</v>
      </c>
      <c r="B22" s="13"/>
      <c r="C22" s="13"/>
      <c r="D22" s="13"/>
      <c r="E22" s="13"/>
      <c r="F22" s="239">
        <f>ROUND(+$H$40*0.083333*F17*$H$42,2)</f>
        <v>4.01</v>
      </c>
      <c r="G22" s="239">
        <f>ROUND(+$H$40*0.083333*G17*$H$42,2)</f>
        <v>4.43</v>
      </c>
      <c r="H22" s="239">
        <f>ROUND(+$H$40*0.083333*H17*$H$42,2)</f>
        <v>4.54</v>
      </c>
      <c r="I22" s="239">
        <f>ROUND(+$H$40*0.083333*I17*$H$42,2)</f>
        <v>5.0599999999999996</v>
      </c>
      <c r="J22" s="239">
        <f>ROUND(+$H$40*0.083333*J17*$H$42,2)</f>
        <v>5.87</v>
      </c>
    </row>
    <row r="23" spans="1:11" x14ac:dyDescent="0.25">
      <c r="A23" s="12" t="s">
        <v>149</v>
      </c>
      <c r="B23" s="13"/>
      <c r="C23" s="13"/>
      <c r="D23" s="13"/>
      <c r="E23" s="13"/>
      <c r="F23" s="22">
        <f>SUM(F21:F22)</f>
        <v>18.049999999999997</v>
      </c>
      <c r="G23" s="22">
        <f>SUM(G21:G22)</f>
        <v>19.93</v>
      </c>
      <c r="H23" s="22">
        <f>SUM(H21:H22)</f>
        <v>20.43</v>
      </c>
      <c r="I23" s="22">
        <f>SUM(I21:I22)</f>
        <v>22.79</v>
      </c>
      <c r="J23" s="22">
        <f>SUM(J21:J22)</f>
        <v>26.42</v>
      </c>
    </row>
    <row r="24" spans="1:11" x14ac:dyDescent="0.25">
      <c r="A24" s="13"/>
      <c r="B24" s="13"/>
      <c r="C24" s="13"/>
      <c r="D24" s="13"/>
      <c r="E24" s="13"/>
      <c r="F24" s="19"/>
      <c r="G24" s="19"/>
      <c r="H24" s="19"/>
      <c r="I24" s="19"/>
      <c r="J24" s="19"/>
    </row>
    <row r="25" spans="1:11" x14ac:dyDescent="0.25">
      <c r="A25" s="12" t="s">
        <v>201</v>
      </c>
      <c r="B25" s="13"/>
      <c r="C25" s="13"/>
      <c r="D25" s="13"/>
      <c r="E25" s="13"/>
      <c r="F25" s="19"/>
      <c r="G25" s="19"/>
      <c r="H25" s="19"/>
      <c r="I25" s="19"/>
      <c r="J25" s="19"/>
    </row>
    <row r="26" spans="1:11" x14ac:dyDescent="0.25">
      <c r="A26" s="13" t="s">
        <v>199</v>
      </c>
      <c r="B26" s="13"/>
      <c r="C26" s="13"/>
      <c r="D26" s="13"/>
      <c r="E26" s="13"/>
      <c r="F26" s="239">
        <f>ROUND(+$H$39*0.083333*F17*$H$40,2)</f>
        <v>14.04</v>
      </c>
      <c r="G26" s="239">
        <f>ROUND(+$H$39*0.083333*G17*$H$40,2)</f>
        <v>15.5</v>
      </c>
      <c r="H26" s="239">
        <f>ROUND(+$H$39*0.083333*H17*$H$40,2)</f>
        <v>15.89</v>
      </c>
      <c r="I26" s="239">
        <f>ROUND(+$H$39*0.083333*I17*$H$40,2)</f>
        <v>17.73</v>
      </c>
      <c r="J26" s="239">
        <f>ROUND(+$H$39*0.083333*J17*$H$40,2)</f>
        <v>20.55</v>
      </c>
    </row>
    <row r="27" spans="1:11" x14ac:dyDescent="0.25">
      <c r="A27" s="13" t="s">
        <v>202</v>
      </c>
      <c r="B27" s="13"/>
      <c r="C27" s="13"/>
      <c r="D27" s="13"/>
      <c r="E27" s="13"/>
      <c r="F27" s="239">
        <f>ROUND(+$H$40*0.083333*F17*$H$43,2)</f>
        <v>3.66</v>
      </c>
      <c r="G27" s="239">
        <f>ROUND(+$H$40*0.083333*G17*$H$43,2)</f>
        <v>4.04</v>
      </c>
      <c r="H27" s="239">
        <f>ROUND(+$H$40*0.083333*H17*$H$43,2)</f>
        <v>4.1399999999999997</v>
      </c>
      <c r="I27" s="239">
        <f>ROUND(+$H$40*0.083333*I17*$H$43,2)</f>
        <v>4.62</v>
      </c>
      <c r="J27" s="239">
        <f>ROUND(+$H$40*0.083333*J17*$H$43,2)</f>
        <v>5.35</v>
      </c>
    </row>
    <row r="28" spans="1:11" x14ac:dyDescent="0.25">
      <c r="A28" s="12" t="s">
        <v>149</v>
      </c>
      <c r="B28" s="13"/>
      <c r="C28" s="13"/>
      <c r="D28" s="13"/>
      <c r="E28" s="13"/>
      <c r="F28" s="22">
        <f>SUM(F26:F27)</f>
        <v>17.7</v>
      </c>
      <c r="G28" s="22">
        <f>SUM(G26:G27)</f>
        <v>19.54</v>
      </c>
      <c r="H28" s="22">
        <f>SUM(H26:H27)</f>
        <v>20.03</v>
      </c>
      <c r="I28" s="22">
        <f>SUM(I26:I27)</f>
        <v>22.35</v>
      </c>
      <c r="J28" s="22">
        <f>SUM(J26:J27)</f>
        <v>25.9</v>
      </c>
    </row>
    <row r="30" spans="1:11" x14ac:dyDescent="0.25">
      <c r="A30" s="5"/>
      <c r="B30" s="5"/>
      <c r="C30" s="5"/>
      <c r="D30" s="5"/>
      <c r="E30" s="5"/>
    </row>
    <row r="31" spans="1:11" x14ac:dyDescent="0.25">
      <c r="A31" s="5" t="s">
        <v>203</v>
      </c>
      <c r="B31" s="5"/>
      <c r="C31" s="5"/>
      <c r="D31" s="5"/>
      <c r="E31" s="5"/>
    </row>
    <row r="32" spans="1:11" x14ac:dyDescent="0.25">
      <c r="A32" s="5" t="s">
        <v>204</v>
      </c>
      <c r="B32" s="5"/>
      <c r="C32" s="5"/>
      <c r="D32" s="5"/>
      <c r="E32" s="5"/>
    </row>
    <row r="33" spans="1:11" x14ac:dyDescent="0.25">
      <c r="A33" s="5" t="s">
        <v>205</v>
      </c>
      <c r="B33" s="5"/>
      <c r="C33" s="5"/>
      <c r="D33" s="5"/>
      <c r="E33" s="5"/>
    </row>
    <row r="34" spans="1:11" x14ac:dyDescent="0.25">
      <c r="A34" s="327" t="s">
        <v>206</v>
      </c>
      <c r="B34" s="327"/>
      <c r="C34" s="327"/>
      <c r="D34" s="327"/>
      <c r="E34" s="327"/>
      <c r="F34" s="285"/>
    </row>
    <row r="35" spans="1:11" x14ac:dyDescent="0.25">
      <c r="A35" s="5" t="s">
        <v>207</v>
      </c>
      <c r="B35" s="5"/>
      <c r="C35" s="5"/>
      <c r="D35" s="5"/>
      <c r="E35" s="5"/>
    </row>
    <row r="36" spans="1:11" x14ac:dyDescent="0.25">
      <c r="A36" s="5" t="s">
        <v>208</v>
      </c>
      <c r="B36" s="5"/>
      <c r="C36" s="5"/>
      <c r="D36" s="5"/>
      <c r="E36" s="5"/>
    </row>
    <row r="37" spans="1:11" x14ac:dyDescent="0.25">
      <c r="A37" s="5"/>
      <c r="B37" s="5"/>
      <c r="C37" s="5"/>
      <c r="D37" s="5"/>
      <c r="E37" s="5"/>
    </row>
    <row r="38" spans="1:11" x14ac:dyDescent="0.25">
      <c r="A38" s="5"/>
      <c r="B38" s="5"/>
      <c r="C38" s="5"/>
      <c r="D38" s="5"/>
      <c r="E38" s="5"/>
    </row>
    <row r="39" spans="1:11" x14ac:dyDescent="0.25">
      <c r="B39" s="5"/>
      <c r="C39" s="5"/>
      <c r="D39" s="5"/>
      <c r="E39" s="5"/>
      <c r="F39" s="9" t="s">
        <v>152</v>
      </c>
      <c r="G39" s="8"/>
      <c r="H39" s="23">
        <f>+'Data Entry'!E9</f>
        <v>0.15265000000000001</v>
      </c>
      <c r="I39" s="328" t="s">
        <v>572</v>
      </c>
      <c r="J39" s="285"/>
      <c r="K39" s="285"/>
    </row>
    <row r="40" spans="1:11" x14ac:dyDescent="0.25">
      <c r="B40" s="5"/>
      <c r="C40" s="5"/>
      <c r="D40" s="5"/>
      <c r="E40" s="5"/>
      <c r="F40" s="10" t="s">
        <v>3</v>
      </c>
      <c r="G40" s="7"/>
      <c r="H40" s="24">
        <f>+'Data Entry'!C10</f>
        <v>1.0007205187735171</v>
      </c>
    </row>
    <row r="41" spans="1:11" x14ac:dyDescent="0.25">
      <c r="B41" s="5"/>
      <c r="C41" s="5"/>
      <c r="D41" s="5"/>
      <c r="E41" s="5"/>
      <c r="F41" s="11" t="s">
        <v>4</v>
      </c>
      <c r="H41" s="25"/>
    </row>
    <row r="42" spans="1:11" x14ac:dyDescent="0.25">
      <c r="F42" s="11" t="s">
        <v>5</v>
      </c>
      <c r="H42" s="26">
        <f>+'Data Entry'!C12</f>
        <v>4.36E-2</v>
      </c>
    </row>
    <row r="43" spans="1:11" x14ac:dyDescent="0.25">
      <c r="F43" s="10" t="s">
        <v>6</v>
      </c>
      <c r="G43" s="7"/>
      <c r="H43" s="27">
        <f>+'Data Entry'!C13</f>
        <v>3.9780000000000003E-2</v>
      </c>
    </row>
    <row r="44" spans="1:11" x14ac:dyDescent="0.25">
      <c r="F44" s="10" t="s">
        <v>7</v>
      </c>
      <c r="G44" s="7"/>
      <c r="H44" s="28">
        <f>+'Data Entry'!C14</f>
        <v>2.6519999999999998E-2</v>
      </c>
    </row>
    <row r="45" spans="1:11" x14ac:dyDescent="0.25">
      <c r="F45" s="10" t="s">
        <v>8</v>
      </c>
      <c r="G45" s="7"/>
      <c r="H45" s="27">
        <f>+'Data Entry'!C15</f>
        <v>0.25419999999999998</v>
      </c>
    </row>
    <row r="46" spans="1:11" x14ac:dyDescent="0.25">
      <c r="F46" s="10" t="s">
        <v>9</v>
      </c>
      <c r="G46" s="7"/>
      <c r="H46" s="27">
        <f>+'Data Entry'!C16</f>
        <v>5.9400000000000001E-2</v>
      </c>
    </row>
    <row r="47" spans="1:11" x14ac:dyDescent="0.25">
      <c r="F47" s="10" t="s">
        <v>161</v>
      </c>
      <c r="G47" s="7"/>
      <c r="H47" s="29">
        <f>+'Data Entry'!C17</f>
        <v>97</v>
      </c>
    </row>
    <row r="48" spans="1:11" x14ac:dyDescent="0.25">
      <c r="F48" s="10" t="s">
        <v>12</v>
      </c>
      <c r="G48" s="7"/>
      <c r="H48" s="29">
        <f>+'Data Entry'!C18</f>
        <v>97</v>
      </c>
    </row>
    <row r="49" spans="6:8" x14ac:dyDescent="0.25">
      <c r="F49" s="10" t="s">
        <v>14</v>
      </c>
      <c r="G49" s="7"/>
      <c r="H49" s="27">
        <f>+'Data Entry'!C19</f>
        <v>5.4000000000000003E-3</v>
      </c>
    </row>
    <row r="50" spans="6:8" x14ac:dyDescent="0.25">
      <c r="F50" s="10" t="s">
        <v>17</v>
      </c>
      <c r="G50" s="7"/>
      <c r="H50" s="27">
        <f>+'Data Entry'!C20</f>
        <v>3.09E-2</v>
      </c>
    </row>
  </sheetData>
  <phoneticPr fontId="28" type="noConversion"/>
  <pageMargins left="0.75" right="0.25" top="0.25" bottom="0.25" header="0.5" footer="0.22"/>
  <pageSetup scale="67" orientation="portrait" horizontalDpi="300" verticalDpi="300" r:id="rId1"/>
  <headerFooter alignWithMargins="0">
    <oddFooter>&amp;R&amp;A</oddFooter>
  </headerFooter>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
  <sheetViews>
    <sheetView workbookViewId="0">
      <selection activeCell="A2" sqref="A1:A2"/>
    </sheetView>
  </sheetViews>
  <sheetFormatPr defaultRowHeight="13.2" x14ac:dyDescent="0.25"/>
  <cols>
    <col min="6" max="8" width="15.6640625" customWidth="1"/>
    <col min="9" max="10" width="9.6640625" customWidth="1"/>
  </cols>
  <sheetData>
    <row r="1" spans="1:10" x14ac:dyDescent="0.25">
      <c r="A1" s="773" t="s">
        <v>951</v>
      </c>
    </row>
    <row r="2" spans="1:10" x14ac:dyDescent="0.25">
      <c r="A2" s="773" t="s">
        <v>923</v>
      </c>
    </row>
    <row r="4" spans="1:10" ht="17.399999999999999" x14ac:dyDescent="0.3">
      <c r="A4" s="2" t="str">
        <f>'70wOH5'!A4</f>
        <v>2016 Cost of Service</v>
      </c>
    </row>
    <row r="5" spans="1:10" ht="17.399999999999999" x14ac:dyDescent="0.3">
      <c r="A5" s="2" t="s">
        <v>214</v>
      </c>
    </row>
    <row r="6" spans="1:10" ht="17.399999999999999" x14ac:dyDescent="0.3">
      <c r="A6" s="2" t="s">
        <v>209</v>
      </c>
    </row>
    <row r="7" spans="1:10" x14ac:dyDescent="0.25">
      <c r="A7" s="4"/>
      <c r="B7" s="4"/>
      <c r="C7" s="4"/>
      <c r="D7" s="4"/>
      <c r="E7" s="4"/>
      <c r="F7" s="14"/>
      <c r="G7" s="14"/>
      <c r="H7" s="14"/>
    </row>
    <row r="8" spans="1:10" x14ac:dyDescent="0.25">
      <c r="A8" s="12" t="s">
        <v>210</v>
      </c>
      <c r="B8" s="12"/>
      <c r="C8" s="12"/>
      <c r="D8" s="12"/>
      <c r="E8" s="12"/>
      <c r="F8" s="14" t="s">
        <v>217</v>
      </c>
      <c r="G8" s="14" t="s">
        <v>211</v>
      </c>
      <c r="H8" s="14" t="s">
        <v>212</v>
      </c>
      <c r="I8" s="30"/>
      <c r="J8" s="30"/>
    </row>
    <row r="9" spans="1:10" x14ac:dyDescent="0.25">
      <c r="A9" s="12"/>
      <c r="B9" s="12"/>
      <c r="C9" s="12"/>
      <c r="D9" s="12"/>
      <c r="E9" s="12"/>
      <c r="F9" s="14"/>
      <c r="G9" s="14"/>
      <c r="H9" s="14"/>
      <c r="I9" s="30"/>
      <c r="J9" s="30"/>
    </row>
    <row r="10" spans="1:10" x14ac:dyDescent="0.25">
      <c r="A10" s="12"/>
      <c r="B10" s="12"/>
      <c r="C10" s="12"/>
      <c r="D10" s="12"/>
      <c r="E10" s="12"/>
      <c r="F10" s="14"/>
      <c r="G10" s="14"/>
      <c r="H10" s="14"/>
      <c r="I10" s="30"/>
      <c r="J10" s="30"/>
    </row>
    <row r="11" spans="1:10" x14ac:dyDescent="0.25">
      <c r="A11" s="12" t="s">
        <v>135</v>
      </c>
      <c r="B11" s="13"/>
      <c r="C11" s="13"/>
      <c r="D11" s="13"/>
      <c r="E11" s="13"/>
      <c r="F11" s="18"/>
      <c r="G11" s="18"/>
      <c r="H11" s="18"/>
      <c r="I11" s="18"/>
      <c r="J11" s="18"/>
    </row>
    <row r="12" spans="1:10" x14ac:dyDescent="0.25">
      <c r="A12" s="13" t="s">
        <v>196</v>
      </c>
      <c r="B12" s="13"/>
      <c r="C12" s="13"/>
      <c r="D12" s="13"/>
      <c r="E12" s="13"/>
      <c r="F12" s="19">
        <f>+'20''O'!G26</f>
        <v>236.24657149999999</v>
      </c>
      <c r="G12" s="19">
        <f>+'60'!G26</f>
        <v>370.64173549999998</v>
      </c>
      <c r="H12" s="19">
        <f>+M35SU!G26</f>
        <v>407.64909950000003</v>
      </c>
      <c r="I12" s="19"/>
      <c r="J12" s="19"/>
    </row>
    <row r="13" spans="1:10" x14ac:dyDescent="0.25">
      <c r="A13" s="13" t="s">
        <v>428</v>
      </c>
      <c r="B13" s="13"/>
      <c r="C13" s="13"/>
      <c r="D13" s="13"/>
      <c r="E13" s="13"/>
      <c r="F13" s="19">
        <f>+F12*$H$49/2</f>
        <v>0.63786574304999999</v>
      </c>
      <c r="G13" s="19">
        <f>+G12*$H$49/2</f>
        <v>1.0007326858500001</v>
      </c>
      <c r="H13" s="19">
        <f>+H12*$H$49/2</f>
        <v>1.1006525686500002</v>
      </c>
      <c r="I13" s="19"/>
      <c r="J13" s="19"/>
    </row>
    <row r="14" spans="1:10" x14ac:dyDescent="0.25">
      <c r="A14" s="13" t="s">
        <v>197</v>
      </c>
      <c r="B14" s="13"/>
      <c r="C14" s="13"/>
      <c r="D14" s="13"/>
      <c r="E14" s="13"/>
      <c r="F14" s="19">
        <f>+'70'!H43</f>
        <v>332.71000000000004</v>
      </c>
      <c r="G14" s="19">
        <f>+'71'!H22</f>
        <v>332.71000000000004</v>
      </c>
      <c r="H14" s="19">
        <f>+'71'!H22</f>
        <v>332.71000000000004</v>
      </c>
      <c r="I14" s="19"/>
      <c r="J14" s="19"/>
    </row>
    <row r="15" spans="1:10" x14ac:dyDescent="0.25">
      <c r="A15" s="13" t="s">
        <v>427</v>
      </c>
      <c r="B15" s="13"/>
      <c r="C15" s="13"/>
      <c r="D15" s="13"/>
      <c r="E15" s="13"/>
      <c r="F15" s="232">
        <f>+F14*$H$50/2</f>
        <v>5.1403695000000003</v>
      </c>
      <c r="G15" s="232">
        <f>+G14*$H$50/2</f>
        <v>5.1403695000000003</v>
      </c>
      <c r="H15" s="232">
        <f>+H14*$H$50/2</f>
        <v>5.1403695000000003</v>
      </c>
      <c r="I15" s="19"/>
      <c r="J15" s="19"/>
    </row>
    <row r="16" spans="1:10" x14ac:dyDescent="0.25">
      <c r="A16" s="13"/>
      <c r="B16" s="13"/>
      <c r="C16" s="13"/>
      <c r="D16" s="13"/>
      <c r="E16" s="13"/>
      <c r="F16" s="19">
        <f>SUM(F12:F15)</f>
        <v>574.73480674305006</v>
      </c>
      <c r="G16" s="19">
        <f>SUM(G12:G15)</f>
        <v>709.49283768585008</v>
      </c>
      <c r="H16" s="19">
        <f>SUM(H12:H15)</f>
        <v>746.60012156865002</v>
      </c>
      <c r="I16" s="19"/>
      <c r="J16" s="19"/>
    </row>
    <row r="17" spans="1:10" x14ac:dyDescent="0.25">
      <c r="A17" s="13" t="s">
        <v>424</v>
      </c>
      <c r="B17" s="13"/>
      <c r="C17" s="13"/>
      <c r="D17" s="13"/>
      <c r="E17" s="13"/>
      <c r="F17" s="20">
        <f>+F16*$H$45</f>
        <v>146.0975878740833</v>
      </c>
      <c r="G17" s="20">
        <f>+G16*$H$45</f>
        <v>180.35307933974309</v>
      </c>
      <c r="H17" s="20">
        <f>+H16*$H$45</f>
        <v>189.78575090275083</v>
      </c>
      <c r="I17" s="19"/>
      <c r="J17" s="19"/>
    </row>
    <row r="18" spans="1:10" x14ac:dyDescent="0.25">
      <c r="A18" s="12" t="s">
        <v>138</v>
      </c>
      <c r="B18" s="13"/>
      <c r="C18" s="13"/>
      <c r="D18" s="13"/>
      <c r="E18" s="13"/>
      <c r="F18" s="21">
        <f>SUM(F16:F17)</f>
        <v>720.83239461713333</v>
      </c>
      <c r="G18" s="21">
        <f>SUM(G16:G17)</f>
        <v>889.84591702559317</v>
      </c>
      <c r="H18" s="21">
        <f>SUM(H16:H17)</f>
        <v>936.38587247140083</v>
      </c>
      <c r="I18" s="21"/>
      <c r="J18" s="21"/>
    </row>
    <row r="19" spans="1:10" x14ac:dyDescent="0.25">
      <c r="I19" s="33"/>
      <c r="J19" s="33"/>
    </row>
    <row r="20" spans="1:10" x14ac:dyDescent="0.25">
      <c r="A20" s="13"/>
      <c r="B20" s="13"/>
      <c r="C20" s="13"/>
      <c r="D20" s="13"/>
      <c r="E20" s="13"/>
      <c r="F20" s="19"/>
      <c r="G20" s="19"/>
      <c r="H20" s="19"/>
      <c r="I20" s="19"/>
      <c r="J20" s="19"/>
    </row>
    <row r="21" spans="1:10" x14ac:dyDescent="0.25">
      <c r="A21" s="12" t="s">
        <v>198</v>
      </c>
      <c r="B21" s="13"/>
      <c r="C21" s="13"/>
      <c r="D21" s="13"/>
      <c r="E21" s="13"/>
      <c r="F21" s="19"/>
      <c r="G21" s="19"/>
      <c r="H21" s="19"/>
      <c r="I21" s="19"/>
      <c r="J21" s="19"/>
    </row>
    <row r="22" spans="1:10" x14ac:dyDescent="0.25">
      <c r="A22" s="13" t="s">
        <v>199</v>
      </c>
      <c r="B22" s="13"/>
      <c r="C22" s="13"/>
      <c r="D22" s="13"/>
      <c r="E22" s="13"/>
      <c r="F22" s="239">
        <f>ROUND(+$H$39*0.083333*F18*$H$40,2)</f>
        <v>9.18</v>
      </c>
      <c r="G22" s="239">
        <f>ROUND(+$H$39*0.083333*G18*$H$40,2)</f>
        <v>11.33</v>
      </c>
      <c r="H22" s="239">
        <f>ROUND(+$H$39*0.083333*H18*$H$40,2)</f>
        <v>11.92</v>
      </c>
      <c r="I22" s="19"/>
      <c r="J22" s="19"/>
    </row>
    <row r="23" spans="1:10" x14ac:dyDescent="0.25">
      <c r="A23" s="13" t="s">
        <v>200</v>
      </c>
      <c r="B23" s="13"/>
      <c r="C23" s="13"/>
      <c r="D23" s="13"/>
      <c r="E23" s="13"/>
      <c r="F23" s="239">
        <f>ROUND(+$H$40*0.083333*F18*$H$42,2)</f>
        <v>2.62</v>
      </c>
      <c r="G23" s="239">
        <f>ROUND(+$H$40*0.083333*G18*$H$42,2)</f>
        <v>3.24</v>
      </c>
      <c r="H23" s="239">
        <f>ROUND(+$H$40*0.083333*H18*$H$42,2)</f>
        <v>3.4</v>
      </c>
      <c r="I23" s="19"/>
      <c r="J23" s="19"/>
    </row>
    <row r="24" spans="1:10" x14ac:dyDescent="0.25">
      <c r="A24" s="12" t="s">
        <v>149</v>
      </c>
      <c r="B24" s="13"/>
      <c r="C24" s="13"/>
      <c r="D24" s="13"/>
      <c r="E24" s="13"/>
      <c r="F24" s="22">
        <f>SUM(F22:F23)</f>
        <v>11.8</v>
      </c>
      <c r="G24" s="22">
        <f>SUM(G22:G23)</f>
        <v>14.57</v>
      </c>
      <c r="H24" s="22">
        <f>SUM(H22:H23)</f>
        <v>15.32</v>
      </c>
      <c r="I24" s="22"/>
      <c r="J24" s="22"/>
    </row>
    <row r="25" spans="1:10" x14ac:dyDescent="0.25">
      <c r="A25" s="13"/>
      <c r="B25" s="13"/>
      <c r="C25" s="13"/>
      <c r="D25" s="13"/>
      <c r="E25" s="13"/>
      <c r="F25" s="19"/>
      <c r="G25" s="19"/>
      <c r="H25" s="19"/>
      <c r="I25" s="19"/>
      <c r="J25" s="19"/>
    </row>
    <row r="26" spans="1:10" x14ac:dyDescent="0.25">
      <c r="A26" s="12" t="s">
        <v>201</v>
      </c>
      <c r="B26" s="13"/>
      <c r="C26" s="13"/>
      <c r="D26" s="13"/>
      <c r="E26" s="13"/>
      <c r="F26" s="19"/>
      <c r="G26" s="19"/>
      <c r="H26" s="19"/>
      <c r="I26" s="19"/>
      <c r="J26" s="19"/>
    </row>
    <row r="27" spans="1:10" x14ac:dyDescent="0.25">
      <c r="A27" s="13" t="s">
        <v>199</v>
      </c>
      <c r="B27" s="13"/>
      <c r="C27" s="13"/>
      <c r="D27" s="13"/>
      <c r="E27" s="13"/>
      <c r="F27" s="239">
        <f>ROUND(+$H$39*0.083333*F18*$H$40,2)</f>
        <v>9.18</v>
      </c>
      <c r="G27" s="239">
        <f>ROUND(+$H$39*0.083333*G18*$H$40,2)</f>
        <v>11.33</v>
      </c>
      <c r="H27" s="239">
        <f>ROUND(+$H$39*0.083333*H18*$H$40,2)</f>
        <v>11.92</v>
      </c>
      <c r="I27" s="19"/>
      <c r="J27" s="19"/>
    </row>
    <row r="28" spans="1:10" x14ac:dyDescent="0.25">
      <c r="A28" s="13" t="s">
        <v>202</v>
      </c>
      <c r="B28" s="13"/>
      <c r="C28" s="13"/>
      <c r="D28" s="13"/>
      <c r="E28" s="13"/>
      <c r="F28" s="239">
        <f>ROUND(+$H$40*0.083333*F18*$H$43,2)</f>
        <v>2.39</v>
      </c>
      <c r="G28" s="239">
        <f>ROUND(+$H$40*0.083333*G18*$H$43,2)</f>
        <v>2.95</v>
      </c>
      <c r="H28" s="239">
        <f>ROUND(+$H$40*0.083333*H18*$H$43,2)</f>
        <v>3.11</v>
      </c>
      <c r="I28" s="19"/>
      <c r="J28" s="19"/>
    </row>
    <row r="29" spans="1:10" x14ac:dyDescent="0.25">
      <c r="A29" s="12" t="s">
        <v>149</v>
      </c>
      <c r="B29" s="13"/>
      <c r="C29" s="13"/>
      <c r="D29" s="13"/>
      <c r="E29" s="13"/>
      <c r="F29" s="22">
        <f>SUM(F27:F28)</f>
        <v>11.57</v>
      </c>
      <c r="G29" s="22">
        <f>SUM(G27:G28)</f>
        <v>14.280000000000001</v>
      </c>
      <c r="H29" s="22">
        <f>SUM(H27:H28)</f>
        <v>15.03</v>
      </c>
      <c r="I29" s="22"/>
      <c r="J29" s="22"/>
    </row>
    <row r="30" spans="1:10" x14ac:dyDescent="0.25">
      <c r="I30" s="33"/>
      <c r="J30" s="33"/>
    </row>
    <row r="31" spans="1:10" x14ac:dyDescent="0.25">
      <c r="A31" s="5"/>
      <c r="B31" s="5"/>
      <c r="C31" s="5"/>
      <c r="D31" s="5"/>
      <c r="E31" s="5"/>
    </row>
    <row r="32" spans="1:10" x14ac:dyDescent="0.25">
      <c r="A32" s="5" t="s">
        <v>203</v>
      </c>
      <c r="B32" s="5"/>
      <c r="C32" s="5"/>
      <c r="D32" s="5"/>
      <c r="E32" s="5"/>
    </row>
    <row r="33" spans="1:8" x14ac:dyDescent="0.25">
      <c r="A33" s="5" t="s">
        <v>204</v>
      </c>
      <c r="B33" s="5"/>
      <c r="C33" s="5"/>
      <c r="D33" s="5"/>
      <c r="E33" s="5"/>
    </row>
    <row r="34" spans="1:8" x14ac:dyDescent="0.25">
      <c r="A34" s="5" t="s">
        <v>205</v>
      </c>
      <c r="B34" s="5"/>
      <c r="C34" s="5"/>
      <c r="D34" s="5"/>
      <c r="E34" s="5"/>
    </row>
    <row r="35" spans="1:8" x14ac:dyDescent="0.25">
      <c r="A35" s="5" t="s">
        <v>206</v>
      </c>
      <c r="B35" s="5"/>
      <c r="C35" s="5"/>
      <c r="D35" s="5"/>
      <c r="E35" s="5"/>
    </row>
    <row r="36" spans="1:8" x14ac:dyDescent="0.25">
      <c r="A36" s="5" t="s">
        <v>207</v>
      </c>
      <c r="B36" s="5"/>
      <c r="C36" s="5"/>
      <c r="D36" s="5"/>
      <c r="E36" s="5"/>
    </row>
    <row r="37" spans="1:8" x14ac:dyDescent="0.25">
      <c r="A37" s="5" t="s">
        <v>208</v>
      </c>
      <c r="B37" s="5"/>
      <c r="C37" s="5"/>
      <c r="D37" s="5"/>
      <c r="E37" s="5"/>
    </row>
    <row r="38" spans="1:8" x14ac:dyDescent="0.25">
      <c r="A38" s="5"/>
      <c r="B38" s="5"/>
      <c r="C38" s="5"/>
      <c r="D38" s="5"/>
      <c r="E38" s="5"/>
    </row>
    <row r="39" spans="1:8" x14ac:dyDescent="0.25">
      <c r="A39" s="5"/>
      <c r="B39" s="5"/>
      <c r="C39" s="5"/>
      <c r="D39" s="5"/>
      <c r="E39" s="5"/>
      <c r="F39" s="9" t="s">
        <v>152</v>
      </c>
      <c r="G39" s="8"/>
      <c r="H39" s="23">
        <f>+'Data Entry'!E9</f>
        <v>0.15265000000000001</v>
      </c>
    </row>
    <row r="40" spans="1:8" x14ac:dyDescent="0.25">
      <c r="B40" s="5"/>
      <c r="C40" s="5"/>
      <c r="D40" s="5"/>
      <c r="E40" s="5"/>
      <c r="F40" s="10" t="s">
        <v>3</v>
      </c>
      <c r="G40" s="7"/>
      <c r="H40" s="24">
        <f>+'Data Entry'!C10</f>
        <v>1.0007205187735171</v>
      </c>
    </row>
    <row r="41" spans="1:8" x14ac:dyDescent="0.25">
      <c r="B41" s="5"/>
      <c r="C41" s="5"/>
      <c r="D41" s="5"/>
      <c r="E41" s="5"/>
      <c r="F41" s="11" t="s">
        <v>4</v>
      </c>
      <c r="H41" s="25"/>
    </row>
    <row r="42" spans="1:8" x14ac:dyDescent="0.25">
      <c r="B42" s="5"/>
      <c r="C42" s="5"/>
      <c r="D42" s="5"/>
      <c r="E42" s="5"/>
      <c r="F42" s="11" t="s">
        <v>5</v>
      </c>
      <c r="H42" s="26">
        <f>+'Data Entry'!C12</f>
        <v>4.36E-2</v>
      </c>
    </row>
    <row r="43" spans="1:8" x14ac:dyDescent="0.25">
      <c r="F43" s="10" t="s">
        <v>6</v>
      </c>
      <c r="G43" s="7"/>
      <c r="H43" s="27">
        <f>+'Data Entry'!C13</f>
        <v>3.9780000000000003E-2</v>
      </c>
    </row>
    <row r="44" spans="1:8" x14ac:dyDescent="0.25">
      <c r="F44" s="10" t="s">
        <v>7</v>
      </c>
      <c r="G44" s="7"/>
      <c r="H44" s="28">
        <f>+'Data Entry'!C14</f>
        <v>2.6519999999999998E-2</v>
      </c>
    </row>
    <row r="45" spans="1:8" x14ac:dyDescent="0.25">
      <c r="F45" s="10" t="s">
        <v>8</v>
      </c>
      <c r="G45" s="7"/>
      <c r="H45" s="27">
        <f>+'Data Entry'!C15</f>
        <v>0.25419999999999998</v>
      </c>
    </row>
    <row r="46" spans="1:8" x14ac:dyDescent="0.25">
      <c r="F46" s="10" t="s">
        <v>9</v>
      </c>
      <c r="G46" s="7"/>
      <c r="H46" s="27">
        <f>+'Data Entry'!C16</f>
        <v>5.9400000000000001E-2</v>
      </c>
    </row>
    <row r="47" spans="1:8" x14ac:dyDescent="0.25">
      <c r="F47" s="10" t="s">
        <v>161</v>
      </c>
      <c r="G47" s="7"/>
      <c r="H47" s="29">
        <f>+'Data Entry'!C17</f>
        <v>97</v>
      </c>
    </row>
    <row r="48" spans="1:8" x14ac:dyDescent="0.25">
      <c r="F48" s="10" t="s">
        <v>12</v>
      </c>
      <c r="G48" s="7"/>
      <c r="H48" s="29">
        <f>+'Data Entry'!C18</f>
        <v>97</v>
      </c>
    </row>
    <row r="49" spans="6:8" x14ac:dyDescent="0.25">
      <c r="F49" s="10" t="s">
        <v>14</v>
      </c>
      <c r="G49" s="7"/>
      <c r="H49" s="27">
        <f>+'Data Entry'!C19</f>
        <v>5.4000000000000003E-3</v>
      </c>
    </row>
    <row r="50" spans="6:8" x14ac:dyDescent="0.25">
      <c r="F50" s="10" t="s">
        <v>17</v>
      </c>
      <c r="G50" s="7"/>
      <c r="H50" s="27">
        <f>+'Data Entry'!C20</f>
        <v>3.09E-2</v>
      </c>
    </row>
  </sheetData>
  <phoneticPr fontId="28" type="noConversion"/>
  <pageMargins left="0.75" right="0.25" top="0.25" bottom="0.25" header="0.5" footer="0.22"/>
  <pageSetup orientation="portrait" horizontalDpi="300" verticalDpi="300" r:id="rId1"/>
  <headerFooter alignWithMargins="0">
    <oddFooter>&amp;R&amp;A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3"/>
  <sheetViews>
    <sheetView workbookViewId="0">
      <selection activeCell="B2" sqref="B1:B2"/>
    </sheetView>
  </sheetViews>
  <sheetFormatPr defaultRowHeight="13.2" x14ac:dyDescent="0.25"/>
  <cols>
    <col min="1" max="1" width="0.5546875" customWidth="1"/>
    <col min="2" max="2" width="36.88671875" customWidth="1"/>
    <col min="3" max="3" width="62.33203125" style="251" bestFit="1" customWidth="1"/>
    <col min="4" max="4" width="40.88671875" style="251" customWidth="1"/>
    <col min="5" max="5" width="76" style="289" customWidth="1"/>
  </cols>
  <sheetData>
    <row r="1" spans="2:5" x14ac:dyDescent="0.25">
      <c r="B1" s="773" t="s">
        <v>925</v>
      </c>
    </row>
    <row r="2" spans="2:5" x14ac:dyDescent="0.25">
      <c r="B2" s="773" t="s">
        <v>923</v>
      </c>
    </row>
    <row r="4" spans="2:5" ht="15.6" x14ac:dyDescent="0.3">
      <c r="B4" s="266" t="s">
        <v>248</v>
      </c>
      <c r="C4" s="267" t="s">
        <v>515</v>
      </c>
      <c r="D4" s="267" t="s">
        <v>514</v>
      </c>
      <c r="E4" s="289" t="s">
        <v>565</v>
      </c>
    </row>
    <row r="5" spans="2:5" ht="26.4" x14ac:dyDescent="0.25">
      <c r="B5" s="280" t="s">
        <v>557</v>
      </c>
      <c r="C5" s="295" t="s">
        <v>792</v>
      </c>
      <c r="D5" s="289" t="s">
        <v>777</v>
      </c>
    </row>
    <row r="6" spans="2:5" ht="26.4" x14ac:dyDescent="0.25">
      <c r="B6" s="265" t="s">
        <v>521</v>
      </c>
      <c r="C6" s="315" t="s">
        <v>553</v>
      </c>
      <c r="D6" s="289" t="s">
        <v>778</v>
      </c>
    </row>
    <row r="7" spans="2:5" ht="26.4" x14ac:dyDescent="0.25">
      <c r="B7" s="265" t="s">
        <v>522</v>
      </c>
      <c r="C7" s="316" t="s">
        <v>563</v>
      </c>
      <c r="D7" s="289" t="s">
        <v>779</v>
      </c>
    </row>
    <row r="8" spans="2:5" ht="29.25" customHeight="1" x14ac:dyDescent="0.25">
      <c r="B8" s="265" t="s">
        <v>523</v>
      </c>
      <c r="C8" s="295" t="s">
        <v>793</v>
      </c>
      <c r="D8" s="289" t="s">
        <v>780</v>
      </c>
    </row>
    <row r="9" spans="2:5" ht="29.25" customHeight="1" x14ac:dyDescent="0.25">
      <c r="B9" s="265" t="s">
        <v>524</v>
      </c>
      <c r="C9" s="295" t="s">
        <v>793</v>
      </c>
      <c r="D9" s="289" t="s">
        <v>781</v>
      </c>
    </row>
    <row r="10" spans="2:5" ht="26.4" x14ac:dyDescent="0.25">
      <c r="B10" s="280" t="s">
        <v>558</v>
      </c>
      <c r="C10" s="295" t="s">
        <v>794</v>
      </c>
      <c r="D10" s="289" t="s">
        <v>782</v>
      </c>
    </row>
    <row r="11" spans="2:5" ht="26.4" x14ac:dyDescent="0.25">
      <c r="B11" s="253" t="s">
        <v>521</v>
      </c>
      <c r="C11" s="316" t="str">
        <f>C6</f>
        <v>The Pretax Cost of Capital as of 9/30/10 Is 9.265% (based on 13 month average with 10.00% after tax common equity cost rate)</v>
      </c>
      <c r="D11" s="289" t="s">
        <v>783</v>
      </c>
    </row>
    <row r="12" spans="2:5" ht="26.4" x14ac:dyDescent="0.25">
      <c r="B12" s="253" t="s">
        <v>522</v>
      </c>
      <c r="C12" s="295" t="s">
        <v>520</v>
      </c>
      <c r="D12" s="289" t="s">
        <v>784</v>
      </c>
    </row>
    <row r="13" spans="2:5" ht="27" customHeight="1" x14ac:dyDescent="0.25">
      <c r="B13" s="265" t="s">
        <v>523</v>
      </c>
      <c r="C13" s="295" t="s">
        <v>793</v>
      </c>
      <c r="D13" s="289" t="s">
        <v>785</v>
      </c>
    </row>
    <row r="14" spans="2:5" ht="27" customHeight="1" x14ac:dyDescent="0.25">
      <c r="B14" s="265" t="s">
        <v>524</v>
      </c>
      <c r="C14" s="295" t="s">
        <v>793</v>
      </c>
      <c r="D14" s="289" t="s">
        <v>786</v>
      </c>
    </row>
    <row r="15" spans="2:5" x14ac:dyDescent="0.25">
      <c r="B15" s="255" t="s">
        <v>3</v>
      </c>
      <c r="C15" s="295" t="s">
        <v>795</v>
      </c>
      <c r="D15" s="289" t="s">
        <v>519</v>
      </c>
    </row>
    <row r="16" spans="2:5" x14ac:dyDescent="0.25">
      <c r="B16" s="264" t="s">
        <v>4</v>
      </c>
      <c r="C16" s="292"/>
      <c r="D16" s="289"/>
    </row>
    <row r="17" spans="1:5" ht="26.4" x14ac:dyDescent="0.25">
      <c r="B17" s="255" t="s">
        <v>5</v>
      </c>
      <c r="C17" s="291" t="s">
        <v>551</v>
      </c>
      <c r="D17" s="289" t="s">
        <v>552</v>
      </c>
    </row>
    <row r="18" spans="1:5" ht="26.4" x14ac:dyDescent="0.25">
      <c r="B18" s="255" t="s">
        <v>6</v>
      </c>
      <c r="C18" s="291" t="s">
        <v>551</v>
      </c>
      <c r="D18" s="289" t="s">
        <v>552</v>
      </c>
    </row>
    <row r="19" spans="1:5" ht="14.4" x14ac:dyDescent="0.3">
      <c r="B19" s="281" t="s">
        <v>512</v>
      </c>
      <c r="C19" s="433" t="s">
        <v>799</v>
      </c>
      <c r="D19" s="295" t="s">
        <v>584</v>
      </c>
    </row>
    <row r="20" spans="1:5" ht="14.4" x14ac:dyDescent="0.3">
      <c r="B20" s="255" t="s">
        <v>513</v>
      </c>
      <c r="C20" s="433" t="s">
        <v>798</v>
      </c>
      <c r="D20" s="295" t="s">
        <v>584</v>
      </c>
    </row>
    <row r="21" spans="1:5" ht="26.4" x14ac:dyDescent="0.25">
      <c r="B21" s="255" t="s">
        <v>8</v>
      </c>
      <c r="C21" s="295" t="s">
        <v>801</v>
      </c>
      <c r="D21" s="287" t="s">
        <v>800</v>
      </c>
    </row>
    <row r="22" spans="1:5" x14ac:dyDescent="0.25">
      <c r="B22" s="255" t="s">
        <v>9</v>
      </c>
      <c r="C22" s="294" t="s">
        <v>811</v>
      </c>
      <c r="D22" s="289" t="s">
        <v>555</v>
      </c>
      <c r="E22" s="331">
        <v>8.1199999999999994E-2</v>
      </c>
    </row>
    <row r="23" spans="1:5" ht="52.8" x14ac:dyDescent="0.25">
      <c r="B23" s="281" t="s">
        <v>559</v>
      </c>
      <c r="C23" s="294" t="s">
        <v>791</v>
      </c>
      <c r="D23" s="289" t="s">
        <v>812</v>
      </c>
      <c r="E23" s="289" t="s">
        <v>564</v>
      </c>
    </row>
    <row r="24" spans="1:5" ht="52.8" x14ac:dyDescent="0.25">
      <c r="B24" s="281" t="s">
        <v>560</v>
      </c>
      <c r="C24" s="294" t="s">
        <v>791</v>
      </c>
      <c r="D24" s="289" t="s">
        <v>812</v>
      </c>
      <c r="E24" s="289" t="s">
        <v>564</v>
      </c>
    </row>
    <row r="25" spans="1:5" x14ac:dyDescent="0.25">
      <c r="B25" s="254" t="s">
        <v>12</v>
      </c>
      <c r="C25" s="288" t="s">
        <v>516</v>
      </c>
      <c r="D25" s="289" t="s">
        <v>812</v>
      </c>
    </row>
    <row r="26" spans="1:5" ht="26.4" x14ac:dyDescent="0.25">
      <c r="B26" s="255" t="s">
        <v>14</v>
      </c>
      <c r="C26" s="317" t="s">
        <v>789</v>
      </c>
      <c r="D26" s="295" t="s">
        <v>787</v>
      </c>
    </row>
    <row r="27" spans="1:5" ht="26.4" x14ac:dyDescent="0.25">
      <c r="B27" s="255" t="s">
        <v>17</v>
      </c>
      <c r="C27" s="317" t="s">
        <v>790</v>
      </c>
      <c r="D27" s="295" t="s">
        <v>787</v>
      </c>
    </row>
    <row r="28" spans="1:5" x14ac:dyDescent="0.25">
      <c r="B28" s="255" t="s">
        <v>18</v>
      </c>
      <c r="C28" s="313" t="s">
        <v>518</v>
      </c>
      <c r="D28" s="492" t="s">
        <v>584</v>
      </c>
      <c r="E28" s="289" t="s">
        <v>566</v>
      </c>
    </row>
    <row r="29" spans="1:5" ht="26.4" x14ac:dyDescent="0.25">
      <c r="B29" s="281" t="s">
        <v>526</v>
      </c>
      <c r="C29" s="294" t="s">
        <v>517</v>
      </c>
      <c r="D29" s="295"/>
    </row>
    <row r="30" spans="1:5" ht="26.4" x14ac:dyDescent="0.25">
      <c r="B30" s="255" t="s">
        <v>525</v>
      </c>
      <c r="C30" s="313" t="s">
        <v>517</v>
      </c>
      <c r="D30" s="295"/>
    </row>
    <row r="31" spans="1:5" s="293" customFormat="1" x14ac:dyDescent="0.25">
      <c r="B31" s="330" t="s">
        <v>574</v>
      </c>
      <c r="C31" s="294" t="s">
        <v>775</v>
      </c>
      <c r="D31" s="295" t="s">
        <v>788</v>
      </c>
      <c r="E31" s="289"/>
    </row>
    <row r="32" spans="1:5" x14ac:dyDescent="0.25">
      <c r="A32" s="63"/>
    </row>
    <row r="33" spans="1:1" x14ac:dyDescent="0.25">
      <c r="A33" s="63"/>
    </row>
    <row r="34" spans="1:1" x14ac:dyDescent="0.25">
      <c r="A34" s="63"/>
    </row>
    <row r="35" spans="1:1" x14ac:dyDescent="0.25">
      <c r="A35" s="63"/>
    </row>
    <row r="36" spans="1:1" x14ac:dyDescent="0.25">
      <c r="A36" s="63"/>
    </row>
    <row r="37" spans="1:1" x14ac:dyDescent="0.25">
      <c r="A37" s="63"/>
    </row>
    <row r="38" spans="1:1" x14ac:dyDescent="0.25">
      <c r="A38" s="63"/>
    </row>
    <row r="39" spans="1:1" x14ac:dyDescent="0.25">
      <c r="A39" s="63"/>
    </row>
    <row r="40" spans="1:1" x14ac:dyDescent="0.25">
      <c r="A40" s="63"/>
    </row>
    <row r="41" spans="1:1" x14ac:dyDescent="0.25">
      <c r="A41" s="63"/>
    </row>
    <row r="42" spans="1:1" x14ac:dyDescent="0.25">
      <c r="A42" s="63"/>
    </row>
    <row r="43" spans="1:1" x14ac:dyDescent="0.25">
      <c r="A43" s="63"/>
    </row>
    <row r="44" spans="1:1" x14ac:dyDescent="0.25">
      <c r="A44" s="63"/>
    </row>
    <row r="45" spans="1:1" x14ac:dyDescent="0.25">
      <c r="A45" s="63"/>
    </row>
    <row r="46" spans="1:1" x14ac:dyDescent="0.25">
      <c r="A46" s="63"/>
    </row>
    <row r="47" spans="1:1" x14ac:dyDescent="0.25">
      <c r="A47" s="63"/>
    </row>
    <row r="48" spans="1:1" x14ac:dyDescent="0.25">
      <c r="A48" s="63"/>
    </row>
    <row r="49" spans="1:1" x14ac:dyDescent="0.25">
      <c r="A49" s="63"/>
    </row>
    <row r="50" spans="1:1" x14ac:dyDescent="0.25">
      <c r="A50" s="63"/>
    </row>
    <row r="51" spans="1:1" x14ac:dyDescent="0.25">
      <c r="A51" s="63"/>
    </row>
    <row r="52" spans="1:1" x14ac:dyDescent="0.25">
      <c r="A52" s="63"/>
    </row>
    <row r="53" spans="1:1" x14ac:dyDescent="0.25">
      <c r="A53" s="63"/>
    </row>
    <row r="54" spans="1:1" x14ac:dyDescent="0.25">
      <c r="A54" s="63"/>
    </row>
    <row r="55" spans="1:1" x14ac:dyDescent="0.25">
      <c r="A55" s="63"/>
    </row>
    <row r="56" spans="1:1" x14ac:dyDescent="0.25">
      <c r="A56" s="63"/>
    </row>
    <row r="57" spans="1:1" x14ac:dyDescent="0.25">
      <c r="A57" s="63"/>
    </row>
    <row r="58" spans="1:1" x14ac:dyDescent="0.25">
      <c r="A58" s="63"/>
    </row>
    <row r="59" spans="1:1" x14ac:dyDescent="0.25">
      <c r="A59" s="63"/>
    </row>
    <row r="60" spans="1:1" x14ac:dyDescent="0.25">
      <c r="A60" s="63"/>
    </row>
    <row r="61" spans="1:1" x14ac:dyDescent="0.25">
      <c r="A61" s="63"/>
    </row>
    <row r="62" spans="1:1" x14ac:dyDescent="0.25">
      <c r="A62" s="63"/>
    </row>
    <row r="63" spans="1:1" x14ac:dyDescent="0.25">
      <c r="A63" s="63"/>
    </row>
    <row r="64" spans="1:1" x14ac:dyDescent="0.25">
      <c r="A64" s="63"/>
    </row>
    <row r="65" spans="1:1" x14ac:dyDescent="0.25">
      <c r="A65" s="63"/>
    </row>
    <row r="66" spans="1:1" x14ac:dyDescent="0.25">
      <c r="A66" s="63"/>
    </row>
    <row r="67" spans="1:1" x14ac:dyDescent="0.25">
      <c r="A67" s="63"/>
    </row>
    <row r="68" spans="1:1" x14ac:dyDescent="0.25">
      <c r="A68" s="63"/>
    </row>
    <row r="69" spans="1:1" x14ac:dyDescent="0.25">
      <c r="A69" s="63"/>
    </row>
    <row r="70" spans="1:1" x14ac:dyDescent="0.25">
      <c r="A70" s="63"/>
    </row>
    <row r="71" spans="1:1" x14ac:dyDescent="0.25">
      <c r="A71" s="63"/>
    </row>
    <row r="72" spans="1:1" x14ac:dyDescent="0.25">
      <c r="A72" s="63"/>
    </row>
    <row r="73" spans="1:1" x14ac:dyDescent="0.25">
      <c r="A73" s="63"/>
    </row>
    <row r="74" spans="1:1" x14ac:dyDescent="0.25">
      <c r="A74" s="63"/>
    </row>
    <row r="75" spans="1:1" x14ac:dyDescent="0.25">
      <c r="A75" s="63"/>
    </row>
    <row r="76" spans="1:1" x14ac:dyDescent="0.25">
      <c r="A76" s="63"/>
    </row>
    <row r="77" spans="1:1" x14ac:dyDescent="0.25">
      <c r="A77" s="63"/>
    </row>
    <row r="78" spans="1:1" x14ac:dyDescent="0.25">
      <c r="A78" s="63"/>
    </row>
    <row r="79" spans="1:1" x14ac:dyDescent="0.25">
      <c r="A79" s="63"/>
    </row>
    <row r="80" spans="1:1" x14ac:dyDescent="0.25">
      <c r="A80" s="63"/>
    </row>
    <row r="81" spans="1:1" x14ac:dyDescent="0.25">
      <c r="A81" s="63"/>
    </row>
    <row r="82" spans="1:1" x14ac:dyDescent="0.25">
      <c r="A82" s="63"/>
    </row>
    <row r="83" spans="1:1" x14ac:dyDescent="0.25">
      <c r="A83" s="63"/>
    </row>
    <row r="84" spans="1:1" x14ac:dyDescent="0.25">
      <c r="A84" s="63"/>
    </row>
    <row r="85" spans="1:1" x14ac:dyDescent="0.25">
      <c r="A85" s="63"/>
    </row>
    <row r="86" spans="1:1" x14ac:dyDescent="0.25">
      <c r="A86" s="63"/>
    </row>
    <row r="87" spans="1:1" x14ac:dyDescent="0.25">
      <c r="A87" s="63"/>
    </row>
    <row r="88" spans="1:1" x14ac:dyDescent="0.25">
      <c r="A88" s="63"/>
    </row>
    <row r="89" spans="1:1" x14ac:dyDescent="0.25">
      <c r="A89" s="63"/>
    </row>
    <row r="90" spans="1:1" x14ac:dyDescent="0.25">
      <c r="A90" s="63"/>
    </row>
    <row r="91" spans="1:1" x14ac:dyDescent="0.25">
      <c r="A91" s="63"/>
    </row>
    <row r="92" spans="1:1" x14ac:dyDescent="0.25">
      <c r="A92" s="63"/>
    </row>
    <row r="93" spans="1:1" x14ac:dyDescent="0.25">
      <c r="A93" s="63"/>
    </row>
    <row r="94" spans="1:1" x14ac:dyDescent="0.25">
      <c r="A94" s="63"/>
    </row>
    <row r="95" spans="1:1" x14ac:dyDescent="0.25">
      <c r="A95" s="63"/>
    </row>
    <row r="96" spans="1:1" x14ac:dyDescent="0.25">
      <c r="A96" s="63"/>
    </row>
    <row r="97" spans="1:1" x14ac:dyDescent="0.25">
      <c r="A97" s="63"/>
    </row>
    <row r="98" spans="1:1" x14ac:dyDescent="0.25">
      <c r="A98" s="63"/>
    </row>
    <row r="99" spans="1:1" x14ac:dyDescent="0.25">
      <c r="A99" s="63"/>
    </row>
    <row r="100" spans="1:1" x14ac:dyDescent="0.25">
      <c r="A100" s="63"/>
    </row>
    <row r="101" spans="1:1" x14ac:dyDescent="0.25">
      <c r="A101" s="63"/>
    </row>
    <row r="102" spans="1:1" x14ac:dyDescent="0.25">
      <c r="A102" s="63"/>
    </row>
    <row r="103" spans="1:1" x14ac:dyDescent="0.25">
      <c r="A103" s="63"/>
    </row>
    <row r="104" spans="1:1" x14ac:dyDescent="0.25">
      <c r="A104" s="63"/>
    </row>
    <row r="105" spans="1:1" x14ac:dyDescent="0.25">
      <c r="A105" s="63"/>
    </row>
    <row r="106" spans="1:1" x14ac:dyDescent="0.25">
      <c r="A106" s="63"/>
    </row>
    <row r="107" spans="1:1" x14ac:dyDescent="0.25">
      <c r="A107" s="63"/>
    </row>
    <row r="108" spans="1:1" x14ac:dyDescent="0.25">
      <c r="A108" s="63"/>
    </row>
    <row r="109" spans="1:1" x14ac:dyDescent="0.25">
      <c r="A109" s="63"/>
    </row>
    <row r="110" spans="1:1" x14ac:dyDescent="0.25">
      <c r="A110" s="63"/>
    </row>
    <row r="111" spans="1:1" x14ac:dyDescent="0.25">
      <c r="A111" s="63"/>
    </row>
    <row r="112" spans="1:1" x14ac:dyDescent="0.25">
      <c r="A112" s="63"/>
    </row>
    <row r="113" spans="1:1" x14ac:dyDescent="0.25">
      <c r="A113" s="63"/>
    </row>
    <row r="114" spans="1:1" x14ac:dyDescent="0.25">
      <c r="A114" s="63"/>
    </row>
    <row r="115" spans="1:1" x14ac:dyDescent="0.25">
      <c r="A115" s="63"/>
    </row>
    <row r="116" spans="1:1" x14ac:dyDescent="0.25">
      <c r="A116" s="63"/>
    </row>
    <row r="117" spans="1:1" x14ac:dyDescent="0.25">
      <c r="A117" s="63"/>
    </row>
    <row r="118" spans="1:1" x14ac:dyDescent="0.25">
      <c r="A118" s="63"/>
    </row>
    <row r="119" spans="1:1" x14ac:dyDescent="0.25">
      <c r="A119" s="63"/>
    </row>
    <row r="120" spans="1:1" x14ac:dyDescent="0.25">
      <c r="A120" s="63"/>
    </row>
    <row r="121" spans="1:1" x14ac:dyDescent="0.25">
      <c r="A121" s="63"/>
    </row>
    <row r="122" spans="1:1" x14ac:dyDescent="0.25">
      <c r="A122" s="63"/>
    </row>
    <row r="123" spans="1:1" x14ac:dyDescent="0.25">
      <c r="A123" s="63"/>
    </row>
    <row r="124" spans="1:1" x14ac:dyDescent="0.25">
      <c r="A124" s="63"/>
    </row>
    <row r="125" spans="1:1" x14ac:dyDescent="0.25">
      <c r="A125" s="63"/>
    </row>
    <row r="126" spans="1:1" x14ac:dyDescent="0.25">
      <c r="A126" s="63"/>
    </row>
    <row r="127" spans="1:1" x14ac:dyDescent="0.25">
      <c r="A127" s="63"/>
    </row>
    <row r="128" spans="1:1" x14ac:dyDescent="0.25">
      <c r="A128" s="63"/>
    </row>
    <row r="129" spans="1:1" x14ac:dyDescent="0.25">
      <c r="A129" s="63"/>
    </row>
    <row r="130" spans="1:1" x14ac:dyDescent="0.25">
      <c r="A130" s="63"/>
    </row>
    <row r="131" spans="1:1" x14ac:dyDescent="0.25">
      <c r="A131" s="63"/>
    </row>
    <row r="132" spans="1:1" x14ac:dyDescent="0.25">
      <c r="A132" s="63"/>
    </row>
    <row r="133" spans="1:1" x14ac:dyDescent="0.25">
      <c r="A133" s="63"/>
    </row>
    <row r="134" spans="1:1" x14ac:dyDescent="0.25">
      <c r="A134" s="63"/>
    </row>
    <row r="135" spans="1:1" x14ac:dyDescent="0.25">
      <c r="A135" s="63"/>
    </row>
    <row r="136" spans="1:1" x14ac:dyDescent="0.25">
      <c r="A136" s="63"/>
    </row>
    <row r="137" spans="1:1" x14ac:dyDescent="0.25">
      <c r="A137" s="63"/>
    </row>
    <row r="138" spans="1:1" x14ac:dyDescent="0.25">
      <c r="A138" s="63"/>
    </row>
    <row r="139" spans="1:1" x14ac:dyDescent="0.25">
      <c r="A139" s="63"/>
    </row>
    <row r="140" spans="1:1" x14ac:dyDescent="0.25">
      <c r="A140" s="63"/>
    </row>
    <row r="141" spans="1:1" x14ac:dyDescent="0.25">
      <c r="A141" s="63"/>
    </row>
    <row r="142" spans="1:1" x14ac:dyDescent="0.25">
      <c r="A142" s="63"/>
    </row>
    <row r="143" spans="1:1" x14ac:dyDescent="0.25">
      <c r="A143" s="63"/>
    </row>
    <row r="144" spans="1:1" x14ac:dyDescent="0.25">
      <c r="A144" s="63"/>
    </row>
    <row r="145" spans="1:1" x14ac:dyDescent="0.25">
      <c r="A145" s="63"/>
    </row>
    <row r="146" spans="1:1" x14ac:dyDescent="0.25">
      <c r="A146" s="63"/>
    </row>
    <row r="147" spans="1:1" x14ac:dyDescent="0.25">
      <c r="A147" s="63"/>
    </row>
    <row r="148" spans="1:1" x14ac:dyDescent="0.25">
      <c r="A148" s="63"/>
    </row>
    <row r="149" spans="1:1" x14ac:dyDescent="0.25">
      <c r="A149" s="63"/>
    </row>
    <row r="150" spans="1:1" x14ac:dyDescent="0.25">
      <c r="A150" s="63"/>
    </row>
    <row r="151" spans="1:1" x14ac:dyDescent="0.25">
      <c r="A151" s="63"/>
    </row>
    <row r="152" spans="1:1" x14ac:dyDescent="0.25">
      <c r="A152" s="63"/>
    </row>
    <row r="153" spans="1:1" x14ac:dyDescent="0.25">
      <c r="A153" s="63"/>
    </row>
    <row r="154" spans="1:1" x14ac:dyDescent="0.25">
      <c r="A154" s="63"/>
    </row>
    <row r="155" spans="1:1" x14ac:dyDescent="0.25">
      <c r="A155" s="63"/>
    </row>
    <row r="156" spans="1:1" x14ac:dyDescent="0.25">
      <c r="A156" s="63"/>
    </row>
    <row r="157" spans="1:1" x14ac:dyDescent="0.25">
      <c r="A157" s="63"/>
    </row>
    <row r="158" spans="1:1" x14ac:dyDescent="0.25">
      <c r="A158" s="63"/>
    </row>
    <row r="159" spans="1:1" x14ac:dyDescent="0.25">
      <c r="A159" s="63"/>
    </row>
    <row r="160" spans="1:1" x14ac:dyDescent="0.25">
      <c r="A160" s="63"/>
    </row>
    <row r="161" spans="1:1" x14ac:dyDescent="0.25">
      <c r="A161" s="63"/>
    </row>
    <row r="162" spans="1:1" x14ac:dyDescent="0.25">
      <c r="A162" s="63"/>
    </row>
    <row r="163" spans="1:1" x14ac:dyDescent="0.25">
      <c r="A163" s="63"/>
    </row>
    <row r="164" spans="1:1" x14ac:dyDescent="0.25">
      <c r="A164" s="63"/>
    </row>
    <row r="165" spans="1:1" x14ac:dyDescent="0.25">
      <c r="A165" s="63"/>
    </row>
    <row r="166" spans="1:1" x14ac:dyDescent="0.25">
      <c r="A166" s="63"/>
    </row>
    <row r="167" spans="1:1" x14ac:dyDescent="0.25">
      <c r="A167" s="63"/>
    </row>
    <row r="168" spans="1:1" x14ac:dyDescent="0.25">
      <c r="A168" s="63"/>
    </row>
    <row r="169" spans="1:1" x14ac:dyDescent="0.25">
      <c r="A169" s="63"/>
    </row>
    <row r="170" spans="1:1" x14ac:dyDescent="0.25">
      <c r="A170" s="63"/>
    </row>
    <row r="171" spans="1:1" ht="12.75" x14ac:dyDescent="0.2">
      <c r="A171" s="63"/>
    </row>
    <row r="172" spans="1:1" ht="12.75" x14ac:dyDescent="0.2">
      <c r="A172" s="63"/>
    </row>
    <row r="173" spans="1:1" x14ac:dyDescent="0.25">
      <c r="A173" s="63"/>
    </row>
  </sheetData>
  <phoneticPr fontId="28" type="noConversion"/>
  <pageMargins left="0.35" right="0.25" top="0.99" bottom="0.25" header="0.73" footer="0.5"/>
  <pageSetup scale="76" orientation="landscape"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
  <sheetViews>
    <sheetView zoomScaleNormal="100" workbookViewId="0">
      <selection activeCell="A2" sqref="A1:A2"/>
    </sheetView>
  </sheetViews>
  <sheetFormatPr defaultRowHeight="13.2" x14ac:dyDescent="0.25"/>
  <cols>
    <col min="6" max="6" width="12.109375" customWidth="1"/>
    <col min="7" max="7" width="11.5546875" customWidth="1"/>
    <col min="8" max="8" width="11.33203125" customWidth="1"/>
    <col min="9" max="10" width="10" customWidth="1"/>
  </cols>
  <sheetData>
    <row r="1" spans="1:10" x14ac:dyDescent="0.25">
      <c r="A1" s="773" t="s">
        <v>952</v>
      </c>
    </row>
    <row r="2" spans="1:10" x14ac:dyDescent="0.25">
      <c r="A2" s="773" t="s">
        <v>923</v>
      </c>
    </row>
    <row r="4" spans="1:10" ht="17.399999999999999" x14ac:dyDescent="0.3">
      <c r="A4" s="2" t="str">
        <f>'70wOH5'!A4</f>
        <v>2016 Cost of Service</v>
      </c>
    </row>
    <row r="5" spans="1:10" ht="17.399999999999999" x14ac:dyDescent="0.3">
      <c r="A5" s="2" t="s">
        <v>189</v>
      </c>
    </row>
    <row r="6" spans="1:10" ht="17.399999999999999" x14ac:dyDescent="0.3">
      <c r="A6" s="2" t="s">
        <v>209</v>
      </c>
    </row>
    <row r="7" spans="1:10" x14ac:dyDescent="0.25">
      <c r="A7" s="4"/>
      <c r="B7" s="4"/>
      <c r="C7" s="4"/>
      <c r="D7" s="4"/>
      <c r="E7" s="4"/>
      <c r="F7" s="14"/>
      <c r="G7" s="14"/>
      <c r="H7" s="14"/>
    </row>
    <row r="8" spans="1:10" x14ac:dyDescent="0.25">
      <c r="A8" s="12" t="s">
        <v>210</v>
      </c>
      <c r="B8" s="12"/>
      <c r="C8" s="12"/>
      <c r="D8" s="12"/>
      <c r="E8" s="12"/>
      <c r="F8" s="14" t="s">
        <v>211</v>
      </c>
      <c r="G8" s="14" t="s">
        <v>212</v>
      </c>
      <c r="H8" s="14" t="s">
        <v>213</v>
      </c>
      <c r="I8" s="14" t="s">
        <v>499</v>
      </c>
      <c r="J8" s="14" t="s">
        <v>500</v>
      </c>
    </row>
    <row r="9" spans="1:10" x14ac:dyDescent="0.25">
      <c r="A9" s="12"/>
      <c r="B9" s="12"/>
      <c r="C9" s="12"/>
      <c r="D9" s="12"/>
      <c r="E9" s="12"/>
      <c r="F9" s="14"/>
      <c r="G9" s="14"/>
      <c r="H9" s="14"/>
      <c r="I9" s="14"/>
      <c r="J9" s="14"/>
    </row>
    <row r="10" spans="1:10" x14ac:dyDescent="0.25">
      <c r="A10" s="12" t="s">
        <v>135</v>
      </c>
      <c r="B10" s="13"/>
      <c r="C10" s="13"/>
      <c r="D10" s="13"/>
      <c r="E10" s="13"/>
      <c r="F10" s="18"/>
      <c r="G10" s="18"/>
      <c r="H10" s="18"/>
      <c r="I10" s="18"/>
      <c r="J10" s="18"/>
    </row>
    <row r="11" spans="1:10" x14ac:dyDescent="0.25">
      <c r="A11" s="13" t="s">
        <v>196</v>
      </c>
      <c r="B11" s="13"/>
      <c r="C11" s="13"/>
      <c r="D11" s="13"/>
      <c r="E11" s="13"/>
      <c r="F11" s="19">
        <f>+'30SU'!G30</f>
        <v>432.67888349999998</v>
      </c>
      <c r="G11" s="19">
        <f>+'30SU'!G58</f>
        <v>466.31125650000001</v>
      </c>
      <c r="H11" s="19">
        <f>+'4-IIIA'!G31</f>
        <v>759.63323550000007</v>
      </c>
      <c r="I11" s="19">
        <f>'45IIIA'!$G$31</f>
        <v>826.14798350000001</v>
      </c>
      <c r="J11" s="19">
        <f>'45IIIA'!$G$60</f>
        <v>935.70366150000007</v>
      </c>
    </row>
    <row r="12" spans="1:10" x14ac:dyDescent="0.25">
      <c r="A12" s="13" t="s">
        <v>428</v>
      </c>
      <c r="B12" s="13"/>
      <c r="C12" s="13"/>
      <c r="D12" s="13"/>
      <c r="E12" s="13"/>
      <c r="F12" s="19">
        <f>+F11*$H$49/2</f>
        <v>1.16823298545</v>
      </c>
      <c r="G12" s="19">
        <f>+G11*$H$49/2</f>
        <v>1.25904039255</v>
      </c>
      <c r="H12" s="19">
        <f>+H11*$H$49/2</f>
        <v>2.0510097358500001</v>
      </c>
      <c r="I12" s="19">
        <f>+I11*$H$49/2</f>
        <v>2.23059955545</v>
      </c>
      <c r="J12" s="19">
        <f>+J11*$H$49/2</f>
        <v>2.5263998860500001</v>
      </c>
    </row>
    <row r="13" spans="1:10" x14ac:dyDescent="0.25">
      <c r="A13" s="13" t="s">
        <v>197</v>
      </c>
      <c r="B13" s="13"/>
      <c r="C13" s="13"/>
      <c r="D13" s="13"/>
      <c r="E13" s="13"/>
      <c r="F13" s="19">
        <f>+'69'!H24</f>
        <v>658.63</v>
      </c>
      <c r="G13" s="19">
        <f>+'69'!H24</f>
        <v>658.63</v>
      </c>
      <c r="H13" s="19">
        <f>+'69'!H24</f>
        <v>658.63</v>
      </c>
      <c r="I13" s="19">
        <f>'69'!$H$24</f>
        <v>658.63</v>
      </c>
      <c r="J13" s="19">
        <f>'69'!$H$24</f>
        <v>658.63</v>
      </c>
    </row>
    <row r="14" spans="1:10" x14ac:dyDescent="0.25">
      <c r="A14" s="13" t="s">
        <v>427</v>
      </c>
      <c r="B14" s="13"/>
      <c r="C14" s="13"/>
      <c r="D14" s="13"/>
      <c r="E14" s="13"/>
      <c r="F14" s="232">
        <f>+F13*$H$50/2</f>
        <v>10.1758335</v>
      </c>
      <c r="G14" s="232">
        <f>+G13*$H$50/2</f>
        <v>10.1758335</v>
      </c>
      <c r="H14" s="232">
        <f>+H13*$H$50/2</f>
        <v>10.1758335</v>
      </c>
      <c r="I14" s="232">
        <f>+I13*$H$50/2</f>
        <v>10.1758335</v>
      </c>
      <c r="J14" s="232">
        <f>+J13*$H$50/2</f>
        <v>10.1758335</v>
      </c>
    </row>
    <row r="15" spans="1:10" x14ac:dyDescent="0.25">
      <c r="A15" s="13"/>
      <c r="B15" s="13"/>
      <c r="C15" s="13"/>
      <c r="D15" s="13"/>
      <c r="E15" s="13"/>
      <c r="F15" s="19">
        <f>SUM(F11:F14)</f>
        <v>1102.6529499854501</v>
      </c>
      <c r="G15" s="19">
        <f>SUM(G11:G14)</f>
        <v>1136.3761303925498</v>
      </c>
      <c r="H15" s="19">
        <f>SUM(H11:H14)</f>
        <v>1430.4900787358501</v>
      </c>
      <c r="I15" s="19">
        <f>SUM(I11:I14)</f>
        <v>1497.1844165554498</v>
      </c>
      <c r="J15" s="19">
        <f>SUM(J11:J14)</f>
        <v>1607.0358948860498</v>
      </c>
    </row>
    <row r="16" spans="1:10" x14ac:dyDescent="0.25">
      <c r="A16" s="13" t="s">
        <v>424</v>
      </c>
      <c r="B16" s="13"/>
      <c r="C16" s="13"/>
      <c r="D16" s="13"/>
      <c r="E16" s="13"/>
      <c r="F16" s="20">
        <f>+F15*$H$45</f>
        <v>280.29437988630139</v>
      </c>
      <c r="G16" s="20">
        <f>+G15*$H$45</f>
        <v>288.86681234578617</v>
      </c>
      <c r="H16" s="20">
        <f>+H15*$H$45</f>
        <v>363.63057801465305</v>
      </c>
      <c r="I16" s="20">
        <f>+I15*$H$45</f>
        <v>380.58427868839533</v>
      </c>
      <c r="J16" s="20">
        <f>+J15*$H$45</f>
        <v>408.50852448003383</v>
      </c>
    </row>
    <row r="17" spans="1:10" x14ac:dyDescent="0.25">
      <c r="A17" s="12" t="s">
        <v>138</v>
      </c>
      <c r="B17" s="13"/>
      <c r="C17" s="13"/>
      <c r="D17" s="13"/>
      <c r="E17" s="13"/>
      <c r="F17" s="21">
        <f>SUM(F15:F16)</f>
        <v>1382.9473298717514</v>
      </c>
      <c r="G17" s="21">
        <f>SUM(G15:G16)</f>
        <v>1425.2429427383361</v>
      </c>
      <c r="H17" s="21">
        <f>SUM(H15:H16)</f>
        <v>1794.1206567505033</v>
      </c>
      <c r="I17" s="21">
        <f>SUM(I15:I16)</f>
        <v>1877.7686952438453</v>
      </c>
      <c r="J17" s="21">
        <f>SUM(J15:J16)</f>
        <v>2015.5444193660837</v>
      </c>
    </row>
    <row r="19" spans="1:10" x14ac:dyDescent="0.25">
      <c r="A19" s="13"/>
      <c r="B19" s="13"/>
      <c r="C19" s="13"/>
      <c r="D19" s="13"/>
      <c r="E19" s="13"/>
      <c r="F19" s="19"/>
      <c r="G19" s="19"/>
      <c r="H19" s="19"/>
      <c r="I19" s="19"/>
      <c r="J19" s="19"/>
    </row>
    <row r="20" spans="1:10" x14ac:dyDescent="0.25">
      <c r="A20" s="12" t="s">
        <v>198</v>
      </c>
      <c r="B20" s="13"/>
      <c r="C20" s="13"/>
      <c r="D20" s="13"/>
      <c r="E20" s="13"/>
      <c r="F20" s="19"/>
      <c r="G20" s="19"/>
      <c r="H20" s="19"/>
      <c r="I20" s="19"/>
      <c r="J20" s="19"/>
    </row>
    <row r="21" spans="1:10" x14ac:dyDescent="0.25">
      <c r="A21" s="13" t="s">
        <v>199</v>
      </c>
      <c r="B21" s="13"/>
      <c r="C21" s="13"/>
      <c r="D21" s="13"/>
      <c r="E21" s="13"/>
      <c r="F21" s="239">
        <f>ROUND(+$H$39*0.083333*F17*$H$40,2)</f>
        <v>17.600000000000001</v>
      </c>
      <c r="G21" s="239">
        <f>ROUND(+$H$39*0.083333*G17*$H$40,2)</f>
        <v>18.14</v>
      </c>
      <c r="H21" s="239">
        <f>ROUND(+$H$39*0.083333*H17*$H$40,2)</f>
        <v>22.84</v>
      </c>
      <c r="I21" s="239">
        <f>ROUND(+$H$39*0.083333*I17*$H$40,2)</f>
        <v>23.9</v>
      </c>
      <c r="J21" s="239">
        <f>ROUND(+$H$39*0.083333*J17*$H$40,2)</f>
        <v>25.66</v>
      </c>
    </row>
    <row r="22" spans="1:10" x14ac:dyDescent="0.25">
      <c r="A22" s="13" t="s">
        <v>200</v>
      </c>
      <c r="B22" s="13"/>
      <c r="C22" s="13"/>
      <c r="D22" s="13"/>
      <c r="E22" s="13"/>
      <c r="F22" s="239">
        <f>ROUND(+$H$40*0.083333*F17*$H$42,2)</f>
        <v>5.03</v>
      </c>
      <c r="G22" s="239">
        <f>ROUND(+$H$40*0.083333*G17*$H$42,2)</f>
        <v>5.18</v>
      </c>
      <c r="H22" s="239">
        <f>ROUND(+$H$40*0.083333*H17*$H$42,2)</f>
        <v>6.52</v>
      </c>
      <c r="I22" s="239">
        <f>ROUND(+$H$40*0.083333*I17*$H$42,2)</f>
        <v>6.83</v>
      </c>
      <c r="J22" s="239">
        <f>ROUND(+$H$40*0.083333*J17*$H$42,2)</f>
        <v>7.33</v>
      </c>
    </row>
    <row r="23" spans="1:10" x14ac:dyDescent="0.25">
      <c r="A23" s="12" t="s">
        <v>149</v>
      </c>
      <c r="B23" s="13"/>
      <c r="C23" s="13"/>
      <c r="D23" s="13"/>
      <c r="E23" s="13"/>
      <c r="F23" s="22">
        <f>SUM(F21:F22)</f>
        <v>22.630000000000003</v>
      </c>
      <c r="G23" s="22">
        <f>SUM(G21:G22)</f>
        <v>23.32</v>
      </c>
      <c r="H23" s="22">
        <f>SUM(H21:H22)</f>
        <v>29.36</v>
      </c>
      <c r="I23" s="22">
        <f>SUM(I21:I22)</f>
        <v>30.729999999999997</v>
      </c>
      <c r="J23" s="22">
        <f>SUM(J21:J22)</f>
        <v>32.99</v>
      </c>
    </row>
    <row r="24" spans="1:10" x14ac:dyDescent="0.25">
      <c r="A24" s="13"/>
      <c r="B24" s="13"/>
      <c r="C24" s="13"/>
      <c r="D24" s="13"/>
      <c r="E24" s="13"/>
      <c r="F24" s="19"/>
      <c r="G24" s="19"/>
      <c r="H24" s="19"/>
      <c r="I24" s="19"/>
      <c r="J24" s="19"/>
    </row>
    <row r="25" spans="1:10" x14ac:dyDescent="0.25">
      <c r="A25" s="12" t="s">
        <v>201</v>
      </c>
      <c r="B25" s="13"/>
      <c r="C25" s="13"/>
      <c r="D25" s="13"/>
      <c r="E25" s="13"/>
      <c r="F25" s="19"/>
      <c r="G25" s="19"/>
      <c r="H25" s="19"/>
      <c r="I25" s="19"/>
      <c r="J25" s="19"/>
    </row>
    <row r="26" spans="1:10" x14ac:dyDescent="0.25">
      <c r="A26" s="13" t="s">
        <v>199</v>
      </c>
      <c r="B26" s="13"/>
      <c r="C26" s="13"/>
      <c r="D26" s="13"/>
      <c r="E26" s="13"/>
      <c r="F26" s="239">
        <f>ROUND(+$H$39*0.083333*F17*$H$40,2)</f>
        <v>17.600000000000001</v>
      </c>
      <c r="G26" s="239">
        <f>ROUND(+$H$39*0.083333*G17*$H$40,2)</f>
        <v>18.14</v>
      </c>
      <c r="H26" s="239">
        <f>ROUND(+$H$39*0.083333*H17*$H$40,2)</f>
        <v>22.84</v>
      </c>
      <c r="I26" s="239">
        <f>ROUND(+$H$39*0.083333*I17*$H$40,2)</f>
        <v>23.9</v>
      </c>
      <c r="J26" s="239">
        <f>ROUND(+$H$39*0.083333*J17*$H$40,2)</f>
        <v>25.66</v>
      </c>
    </row>
    <row r="27" spans="1:10" x14ac:dyDescent="0.25">
      <c r="A27" s="13" t="s">
        <v>202</v>
      </c>
      <c r="B27" s="13"/>
      <c r="C27" s="13"/>
      <c r="D27" s="13"/>
      <c r="E27" s="13"/>
      <c r="F27" s="239">
        <f>ROUND(+$H$40*0.083333*F17*$H$43,2)</f>
        <v>4.59</v>
      </c>
      <c r="G27" s="239">
        <f>ROUND(+$H$40*0.083333*G17*$H$43,2)</f>
        <v>4.7300000000000004</v>
      </c>
      <c r="H27" s="239">
        <f>ROUND(+$H$40*0.083333*H17*$H$43,2)</f>
        <v>5.95</v>
      </c>
      <c r="I27" s="239">
        <f>ROUND(+$H$40*0.083333*I17*$H$43,2)</f>
        <v>6.23</v>
      </c>
      <c r="J27" s="239">
        <f>ROUND(+$H$40*0.083333*J17*$H$43,2)</f>
        <v>6.69</v>
      </c>
    </row>
    <row r="28" spans="1:10" x14ac:dyDescent="0.25">
      <c r="A28" s="12" t="s">
        <v>149</v>
      </c>
      <c r="B28" s="13"/>
      <c r="C28" s="13"/>
      <c r="D28" s="13"/>
      <c r="E28" s="13"/>
      <c r="F28" s="22">
        <f>SUM(F26:F27)</f>
        <v>22.19</v>
      </c>
      <c r="G28" s="22">
        <f>SUM(G26:G27)</f>
        <v>22.87</v>
      </c>
      <c r="H28" s="22">
        <f>SUM(H26:H27)</f>
        <v>28.79</v>
      </c>
      <c r="I28" s="22">
        <f>SUM(I26:I27)</f>
        <v>30.13</v>
      </c>
      <c r="J28" s="22">
        <f>SUM(J26:J27)</f>
        <v>32.35</v>
      </c>
    </row>
    <row r="30" spans="1:10" x14ac:dyDescent="0.25">
      <c r="A30" s="5"/>
      <c r="B30" s="5"/>
      <c r="C30" s="5"/>
      <c r="D30" s="5"/>
      <c r="E30" s="5"/>
    </row>
    <row r="31" spans="1:10" x14ac:dyDescent="0.25">
      <c r="A31" s="5" t="s">
        <v>203</v>
      </c>
      <c r="B31" s="5"/>
      <c r="C31" s="5"/>
      <c r="D31" s="5"/>
      <c r="E31" s="5"/>
    </row>
    <row r="32" spans="1:10" x14ac:dyDescent="0.25">
      <c r="A32" s="5" t="s">
        <v>204</v>
      </c>
      <c r="B32" s="5"/>
      <c r="C32" s="5"/>
      <c r="D32" s="5"/>
      <c r="E32" s="5"/>
    </row>
    <row r="33" spans="1:8" x14ac:dyDescent="0.25">
      <c r="A33" s="5" t="s">
        <v>205</v>
      </c>
      <c r="B33" s="5"/>
      <c r="C33" s="5"/>
      <c r="D33" s="5"/>
      <c r="E33" s="5"/>
    </row>
    <row r="34" spans="1:8" x14ac:dyDescent="0.25">
      <c r="A34" s="5" t="s">
        <v>206</v>
      </c>
      <c r="B34" s="5"/>
      <c r="C34" s="5"/>
      <c r="D34" s="5"/>
      <c r="E34" s="5"/>
    </row>
    <row r="35" spans="1:8" x14ac:dyDescent="0.25">
      <c r="A35" s="5" t="s">
        <v>207</v>
      </c>
      <c r="B35" s="5"/>
      <c r="C35" s="5"/>
      <c r="D35" s="5"/>
      <c r="E35" s="5"/>
    </row>
    <row r="36" spans="1:8" x14ac:dyDescent="0.25">
      <c r="A36" s="5" t="s">
        <v>208</v>
      </c>
      <c r="B36" s="5"/>
      <c r="C36" s="5"/>
      <c r="D36" s="5"/>
      <c r="E36" s="5"/>
    </row>
    <row r="37" spans="1:8" x14ac:dyDescent="0.25">
      <c r="A37" s="5"/>
      <c r="B37" s="5"/>
      <c r="C37" s="5"/>
      <c r="D37" s="5"/>
      <c r="E37" s="5"/>
    </row>
    <row r="38" spans="1:8" x14ac:dyDescent="0.25">
      <c r="A38" s="5"/>
      <c r="B38" s="5"/>
      <c r="C38" s="5"/>
      <c r="D38" s="5"/>
      <c r="E38" s="5"/>
    </row>
    <row r="39" spans="1:8" x14ac:dyDescent="0.25">
      <c r="B39" s="5"/>
      <c r="C39" s="5"/>
      <c r="D39" s="5"/>
      <c r="E39" s="5"/>
      <c r="F39" s="9" t="s">
        <v>152</v>
      </c>
      <c r="G39" s="8"/>
      <c r="H39" s="23">
        <f>+'Data Entry'!E9</f>
        <v>0.15265000000000001</v>
      </c>
    </row>
    <row r="40" spans="1:8" x14ac:dyDescent="0.25">
      <c r="B40" s="5"/>
      <c r="C40" s="5"/>
      <c r="D40" s="5"/>
      <c r="E40" s="5"/>
      <c r="F40" s="10" t="s">
        <v>3</v>
      </c>
      <c r="G40" s="7"/>
      <c r="H40" s="24">
        <f>+'Data Entry'!C10</f>
        <v>1.0007205187735171</v>
      </c>
    </row>
    <row r="41" spans="1:8" x14ac:dyDescent="0.25">
      <c r="B41" s="5"/>
      <c r="C41" s="5"/>
      <c r="D41" s="5"/>
      <c r="E41" s="5"/>
      <c r="F41" s="11" t="s">
        <v>4</v>
      </c>
      <c r="H41" s="25"/>
    </row>
    <row r="42" spans="1:8" x14ac:dyDescent="0.25">
      <c r="F42" s="11" t="s">
        <v>5</v>
      </c>
      <c r="H42" s="26">
        <f>+'Data Entry'!C12</f>
        <v>4.36E-2</v>
      </c>
    </row>
    <row r="43" spans="1:8" x14ac:dyDescent="0.25">
      <c r="F43" s="10" t="s">
        <v>6</v>
      </c>
      <c r="G43" s="7"/>
      <c r="H43" s="27">
        <f>+'Data Entry'!C13</f>
        <v>3.9780000000000003E-2</v>
      </c>
    </row>
    <row r="44" spans="1:8" x14ac:dyDescent="0.25">
      <c r="F44" s="10" t="s">
        <v>7</v>
      </c>
      <c r="G44" s="7"/>
      <c r="H44" s="28">
        <f>+'Data Entry'!C14</f>
        <v>2.6519999999999998E-2</v>
      </c>
    </row>
    <row r="45" spans="1:8" x14ac:dyDescent="0.25">
      <c r="F45" s="10" t="s">
        <v>8</v>
      </c>
      <c r="G45" s="7"/>
      <c r="H45" s="27">
        <f>+'Data Entry'!C15</f>
        <v>0.25419999999999998</v>
      </c>
    </row>
    <row r="46" spans="1:8" x14ac:dyDescent="0.25">
      <c r="F46" s="10" t="s">
        <v>9</v>
      </c>
      <c r="G46" s="7"/>
      <c r="H46" s="27">
        <f>+'Data Entry'!C16</f>
        <v>5.9400000000000001E-2</v>
      </c>
    </row>
    <row r="47" spans="1:8" x14ac:dyDescent="0.25">
      <c r="F47" s="10" t="s">
        <v>161</v>
      </c>
      <c r="G47" s="7"/>
      <c r="H47" s="29">
        <f>+'Data Entry'!C17</f>
        <v>97</v>
      </c>
    </row>
    <row r="48" spans="1:8" x14ac:dyDescent="0.25">
      <c r="F48" s="10" t="s">
        <v>12</v>
      </c>
      <c r="G48" s="7"/>
      <c r="H48" s="29">
        <f>+'Data Entry'!C18</f>
        <v>97</v>
      </c>
    </row>
    <row r="49" spans="6:8" x14ac:dyDescent="0.25">
      <c r="F49" s="10" t="s">
        <v>14</v>
      </c>
      <c r="G49" s="7"/>
      <c r="H49" s="27">
        <f>+'Data Entry'!C19</f>
        <v>5.4000000000000003E-3</v>
      </c>
    </row>
    <row r="50" spans="6:8" x14ac:dyDescent="0.25">
      <c r="F50" s="10" t="s">
        <v>17</v>
      </c>
      <c r="G50" s="7"/>
      <c r="H50" s="27">
        <f>+'Data Entry'!C20</f>
        <v>3.09E-2</v>
      </c>
    </row>
  </sheetData>
  <phoneticPr fontId="28" type="noConversion"/>
  <pageMargins left="0.75" right="0.25" top="0.25" bottom="0.25" header="0.5" footer="0.22"/>
  <pageSetup scale="96" orientation="portrait" horizontalDpi="300" verticalDpi="300" r:id="rId1"/>
  <headerFooter alignWithMargins="0">
    <oddFooter>&amp;R&amp;A</oddFooter>
  </headerFooter>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6"/>
  <sheetViews>
    <sheetView workbookViewId="0">
      <selection activeCell="A2" sqref="A1:A2"/>
    </sheetView>
  </sheetViews>
  <sheetFormatPr defaultRowHeight="13.2" x14ac:dyDescent="0.25"/>
  <cols>
    <col min="6" max="8" width="15.6640625" customWidth="1"/>
    <col min="9" max="10" width="9.6640625" customWidth="1"/>
  </cols>
  <sheetData>
    <row r="1" spans="1:10" x14ac:dyDescent="0.25">
      <c r="A1" s="773" t="s">
        <v>953</v>
      </c>
    </row>
    <row r="2" spans="1:10" x14ac:dyDescent="0.25">
      <c r="A2" s="773" t="s">
        <v>923</v>
      </c>
    </row>
    <row r="4" spans="1:10" ht="17.399999999999999" x14ac:dyDescent="0.3">
      <c r="A4" s="2" t="str">
        <f>'70wOH5'!A4</f>
        <v>2016 Cost of Service</v>
      </c>
    </row>
    <row r="5" spans="1:10" ht="17.399999999999999" x14ac:dyDescent="0.3">
      <c r="A5" s="2" t="s">
        <v>214</v>
      </c>
    </row>
    <row r="6" spans="1:10" ht="17.399999999999999" x14ac:dyDescent="0.3">
      <c r="A6" s="2" t="s">
        <v>209</v>
      </c>
    </row>
    <row r="7" spans="1:10" x14ac:dyDescent="0.25">
      <c r="A7" s="4"/>
      <c r="B7" s="4"/>
      <c r="C7" s="4"/>
      <c r="D7" s="4"/>
      <c r="E7" s="4"/>
      <c r="F7" s="14"/>
      <c r="G7" s="14"/>
      <c r="H7" s="14"/>
    </row>
    <row r="8" spans="1:10" x14ac:dyDescent="0.25">
      <c r="A8" s="12" t="s">
        <v>210</v>
      </c>
      <c r="B8" s="12"/>
      <c r="C8" s="12"/>
      <c r="D8" s="12"/>
      <c r="E8" s="12"/>
      <c r="F8" s="14" t="s">
        <v>218</v>
      </c>
      <c r="G8" s="14" t="s">
        <v>219</v>
      </c>
      <c r="H8" s="14" t="s">
        <v>220</v>
      </c>
      <c r="I8" s="30"/>
      <c r="J8" s="30"/>
    </row>
    <row r="9" spans="1:10" x14ac:dyDescent="0.25">
      <c r="A9" s="12"/>
      <c r="B9" s="12"/>
      <c r="C9" s="12"/>
      <c r="D9" s="12"/>
      <c r="E9" s="12"/>
      <c r="F9" s="14"/>
      <c r="G9" s="14"/>
      <c r="H9" s="14"/>
      <c r="I9" s="30"/>
      <c r="J9" s="30"/>
    </row>
    <row r="10" spans="1:10" x14ac:dyDescent="0.25">
      <c r="A10" s="12"/>
      <c r="B10" s="12"/>
      <c r="C10" s="12"/>
      <c r="D10" s="12"/>
      <c r="E10" s="12"/>
      <c r="F10" s="14"/>
      <c r="G10" s="14"/>
      <c r="H10" s="14"/>
      <c r="I10" s="30"/>
      <c r="J10" s="30"/>
    </row>
    <row r="11" spans="1:10" x14ac:dyDescent="0.25">
      <c r="A11" s="12" t="s">
        <v>135</v>
      </c>
      <c r="B11" s="13"/>
      <c r="C11" s="13"/>
      <c r="D11" s="13"/>
      <c r="E11" s="13"/>
      <c r="F11" s="18"/>
      <c r="G11" s="18"/>
      <c r="H11" s="18"/>
      <c r="I11" s="18"/>
      <c r="J11" s="18"/>
    </row>
    <row r="12" spans="1:10" x14ac:dyDescent="0.25">
      <c r="A12" s="13" t="s">
        <v>196</v>
      </c>
      <c r="B12" s="13"/>
      <c r="C12" s="13"/>
      <c r="D12" s="13"/>
      <c r="E12" s="13"/>
      <c r="F12" s="19">
        <f>+M40IIIA!G26</f>
        <v>704.64830749999999</v>
      </c>
      <c r="G12" s="19">
        <f>+M45IIIA!G26</f>
        <v>774.68916550000006</v>
      </c>
      <c r="H12" s="19">
        <f>+M50IIIA!G26</f>
        <v>887.77095350000002</v>
      </c>
      <c r="I12" s="19"/>
      <c r="J12" s="19"/>
    </row>
    <row r="13" spans="1:10" x14ac:dyDescent="0.25">
      <c r="A13" s="13" t="s">
        <v>428</v>
      </c>
      <c r="B13" s="13"/>
      <c r="C13" s="13"/>
      <c r="D13" s="13"/>
      <c r="E13" s="13"/>
      <c r="F13" s="19">
        <f>+F12*$H$55/2</f>
        <v>1.90255043025</v>
      </c>
      <c r="G13" s="19">
        <f>+G12*$H$55/2</f>
        <v>2.0916607468500001</v>
      </c>
      <c r="H13" s="19">
        <f>+H12*$H$55/2</f>
        <v>2.3969815744500003</v>
      </c>
      <c r="I13" s="19"/>
      <c r="J13" s="19"/>
    </row>
    <row r="14" spans="1:10" x14ac:dyDescent="0.25">
      <c r="A14" s="13" t="s">
        <v>197</v>
      </c>
      <c r="B14" s="13"/>
      <c r="C14" s="13"/>
      <c r="D14" s="13"/>
      <c r="E14" s="13"/>
      <c r="F14" s="19">
        <f>+'71'!H43</f>
        <v>361.81000000000006</v>
      </c>
      <c r="G14" s="19">
        <f>+'71'!H43</f>
        <v>361.81000000000006</v>
      </c>
      <c r="H14" s="19">
        <f>+'71'!H43</f>
        <v>361.81000000000006</v>
      </c>
      <c r="I14" s="19"/>
      <c r="J14" s="19"/>
    </row>
    <row r="15" spans="1:10" x14ac:dyDescent="0.25">
      <c r="A15" s="13" t="s">
        <v>427</v>
      </c>
      <c r="B15" s="13"/>
      <c r="C15" s="13"/>
      <c r="D15" s="13"/>
      <c r="E15" s="13"/>
      <c r="F15" s="232">
        <f>+F14*$H$56/2</f>
        <v>5.5899645000000007</v>
      </c>
      <c r="G15" s="232">
        <f>+G14*$H$56/2</f>
        <v>5.5899645000000007</v>
      </c>
      <c r="H15" s="232">
        <f>+H14*$H$56/2</f>
        <v>5.5899645000000007</v>
      </c>
      <c r="I15" s="19"/>
      <c r="J15" s="19"/>
    </row>
    <row r="16" spans="1:10" x14ac:dyDescent="0.25">
      <c r="A16" s="13"/>
      <c r="B16" s="13"/>
      <c r="C16" s="13"/>
      <c r="D16" s="13"/>
      <c r="E16" s="13"/>
      <c r="F16" s="19">
        <f>SUM(F12:F15)</f>
        <v>1073.9508224302499</v>
      </c>
      <c r="G16" s="19">
        <f>SUM(G12:G15)</f>
        <v>1144.1807907468501</v>
      </c>
      <c r="H16" s="19">
        <f>SUM(H12:H15)</f>
        <v>1257.5678995744502</v>
      </c>
      <c r="I16" s="19"/>
      <c r="J16" s="19"/>
    </row>
    <row r="17" spans="1:10" x14ac:dyDescent="0.25">
      <c r="A17" s="13" t="s">
        <v>424</v>
      </c>
      <c r="B17" s="13"/>
      <c r="C17" s="13"/>
      <c r="D17" s="13"/>
      <c r="E17" s="13"/>
      <c r="F17" s="20">
        <f>+F16*$H$51</f>
        <v>272.9982990617695</v>
      </c>
      <c r="G17" s="20">
        <f>+G16*$H$51</f>
        <v>290.85075700784927</v>
      </c>
      <c r="H17" s="20">
        <f>+H16*$H$51</f>
        <v>319.6737600718252</v>
      </c>
      <c r="I17" s="19"/>
      <c r="J17" s="19"/>
    </row>
    <row r="18" spans="1:10" x14ac:dyDescent="0.25">
      <c r="A18" s="12" t="s">
        <v>138</v>
      </c>
      <c r="B18" s="13"/>
      <c r="C18" s="13"/>
      <c r="D18" s="13"/>
      <c r="E18" s="13"/>
      <c r="F18" s="21">
        <f>SUM(F16:F17)</f>
        <v>1346.9491214920195</v>
      </c>
      <c r="G18" s="21">
        <f>SUM(G16:G17)</f>
        <v>1435.0315477546994</v>
      </c>
      <c r="H18" s="21">
        <f>SUM(H16:H17)</f>
        <v>1577.2416596462754</v>
      </c>
      <c r="I18" s="21"/>
      <c r="J18" s="21"/>
    </row>
    <row r="19" spans="1:10" x14ac:dyDescent="0.25">
      <c r="I19" s="33"/>
      <c r="J19" s="33"/>
    </row>
    <row r="20" spans="1:10" x14ac:dyDescent="0.25">
      <c r="A20" s="13"/>
      <c r="B20" s="13"/>
      <c r="C20" s="13"/>
      <c r="D20" s="13"/>
      <c r="E20" s="13"/>
      <c r="F20" s="19"/>
      <c r="G20" s="19"/>
      <c r="H20" s="19"/>
      <c r="I20" s="19"/>
      <c r="J20" s="19"/>
    </row>
    <row r="21" spans="1:10" x14ac:dyDescent="0.25">
      <c r="A21" s="12" t="s">
        <v>198</v>
      </c>
      <c r="B21" s="13"/>
      <c r="C21" s="13"/>
      <c r="D21" s="13"/>
      <c r="E21" s="13"/>
      <c r="F21" s="19"/>
      <c r="G21" s="19"/>
      <c r="H21" s="19"/>
      <c r="I21" s="19"/>
      <c r="J21" s="19"/>
    </row>
    <row r="22" spans="1:10" x14ac:dyDescent="0.25">
      <c r="A22" s="13" t="s">
        <v>199</v>
      </c>
      <c r="B22" s="13"/>
      <c r="C22" s="13"/>
      <c r="D22" s="13"/>
      <c r="E22" s="13"/>
      <c r="F22" s="239">
        <f>ROUND(+$H$45*0.083333*F18*$H$46,2)</f>
        <v>17.149999999999999</v>
      </c>
      <c r="G22" s="239">
        <f>ROUND(+$H$45*0.083333*G18*$H$46,2)</f>
        <v>18.27</v>
      </c>
      <c r="H22" s="239">
        <f>ROUND(+$H$45*0.083333*H18*$H$46,2)</f>
        <v>20.079999999999998</v>
      </c>
      <c r="I22" s="19"/>
      <c r="J22" s="19"/>
    </row>
    <row r="23" spans="1:10" x14ac:dyDescent="0.25">
      <c r="A23" s="13" t="s">
        <v>200</v>
      </c>
      <c r="B23" s="13"/>
      <c r="C23" s="13"/>
      <c r="D23" s="13"/>
      <c r="E23" s="13"/>
      <c r="F23" s="239">
        <f>ROUND(+$H$46*0.083333*F18*$H$48,2)</f>
        <v>4.9000000000000004</v>
      </c>
      <c r="G23" s="239">
        <f>ROUND(+$H$46*0.083333*G18*$H$48,2)</f>
        <v>5.22</v>
      </c>
      <c r="H23" s="239">
        <f>ROUND(+$H$46*0.083333*H18*$H$48,2)</f>
        <v>5.73</v>
      </c>
      <c r="I23" s="19"/>
      <c r="J23" s="19"/>
    </row>
    <row r="24" spans="1:10" x14ac:dyDescent="0.25">
      <c r="A24" s="12" t="s">
        <v>149</v>
      </c>
      <c r="B24" s="13"/>
      <c r="C24" s="13"/>
      <c r="D24" s="13"/>
      <c r="E24" s="13"/>
      <c r="F24" s="22">
        <f>SUM(F22:F23)</f>
        <v>22.049999999999997</v>
      </c>
      <c r="G24" s="22">
        <f>SUM(G22:G23)</f>
        <v>23.49</v>
      </c>
      <c r="H24" s="22">
        <f>SUM(H22:H23)</f>
        <v>25.81</v>
      </c>
      <c r="I24" s="22"/>
      <c r="J24" s="22"/>
    </row>
    <row r="25" spans="1:10" x14ac:dyDescent="0.25">
      <c r="A25" s="13"/>
      <c r="B25" s="13"/>
      <c r="C25" s="13"/>
      <c r="D25" s="13"/>
      <c r="E25" s="13"/>
      <c r="F25" s="19"/>
      <c r="G25" s="19"/>
      <c r="H25" s="19"/>
      <c r="I25" s="19"/>
      <c r="J25" s="19"/>
    </row>
    <row r="26" spans="1:10" x14ac:dyDescent="0.25">
      <c r="A26" s="12" t="s">
        <v>201</v>
      </c>
      <c r="B26" s="13"/>
      <c r="C26" s="13"/>
      <c r="D26" s="13"/>
      <c r="E26" s="13"/>
      <c r="F26" s="19"/>
      <c r="G26" s="19"/>
      <c r="H26" s="19"/>
      <c r="I26" s="19"/>
      <c r="J26" s="19"/>
    </row>
    <row r="27" spans="1:10" x14ac:dyDescent="0.25">
      <c r="A27" s="13" t="s">
        <v>199</v>
      </c>
      <c r="B27" s="13"/>
      <c r="C27" s="13"/>
      <c r="D27" s="13"/>
      <c r="E27" s="13"/>
      <c r="F27" s="239">
        <f>ROUND(+$H$45*0.083333*F18*$H$46,2)</f>
        <v>17.149999999999999</v>
      </c>
      <c r="G27" s="239">
        <f>ROUND(+$H$45*0.083333*G18*$H$46,2)</f>
        <v>18.27</v>
      </c>
      <c r="H27" s="239">
        <f>ROUND(+$H$45*0.083333*H18*$H$46,2)</f>
        <v>20.079999999999998</v>
      </c>
      <c r="I27" s="19"/>
      <c r="J27" s="19"/>
    </row>
    <row r="28" spans="1:10" x14ac:dyDescent="0.25">
      <c r="A28" s="13" t="s">
        <v>202</v>
      </c>
      <c r="B28" s="13"/>
      <c r="C28" s="13"/>
      <c r="D28" s="13"/>
      <c r="E28" s="13"/>
      <c r="F28" s="239">
        <f>ROUND(+$H$46*0.083333*F18*$H$49,2)</f>
        <v>4.47</v>
      </c>
      <c r="G28" s="239">
        <f>ROUND(+$H$46*0.083333*G18*$H$49,2)</f>
        <v>4.76</v>
      </c>
      <c r="H28" s="239">
        <f>ROUND(+$H$46*0.083333*H18*$H$49,2)</f>
        <v>5.23</v>
      </c>
      <c r="I28" s="19"/>
      <c r="J28" s="19"/>
    </row>
    <row r="29" spans="1:10" x14ac:dyDescent="0.25">
      <c r="A29" s="12" t="s">
        <v>149</v>
      </c>
      <c r="B29" s="13"/>
      <c r="C29" s="13"/>
      <c r="D29" s="13"/>
      <c r="E29" s="13"/>
      <c r="F29" s="22">
        <f>SUM(F27:F28)</f>
        <v>21.619999999999997</v>
      </c>
      <c r="G29" s="22">
        <f>SUM(G27:G28)</f>
        <v>23.03</v>
      </c>
      <c r="H29" s="22">
        <f>SUM(H27:H28)</f>
        <v>25.31</v>
      </c>
      <c r="I29" s="22"/>
      <c r="J29" s="22"/>
    </row>
    <row r="31" spans="1:10" x14ac:dyDescent="0.25">
      <c r="A31" s="5"/>
      <c r="B31" s="5"/>
      <c r="C31" s="5"/>
      <c r="D31" s="5"/>
      <c r="E31" s="5"/>
    </row>
    <row r="32" spans="1:10" x14ac:dyDescent="0.25">
      <c r="A32" s="5" t="s">
        <v>203</v>
      </c>
      <c r="B32" s="5"/>
      <c r="C32" s="5"/>
      <c r="D32" s="5"/>
      <c r="E32" s="5"/>
    </row>
    <row r="33" spans="1:8" x14ac:dyDescent="0.25">
      <c r="A33" s="5" t="s">
        <v>204</v>
      </c>
      <c r="B33" s="5"/>
      <c r="C33" s="5"/>
      <c r="D33" s="5"/>
      <c r="E33" s="5"/>
    </row>
    <row r="34" spans="1:8" x14ac:dyDescent="0.25">
      <c r="A34" s="5" t="s">
        <v>205</v>
      </c>
      <c r="B34" s="5"/>
      <c r="C34" s="5"/>
      <c r="D34" s="5"/>
      <c r="E34" s="5"/>
    </row>
    <row r="35" spans="1:8" x14ac:dyDescent="0.25">
      <c r="A35" s="5" t="s">
        <v>206</v>
      </c>
      <c r="B35" s="5"/>
      <c r="C35" s="5"/>
      <c r="D35" s="5"/>
      <c r="E35" s="5"/>
    </row>
    <row r="36" spans="1:8" x14ac:dyDescent="0.25">
      <c r="A36" s="5" t="s">
        <v>207</v>
      </c>
      <c r="B36" s="5"/>
      <c r="C36" s="5"/>
      <c r="D36" s="5"/>
      <c r="E36" s="5"/>
    </row>
    <row r="37" spans="1:8" x14ac:dyDescent="0.25">
      <c r="A37" s="5" t="s">
        <v>208</v>
      </c>
      <c r="B37" s="5"/>
      <c r="C37" s="5"/>
      <c r="D37" s="5"/>
      <c r="E37" s="5"/>
    </row>
    <row r="38" spans="1:8" x14ac:dyDescent="0.25">
      <c r="A38" s="5"/>
      <c r="B38" s="5"/>
      <c r="C38" s="5"/>
      <c r="D38" s="5"/>
      <c r="E38" s="5"/>
    </row>
    <row r="39" spans="1:8" x14ac:dyDescent="0.25">
      <c r="A39" s="5"/>
      <c r="B39" s="5"/>
      <c r="C39" s="5"/>
      <c r="D39" s="5"/>
      <c r="E39" s="5"/>
    </row>
    <row r="40" spans="1:8" x14ac:dyDescent="0.25">
      <c r="B40" s="5"/>
      <c r="C40" s="5"/>
      <c r="D40" s="5"/>
      <c r="E40" s="5"/>
    </row>
    <row r="41" spans="1:8" x14ac:dyDescent="0.25">
      <c r="B41" s="5"/>
      <c r="C41" s="5"/>
      <c r="D41" s="5"/>
      <c r="E41" s="5"/>
    </row>
    <row r="42" spans="1:8" x14ac:dyDescent="0.25">
      <c r="B42" s="5"/>
      <c r="C42" s="5"/>
      <c r="D42" s="5"/>
      <c r="E42" s="5"/>
    </row>
    <row r="45" spans="1:8" x14ac:dyDescent="0.25">
      <c r="F45" s="9" t="s">
        <v>152</v>
      </c>
      <c r="G45" s="8"/>
      <c r="H45" s="23">
        <f>+'Data Entry'!E9</f>
        <v>0.15265000000000001</v>
      </c>
    </row>
    <row r="46" spans="1:8" x14ac:dyDescent="0.25">
      <c r="F46" s="10" t="s">
        <v>3</v>
      </c>
      <c r="G46" s="7"/>
      <c r="H46" s="24">
        <f>+'Data Entry'!C10</f>
        <v>1.0007205187735171</v>
      </c>
    </row>
    <row r="47" spans="1:8" x14ac:dyDescent="0.25">
      <c r="F47" s="11" t="s">
        <v>4</v>
      </c>
      <c r="H47" s="25"/>
    </row>
    <row r="48" spans="1:8" x14ac:dyDescent="0.25">
      <c r="F48" s="11" t="s">
        <v>5</v>
      </c>
      <c r="H48" s="26">
        <f>+'Data Entry'!C12</f>
        <v>4.36E-2</v>
      </c>
    </row>
    <row r="49" spans="6:8" x14ac:dyDescent="0.25">
      <c r="F49" s="10" t="s">
        <v>6</v>
      </c>
      <c r="G49" s="7"/>
      <c r="H49" s="27">
        <f>+'Data Entry'!C13</f>
        <v>3.9780000000000003E-2</v>
      </c>
    </row>
    <row r="50" spans="6:8" x14ac:dyDescent="0.25">
      <c r="F50" s="10" t="s">
        <v>7</v>
      </c>
      <c r="G50" s="7"/>
      <c r="H50" s="28">
        <f>+'Data Entry'!C14</f>
        <v>2.6519999999999998E-2</v>
      </c>
    </row>
    <row r="51" spans="6:8" x14ac:dyDescent="0.25">
      <c r="F51" s="10" t="s">
        <v>8</v>
      </c>
      <c r="G51" s="7"/>
      <c r="H51" s="27">
        <f>+'Data Entry'!C15</f>
        <v>0.25419999999999998</v>
      </c>
    </row>
    <row r="52" spans="6:8" x14ac:dyDescent="0.25">
      <c r="F52" s="10" t="s">
        <v>9</v>
      </c>
      <c r="G52" s="7"/>
      <c r="H52" s="27">
        <f>+'Data Entry'!C16</f>
        <v>5.9400000000000001E-2</v>
      </c>
    </row>
    <row r="53" spans="6:8" x14ac:dyDescent="0.25">
      <c r="F53" s="10" t="s">
        <v>161</v>
      </c>
      <c r="G53" s="7"/>
      <c r="H53" s="29">
        <f>+'Data Entry'!C17</f>
        <v>97</v>
      </c>
    </row>
    <row r="54" spans="6:8" x14ac:dyDescent="0.25">
      <c r="F54" s="10" t="s">
        <v>12</v>
      </c>
      <c r="G54" s="7"/>
      <c r="H54" s="29">
        <f>+'Data Entry'!C18</f>
        <v>97</v>
      </c>
    </row>
    <row r="55" spans="6:8" x14ac:dyDescent="0.25">
      <c r="F55" s="10" t="s">
        <v>14</v>
      </c>
      <c r="G55" s="7"/>
      <c r="H55" s="27">
        <f>+'Data Entry'!C19</f>
        <v>5.4000000000000003E-3</v>
      </c>
    </row>
    <row r="56" spans="6:8" x14ac:dyDescent="0.25">
      <c r="F56" s="10" t="s">
        <v>17</v>
      </c>
      <c r="G56" s="7"/>
      <c r="H56" s="27">
        <f>+'Data Entry'!C20</f>
        <v>3.09E-2</v>
      </c>
    </row>
  </sheetData>
  <phoneticPr fontId="28" type="noConversion"/>
  <pageMargins left="0.75" right="0.25" top="0.25" bottom="0.25" header="0.5" footer="0.22"/>
  <pageSetup orientation="portrait" horizontalDpi="300" verticalDpi="300" r:id="rId1"/>
  <headerFooter alignWithMargins="0">
    <oddFooter>&amp;R&amp;A</oddFooter>
  </headerFooter>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0"/>
  <sheetViews>
    <sheetView workbookViewId="0">
      <selection activeCell="A2" sqref="A1:A2"/>
    </sheetView>
  </sheetViews>
  <sheetFormatPr defaultRowHeight="13.2" x14ac:dyDescent="0.25"/>
  <cols>
    <col min="6" max="8" width="15.6640625" customWidth="1"/>
  </cols>
  <sheetData>
    <row r="1" spans="1:8" x14ac:dyDescent="0.25">
      <c r="A1" s="773" t="s">
        <v>954</v>
      </c>
    </row>
    <row r="2" spans="1:8" x14ac:dyDescent="0.25">
      <c r="A2" s="773" t="s">
        <v>923</v>
      </c>
    </row>
    <row r="4" spans="1:8" ht="17.399999999999999" x14ac:dyDescent="0.3">
      <c r="A4" s="2" t="str">
        <f>'70wOH5'!A4</f>
        <v>2016 Cost of Service</v>
      </c>
    </row>
    <row r="5" spans="1:8" ht="17.399999999999999" x14ac:dyDescent="0.3">
      <c r="A5" s="2" t="s">
        <v>214</v>
      </c>
    </row>
    <row r="6" spans="1:8" ht="17.399999999999999" x14ac:dyDescent="0.3">
      <c r="A6" s="2" t="s">
        <v>215</v>
      </c>
    </row>
    <row r="7" spans="1:8" x14ac:dyDescent="0.25">
      <c r="A7" s="4"/>
      <c r="B7" s="4"/>
      <c r="C7" s="4"/>
      <c r="D7" s="4"/>
      <c r="E7" s="4"/>
      <c r="F7" s="14"/>
      <c r="G7" s="14"/>
      <c r="H7" s="14"/>
    </row>
    <row r="8" spans="1:8" x14ac:dyDescent="0.25">
      <c r="A8" s="12" t="s">
        <v>309</v>
      </c>
      <c r="B8" s="12"/>
      <c r="C8" s="12"/>
      <c r="D8" s="12"/>
      <c r="E8" s="12"/>
      <c r="F8" s="14" t="s">
        <v>216</v>
      </c>
      <c r="G8" s="14"/>
      <c r="H8" s="14"/>
    </row>
    <row r="9" spans="1:8" x14ac:dyDescent="0.25">
      <c r="A9" s="12"/>
      <c r="B9" s="12"/>
      <c r="C9" s="12"/>
      <c r="D9" s="12"/>
      <c r="E9" s="12"/>
      <c r="F9" s="14"/>
      <c r="G9" s="14"/>
      <c r="H9" s="14"/>
    </row>
    <row r="10" spans="1:8" x14ac:dyDescent="0.25">
      <c r="A10" s="12"/>
      <c r="B10" s="12"/>
      <c r="C10" s="12"/>
      <c r="D10" s="12"/>
      <c r="E10" s="12"/>
      <c r="F10" s="14"/>
      <c r="G10" s="14"/>
      <c r="H10" s="14"/>
    </row>
    <row r="11" spans="1:8" x14ac:dyDescent="0.25">
      <c r="A11" s="12" t="s">
        <v>135</v>
      </c>
      <c r="B11" s="13"/>
      <c r="C11" s="13"/>
      <c r="D11" s="13"/>
      <c r="E11" s="13"/>
      <c r="F11" s="18"/>
      <c r="G11" s="18"/>
      <c r="H11" s="18"/>
    </row>
    <row r="12" spans="1:8" x14ac:dyDescent="0.25">
      <c r="A12" s="13" t="s">
        <v>196</v>
      </c>
      <c r="B12" s="13"/>
      <c r="C12" s="13"/>
      <c r="D12" s="13"/>
      <c r="E12" s="13"/>
      <c r="F12" s="19">
        <f>+'59'!G27</f>
        <v>175.84374750000001</v>
      </c>
      <c r="G12" s="19"/>
      <c r="H12" s="19"/>
    </row>
    <row r="13" spans="1:8" x14ac:dyDescent="0.25">
      <c r="A13" s="13" t="s">
        <v>428</v>
      </c>
      <c r="B13" s="13"/>
      <c r="C13" s="13"/>
      <c r="D13" s="13"/>
      <c r="E13" s="13"/>
      <c r="F13" s="19">
        <f>+F12*$H$49/2</f>
        <v>0.47477811825000005</v>
      </c>
      <c r="G13" s="19"/>
      <c r="H13" s="19"/>
    </row>
    <row r="14" spans="1:8" x14ac:dyDescent="0.25">
      <c r="A14" s="13" t="s">
        <v>197</v>
      </c>
      <c r="B14" s="13"/>
      <c r="C14" s="13"/>
      <c r="D14" s="13"/>
      <c r="E14" s="13"/>
      <c r="F14" s="19">
        <f>+'70'!H22</f>
        <v>244.44000000000008</v>
      </c>
      <c r="G14" s="19"/>
      <c r="H14" s="19"/>
    </row>
    <row r="15" spans="1:8" x14ac:dyDescent="0.25">
      <c r="A15" s="13" t="s">
        <v>427</v>
      </c>
      <c r="B15" s="13"/>
      <c r="C15" s="13"/>
      <c r="D15" s="13"/>
      <c r="E15" s="13"/>
      <c r="F15" s="232">
        <f>+F14*$H$50/2</f>
        <v>3.7765980000000012</v>
      </c>
      <c r="G15" s="20"/>
      <c r="H15" s="20"/>
    </row>
    <row r="16" spans="1:8" x14ac:dyDescent="0.25">
      <c r="A16" s="13"/>
      <c r="B16" s="13"/>
      <c r="C16" s="13"/>
      <c r="D16" s="13"/>
      <c r="E16" s="13"/>
      <c r="F16" s="19">
        <f>SUM(F12:F15)</f>
        <v>424.53512361825005</v>
      </c>
      <c r="G16" s="19"/>
      <c r="H16" s="19"/>
    </row>
    <row r="17" spans="1:8" x14ac:dyDescent="0.25">
      <c r="A17" s="13" t="s">
        <v>426</v>
      </c>
      <c r="B17" s="13"/>
      <c r="C17" s="13"/>
      <c r="D17" s="13"/>
      <c r="E17" s="13"/>
      <c r="F17" s="20">
        <f>+F16*$H$45</f>
        <v>107.91682842375916</v>
      </c>
      <c r="G17" s="20"/>
      <c r="H17" s="20"/>
    </row>
    <row r="18" spans="1:8" x14ac:dyDescent="0.25">
      <c r="A18" s="12" t="s">
        <v>138</v>
      </c>
      <c r="B18" s="13"/>
      <c r="C18" s="13"/>
      <c r="D18" s="13"/>
      <c r="E18" s="13"/>
      <c r="F18" s="21">
        <f>SUM(F16:F17)</f>
        <v>532.45195204200922</v>
      </c>
      <c r="G18" s="21"/>
      <c r="H18" s="21"/>
    </row>
    <row r="20" spans="1:8" x14ac:dyDescent="0.25">
      <c r="A20" s="13"/>
      <c r="B20" s="13"/>
      <c r="C20" s="13"/>
      <c r="D20" s="13"/>
      <c r="E20" s="13"/>
      <c r="F20" s="19"/>
      <c r="G20" s="19"/>
      <c r="H20" s="19"/>
    </row>
    <row r="21" spans="1:8" x14ac:dyDescent="0.25">
      <c r="A21" s="12" t="s">
        <v>198</v>
      </c>
      <c r="B21" s="13"/>
      <c r="C21" s="13"/>
      <c r="D21" s="13"/>
      <c r="E21" s="13"/>
      <c r="F21" s="19"/>
      <c r="G21" s="19"/>
      <c r="H21" s="19"/>
    </row>
    <row r="22" spans="1:8" x14ac:dyDescent="0.25">
      <c r="A22" s="13" t="s">
        <v>199</v>
      </c>
      <c r="B22" s="13"/>
      <c r="C22" s="13"/>
      <c r="D22" s="13"/>
      <c r="E22" s="13"/>
      <c r="F22" s="239">
        <f>ROUND(+$H$39*0.083333*F18*$H$40,2)</f>
        <v>6.78</v>
      </c>
      <c r="G22" s="19"/>
      <c r="H22" s="19"/>
    </row>
    <row r="23" spans="1:8" x14ac:dyDescent="0.25">
      <c r="A23" s="13" t="s">
        <v>200</v>
      </c>
      <c r="B23" s="13"/>
      <c r="C23" s="13"/>
      <c r="D23" s="13"/>
      <c r="E23" s="13"/>
      <c r="F23" s="239">
        <f>ROUND(+$H$40*0.083333*F18*$H$42,2)</f>
        <v>1.94</v>
      </c>
      <c r="G23" s="19"/>
      <c r="H23" s="19"/>
    </row>
    <row r="24" spans="1:8" x14ac:dyDescent="0.25">
      <c r="A24" s="12" t="s">
        <v>149</v>
      </c>
      <c r="B24" s="13"/>
      <c r="C24" s="13"/>
      <c r="D24" s="13"/>
      <c r="E24" s="13"/>
      <c r="F24" s="22">
        <f>SUM(F22:F23)</f>
        <v>8.7200000000000006</v>
      </c>
      <c r="G24" s="22"/>
      <c r="H24" s="22"/>
    </row>
    <row r="25" spans="1:8" x14ac:dyDescent="0.25">
      <c r="A25" s="13"/>
      <c r="B25" s="13"/>
      <c r="C25" s="13"/>
      <c r="D25" s="13"/>
      <c r="E25" s="13"/>
      <c r="F25" s="19"/>
      <c r="G25" s="19"/>
      <c r="H25" s="19"/>
    </row>
    <row r="26" spans="1:8" x14ac:dyDescent="0.25">
      <c r="A26" s="12" t="s">
        <v>201</v>
      </c>
      <c r="B26" s="13"/>
      <c r="C26" s="13"/>
      <c r="D26" s="13"/>
      <c r="E26" s="13"/>
      <c r="F26" s="19"/>
      <c r="G26" s="19"/>
      <c r="H26" s="19"/>
    </row>
    <row r="27" spans="1:8" x14ac:dyDescent="0.25">
      <c r="A27" s="13" t="s">
        <v>199</v>
      </c>
      <c r="B27" s="13"/>
      <c r="C27" s="13"/>
      <c r="D27" s="13"/>
      <c r="E27" s="13"/>
      <c r="F27" s="239">
        <f>ROUND(+$H$39*0.083333*F18*$H$40,2)</f>
        <v>6.78</v>
      </c>
      <c r="G27" s="19"/>
      <c r="H27" s="19"/>
    </row>
    <row r="28" spans="1:8" x14ac:dyDescent="0.25">
      <c r="A28" s="13" t="s">
        <v>202</v>
      </c>
      <c r="B28" s="13"/>
      <c r="C28" s="13"/>
      <c r="D28" s="13"/>
      <c r="E28" s="13"/>
      <c r="F28" s="239">
        <f>ROUND(+$H$40*0.083333*F18*$H$43,2)</f>
        <v>1.77</v>
      </c>
      <c r="G28" s="19"/>
      <c r="H28" s="19"/>
    </row>
    <row r="29" spans="1:8" x14ac:dyDescent="0.25">
      <c r="A29" s="12" t="s">
        <v>149</v>
      </c>
      <c r="B29" s="13"/>
      <c r="C29" s="13"/>
      <c r="D29" s="13"/>
      <c r="E29" s="13"/>
      <c r="F29" s="22">
        <f>SUM(F27:F28)</f>
        <v>8.5500000000000007</v>
      </c>
      <c r="G29" s="22"/>
      <c r="H29" s="22"/>
    </row>
    <row r="31" spans="1:8" x14ac:dyDescent="0.25">
      <c r="A31" s="5"/>
      <c r="B31" s="5"/>
      <c r="C31" s="5"/>
      <c r="D31" s="5"/>
      <c r="E31" s="5"/>
    </row>
    <row r="32" spans="1:8" x14ac:dyDescent="0.25">
      <c r="A32" s="5" t="s">
        <v>203</v>
      </c>
      <c r="B32" s="5"/>
      <c r="C32" s="5"/>
      <c r="D32" s="5"/>
      <c r="E32" s="5"/>
    </row>
    <row r="33" spans="1:8" x14ac:dyDescent="0.25">
      <c r="A33" s="5" t="s">
        <v>204</v>
      </c>
      <c r="B33" s="5"/>
      <c r="C33" s="5"/>
      <c r="D33" s="5"/>
      <c r="E33" s="5"/>
    </row>
    <row r="34" spans="1:8" x14ac:dyDescent="0.25">
      <c r="A34" s="5" t="s">
        <v>205</v>
      </c>
      <c r="B34" s="5"/>
      <c r="C34" s="5"/>
      <c r="D34" s="5"/>
      <c r="E34" s="5"/>
    </row>
    <row r="35" spans="1:8" x14ac:dyDescent="0.25">
      <c r="A35" s="5" t="s">
        <v>206</v>
      </c>
      <c r="B35" s="5"/>
      <c r="C35" s="5"/>
      <c r="D35" s="5"/>
      <c r="E35" s="5"/>
    </row>
    <row r="36" spans="1:8" x14ac:dyDescent="0.25">
      <c r="A36" s="5" t="s">
        <v>207</v>
      </c>
      <c r="B36" s="5"/>
      <c r="C36" s="5"/>
      <c r="D36" s="5"/>
      <c r="E36" s="5"/>
    </row>
    <row r="37" spans="1:8" x14ac:dyDescent="0.25">
      <c r="A37" s="5" t="s">
        <v>208</v>
      </c>
      <c r="B37" s="5"/>
      <c r="C37" s="5"/>
      <c r="D37" s="5"/>
      <c r="E37" s="5"/>
    </row>
    <row r="38" spans="1:8" x14ac:dyDescent="0.25">
      <c r="A38" s="5"/>
      <c r="B38" s="5"/>
      <c r="C38" s="5"/>
      <c r="D38" s="5"/>
      <c r="E38" s="5"/>
    </row>
    <row r="39" spans="1:8" x14ac:dyDescent="0.25">
      <c r="A39" s="5"/>
      <c r="B39" s="5"/>
      <c r="C39" s="5"/>
      <c r="D39" s="5"/>
      <c r="E39" s="5"/>
      <c r="F39" s="9" t="s">
        <v>152</v>
      </c>
      <c r="G39" s="8"/>
      <c r="H39" s="23">
        <f>+'Data Entry'!E9</f>
        <v>0.15265000000000001</v>
      </c>
    </row>
    <row r="40" spans="1:8" x14ac:dyDescent="0.25">
      <c r="B40" s="5"/>
      <c r="C40" s="5"/>
      <c r="D40" s="5"/>
      <c r="E40" s="5"/>
      <c r="F40" s="10" t="s">
        <v>3</v>
      </c>
      <c r="G40" s="7"/>
      <c r="H40" s="24">
        <f>+'Data Entry'!C10</f>
        <v>1.0007205187735171</v>
      </c>
    </row>
    <row r="41" spans="1:8" x14ac:dyDescent="0.25">
      <c r="B41" s="5"/>
      <c r="C41" s="5"/>
      <c r="D41" s="5"/>
      <c r="E41" s="5"/>
      <c r="F41" s="11" t="s">
        <v>4</v>
      </c>
      <c r="H41" s="25"/>
    </row>
    <row r="42" spans="1:8" x14ac:dyDescent="0.25">
      <c r="B42" s="5"/>
      <c r="C42" s="5"/>
      <c r="D42" s="5"/>
      <c r="E42" s="5"/>
      <c r="F42" s="11" t="s">
        <v>5</v>
      </c>
      <c r="H42" s="26">
        <f>+'Data Entry'!C12</f>
        <v>4.36E-2</v>
      </c>
    </row>
    <row r="43" spans="1:8" x14ac:dyDescent="0.25">
      <c r="F43" s="10" t="s">
        <v>6</v>
      </c>
      <c r="G43" s="7"/>
      <c r="H43" s="27">
        <f>+'Data Entry'!C13</f>
        <v>3.9780000000000003E-2</v>
      </c>
    </row>
    <row r="44" spans="1:8" x14ac:dyDescent="0.25">
      <c r="F44" s="10" t="s">
        <v>7</v>
      </c>
      <c r="G44" s="7"/>
      <c r="H44" s="28">
        <f>+'Data Entry'!C14</f>
        <v>2.6519999999999998E-2</v>
      </c>
    </row>
    <row r="45" spans="1:8" x14ac:dyDescent="0.25">
      <c r="F45" s="10" t="s">
        <v>8</v>
      </c>
      <c r="G45" s="7"/>
      <c r="H45" s="27">
        <f>+'Data Entry'!C15</f>
        <v>0.25419999999999998</v>
      </c>
    </row>
    <row r="46" spans="1:8" x14ac:dyDescent="0.25">
      <c r="F46" s="10" t="s">
        <v>9</v>
      </c>
      <c r="G46" s="7"/>
      <c r="H46" s="27">
        <f>+'Data Entry'!C16</f>
        <v>5.9400000000000001E-2</v>
      </c>
    </row>
    <row r="47" spans="1:8" x14ac:dyDescent="0.25">
      <c r="F47" s="10" t="s">
        <v>161</v>
      </c>
      <c r="G47" s="7"/>
      <c r="H47" s="29">
        <f>+'Data Entry'!C17</f>
        <v>97</v>
      </c>
    </row>
    <row r="48" spans="1:8" x14ac:dyDescent="0.25">
      <c r="F48" s="10" t="s">
        <v>12</v>
      </c>
      <c r="G48" s="7"/>
      <c r="H48" s="29">
        <f>+'Data Entry'!C18</f>
        <v>97</v>
      </c>
    </row>
    <row r="49" spans="6:8" x14ac:dyDescent="0.25">
      <c r="F49" s="10" t="s">
        <v>14</v>
      </c>
      <c r="G49" s="7"/>
      <c r="H49" s="27">
        <f>+'Data Entry'!C19</f>
        <v>5.4000000000000003E-3</v>
      </c>
    </row>
    <row r="50" spans="6:8" x14ac:dyDescent="0.25">
      <c r="F50" s="10" t="s">
        <v>17</v>
      </c>
      <c r="G50" s="7"/>
      <c r="H50" s="27">
        <f>+'Data Entry'!C20</f>
        <v>3.09E-2</v>
      </c>
    </row>
  </sheetData>
  <phoneticPr fontId="28" type="noConversion"/>
  <pageMargins left="0.75" right="0.25" top="0.25" bottom="0.25" header="0.5" footer="0.22"/>
  <pageSetup orientation="portrait" horizontalDpi="300" verticalDpi="300" r:id="rId1"/>
  <headerFooter alignWithMargins="0">
    <oddFooter>&amp;R&amp;A</oddFooter>
  </headerFooter>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82"/>
  <sheetViews>
    <sheetView zoomScaleNormal="100" workbookViewId="0">
      <selection activeCell="A2" sqref="A1:A2"/>
    </sheetView>
  </sheetViews>
  <sheetFormatPr defaultRowHeight="13.2" x14ac:dyDescent="0.25"/>
  <cols>
    <col min="5" max="5" width="11.33203125" bestFit="1" customWidth="1"/>
    <col min="6" max="6" width="13.33203125" customWidth="1"/>
    <col min="7" max="7" width="14" customWidth="1"/>
    <col min="8" max="8" width="11.88671875" customWidth="1"/>
    <col min="9" max="9" width="12.5546875" style="47" customWidth="1"/>
  </cols>
  <sheetData>
    <row r="1" spans="1:13" x14ac:dyDescent="0.25">
      <c r="A1" s="773" t="s">
        <v>955</v>
      </c>
    </row>
    <row r="2" spans="1:13" x14ac:dyDescent="0.25">
      <c r="A2" s="773" t="s">
        <v>923</v>
      </c>
    </row>
    <row r="4" spans="1:13" ht="17.399999999999999" x14ac:dyDescent="0.3">
      <c r="A4" s="2" t="str">
        <f>'70wOH5'!A4</f>
        <v>2016 Cost of Service</v>
      </c>
    </row>
    <row r="5" spans="1:13" ht="18" customHeight="1" x14ac:dyDescent="0.25">
      <c r="A5" s="771" t="s">
        <v>561</v>
      </c>
      <c r="B5" s="771"/>
      <c r="C5" s="771"/>
      <c r="D5" s="771"/>
      <c r="E5" s="771"/>
      <c r="F5" s="771"/>
      <c r="G5" s="771"/>
      <c r="H5" s="771"/>
      <c r="I5" s="771"/>
      <c r="J5" s="771"/>
      <c r="K5" s="771"/>
      <c r="L5" s="771"/>
      <c r="M5" s="771"/>
    </row>
    <row r="6" spans="1:13" ht="18" customHeight="1" x14ac:dyDescent="0.25">
      <c r="A6" s="771"/>
      <c r="B6" s="771"/>
      <c r="C6" s="771"/>
      <c r="D6" s="771"/>
      <c r="E6" s="771"/>
      <c r="F6" s="771"/>
      <c r="G6" s="771"/>
      <c r="H6" s="771"/>
      <c r="I6" s="771"/>
      <c r="J6" s="771"/>
      <c r="K6" s="771"/>
      <c r="L6" s="771"/>
      <c r="M6" s="771"/>
    </row>
    <row r="7" spans="1:13" ht="17.399999999999999" x14ac:dyDescent="0.3">
      <c r="A7" s="2" t="s">
        <v>221</v>
      </c>
    </row>
    <row r="8" spans="1:13" s="13" customFormat="1" x14ac:dyDescent="0.25">
      <c r="A8" s="12"/>
      <c r="F8" s="41" t="s">
        <v>222</v>
      </c>
      <c r="G8" s="41" t="s">
        <v>222</v>
      </c>
      <c r="I8" s="14" t="s">
        <v>222</v>
      </c>
    </row>
    <row r="9" spans="1:13" s="13" customFormat="1" x14ac:dyDescent="0.25">
      <c r="A9" s="12"/>
      <c r="F9" s="41" t="s">
        <v>223</v>
      </c>
      <c r="G9" s="41" t="s">
        <v>223</v>
      </c>
      <c r="I9" s="14" t="s">
        <v>435</v>
      </c>
    </row>
    <row r="10" spans="1:13" s="13" customFormat="1" x14ac:dyDescent="0.25">
      <c r="A10"/>
      <c r="E10" s="40" t="s">
        <v>224</v>
      </c>
      <c r="F10" s="41" t="s">
        <v>225</v>
      </c>
      <c r="G10" s="41" t="s">
        <v>226</v>
      </c>
      <c r="H10" s="40" t="s">
        <v>227</v>
      </c>
      <c r="I10" s="14" t="s">
        <v>436</v>
      </c>
    </row>
    <row r="11" spans="1:13" x14ac:dyDescent="0.25">
      <c r="A11" s="42" t="s">
        <v>135</v>
      </c>
      <c r="B11" s="4"/>
      <c r="C11" s="4"/>
      <c r="D11" s="4"/>
      <c r="E11" s="43" t="s">
        <v>228</v>
      </c>
      <c r="F11" s="44" t="s">
        <v>228</v>
      </c>
      <c r="G11" s="44" t="s">
        <v>228</v>
      </c>
      <c r="H11" s="43" t="s">
        <v>228</v>
      </c>
      <c r="I11" s="15" t="s">
        <v>437</v>
      </c>
    </row>
    <row r="12" spans="1:13" ht="13.8" thickBot="1" x14ac:dyDescent="0.3">
      <c r="B12" s="13"/>
      <c r="C12" s="13"/>
      <c r="D12" s="13"/>
      <c r="E12" s="18"/>
      <c r="G12" s="18"/>
      <c r="H12" s="18"/>
    </row>
    <row r="13" spans="1:13" ht="13.8" thickBot="1" x14ac:dyDescent="0.3">
      <c r="A13" s="13" t="s">
        <v>196</v>
      </c>
      <c r="B13" s="13"/>
      <c r="C13" s="13"/>
      <c r="D13" s="13"/>
      <c r="E13" s="463">
        <f>+MatlSum65!G19</f>
        <v>126.738468</v>
      </c>
      <c r="F13" s="19">
        <f>+MatlSum65!G41</f>
        <v>303.05516200000005</v>
      </c>
      <c r="G13" s="19">
        <f>+'66'!G25</f>
        <v>384.68180999999998</v>
      </c>
      <c r="H13" s="19">
        <f>+MatlSum65!G58</f>
        <v>64.477440000000001</v>
      </c>
      <c r="I13" s="19">
        <f>+MatlSum65!G41</f>
        <v>303.05516200000005</v>
      </c>
    </row>
    <row r="14" spans="1:13" ht="13.8" thickBot="1" x14ac:dyDescent="0.3">
      <c r="A14" s="13" t="s">
        <v>421</v>
      </c>
      <c r="B14" s="13"/>
      <c r="C14" s="13"/>
      <c r="D14" s="13"/>
      <c r="E14" s="239">
        <f>+E13*$I$81*0.5</f>
        <v>0.34219386360000004</v>
      </c>
      <c r="F14" s="239">
        <f>+F13*$I$81*0.5</f>
        <v>0.81824893740000015</v>
      </c>
      <c r="G14" s="239">
        <f>+G13*$I$81*0.5</f>
        <v>1.0386408870000001</v>
      </c>
      <c r="H14" s="239">
        <f>+H13*$I$81*0.5</f>
        <v>0.174089088</v>
      </c>
      <c r="I14" s="239">
        <f>+I13*$I$81*0.5</f>
        <v>0.81824893740000015</v>
      </c>
    </row>
    <row r="15" spans="1:13" ht="13.8" thickBot="1" x14ac:dyDescent="0.3">
      <c r="A15" s="13" t="s">
        <v>197</v>
      </c>
      <c r="B15" s="13"/>
      <c r="C15" s="13"/>
      <c r="D15" s="13"/>
      <c r="E15" s="463">
        <f>+'OH_UG Labor 72'!H20</f>
        <v>433.59</v>
      </c>
      <c r="F15" s="19">
        <f>+'OH_UG Labor 72'!H43</f>
        <v>1338.6599999999999</v>
      </c>
      <c r="G15" s="19">
        <f>+'UG Labor 73'!H26</f>
        <v>3425.46</v>
      </c>
      <c r="H15" s="19">
        <f>+'OH_UG Labor 72'!H64</f>
        <v>142.59</v>
      </c>
      <c r="I15" s="19">
        <f>+'OH_UG Labor 72'!H86</f>
        <v>506.16000000000008</v>
      </c>
    </row>
    <row r="16" spans="1:13" x14ac:dyDescent="0.25">
      <c r="A16" s="13" t="s">
        <v>420</v>
      </c>
      <c r="B16" s="13"/>
      <c r="C16" s="13"/>
      <c r="D16" s="13"/>
      <c r="E16" s="239">
        <f>+E15*$I$82*0.5</f>
        <v>6.6989654999999999</v>
      </c>
      <c r="F16" s="239">
        <f>+F15*$I$82*0.5</f>
        <v>20.682296999999998</v>
      </c>
      <c r="G16" s="239">
        <f>+G15*$I$82*0.5</f>
        <v>52.923357000000003</v>
      </c>
      <c r="H16" s="239">
        <f>+H15*$I$82*0.5</f>
        <v>2.2030155000000002</v>
      </c>
      <c r="I16" s="239">
        <f>+I15*$I$82*0.5</f>
        <v>7.8201720000000012</v>
      </c>
    </row>
    <row r="17" spans="1:9" x14ac:dyDescent="0.25">
      <c r="A17" s="13" t="s">
        <v>229</v>
      </c>
      <c r="B17" s="13"/>
      <c r="C17" s="13"/>
      <c r="D17" s="13"/>
      <c r="E17" s="31"/>
      <c r="F17" s="19">
        <f>+'74'!G17</f>
        <v>198.13380000000001</v>
      </c>
      <c r="G17" s="31"/>
      <c r="H17" s="31"/>
      <c r="I17" s="19">
        <f>+'74'!G17</f>
        <v>198.13380000000001</v>
      </c>
    </row>
    <row r="18" spans="1:9" x14ac:dyDescent="0.25">
      <c r="A18" s="13" t="s">
        <v>419</v>
      </c>
      <c r="B18" s="13"/>
      <c r="C18" s="13"/>
      <c r="D18" s="13"/>
      <c r="E18" s="45"/>
      <c r="F18" s="20">
        <f>+F17*$I$81*0.5</f>
        <v>0.53496126000000011</v>
      </c>
      <c r="G18" s="45"/>
      <c r="H18" s="45"/>
      <c r="I18" s="20">
        <f>+I17*$I$81*0.5</f>
        <v>0.53496126000000011</v>
      </c>
    </row>
    <row r="19" spans="1:9" x14ac:dyDescent="0.25">
      <c r="A19" s="13"/>
      <c r="B19" s="13"/>
      <c r="C19" s="13"/>
      <c r="D19" s="13"/>
      <c r="E19" s="430">
        <f>SUM(E13:E18)</f>
        <v>567.36962736359999</v>
      </c>
      <c r="F19" s="430">
        <f>SUM(F13:F18)</f>
        <v>1861.8844691974</v>
      </c>
      <c r="G19" s="430">
        <f>SUM(G13:G18)</f>
        <v>3864.1038078870001</v>
      </c>
      <c r="H19" s="430">
        <f>SUM(H13:H18)</f>
        <v>209.44454458799999</v>
      </c>
      <c r="I19" s="430">
        <f>SUM(I13:I18)</f>
        <v>1016.5223441974001</v>
      </c>
    </row>
    <row r="20" spans="1:9" ht="13.8" thickBot="1" x14ac:dyDescent="0.3">
      <c r="A20" s="13" t="s">
        <v>424</v>
      </c>
      <c r="B20" s="13"/>
      <c r="C20" s="13"/>
      <c r="D20" s="13"/>
      <c r="E20" s="19">
        <f>+E19*$I$77</f>
        <v>144.22535927582712</v>
      </c>
      <c r="F20" s="20">
        <f>+F19*$I$77</f>
        <v>473.29103206997905</v>
      </c>
      <c r="G20" s="20">
        <f>+G19*$I$77</f>
        <v>982.2551879648754</v>
      </c>
      <c r="H20" s="20">
        <f>+H19*$I$77</f>
        <v>53.240803234269592</v>
      </c>
      <c r="I20" s="20">
        <f>+I19*$I$77</f>
        <v>258.39997989497908</v>
      </c>
    </row>
    <row r="21" spans="1:9" ht="13.8" thickBot="1" x14ac:dyDescent="0.3">
      <c r="A21" s="12" t="s">
        <v>138</v>
      </c>
      <c r="B21" s="13"/>
      <c r="C21" s="13"/>
      <c r="D21" s="13"/>
      <c r="E21" s="462">
        <f>SUM(E19:E20)</f>
        <v>711.59498663942713</v>
      </c>
      <c r="F21" s="21">
        <f>SUM(F19:F20)</f>
        <v>2335.1755012673789</v>
      </c>
      <c r="G21" s="21">
        <f>SUM(G19:G20)</f>
        <v>4846.3589958518751</v>
      </c>
      <c r="H21" s="485">
        <f>SUM(H19:H20)</f>
        <v>262.68534782226959</v>
      </c>
      <c r="I21" s="21">
        <f>SUM(I19:I20)</f>
        <v>1274.9223240923793</v>
      </c>
    </row>
    <row r="23" spans="1:9" x14ac:dyDescent="0.25">
      <c r="A23" s="13"/>
      <c r="B23" s="13"/>
      <c r="C23" s="13"/>
      <c r="D23" s="13"/>
      <c r="E23" s="13"/>
      <c r="F23" s="19"/>
      <c r="G23" s="19"/>
      <c r="H23" s="19"/>
    </row>
    <row r="24" spans="1:9" x14ac:dyDescent="0.25">
      <c r="A24" s="12" t="s">
        <v>230</v>
      </c>
      <c r="B24" s="13"/>
      <c r="C24" s="13"/>
      <c r="D24" s="13"/>
      <c r="E24" s="13"/>
      <c r="F24" s="19"/>
      <c r="G24" s="19"/>
      <c r="H24" s="19"/>
    </row>
    <row r="25" spans="1:9" x14ac:dyDescent="0.25">
      <c r="A25" s="13" t="s">
        <v>199</v>
      </c>
      <c r="B25" s="13"/>
      <c r="C25" s="13"/>
      <c r="D25" s="13"/>
      <c r="E25" s="13"/>
      <c r="F25" s="31"/>
      <c r="G25" s="31"/>
      <c r="H25" s="31"/>
      <c r="I25" s="239">
        <f>ROUND(+I71*0.083333*H21*I72,2)</f>
        <v>3.34</v>
      </c>
    </row>
    <row r="26" spans="1:9" x14ac:dyDescent="0.25">
      <c r="A26" s="13" t="s">
        <v>231</v>
      </c>
      <c r="B26" s="13"/>
      <c r="C26" s="13"/>
      <c r="D26" s="13"/>
      <c r="E26" s="13"/>
      <c r="F26" s="31"/>
      <c r="G26" s="31"/>
      <c r="H26" s="31"/>
      <c r="I26" s="242">
        <f>ROUND(+$I$75*0.083333*H21*+$I$72,2)</f>
        <v>0.87</v>
      </c>
    </row>
    <row r="27" spans="1:9" x14ac:dyDescent="0.25">
      <c r="A27" s="12" t="s">
        <v>149</v>
      </c>
      <c r="B27" s="13"/>
      <c r="C27" s="13"/>
      <c r="D27" s="13"/>
      <c r="E27" s="13"/>
      <c r="F27" s="31"/>
      <c r="G27" s="31"/>
      <c r="H27" s="31"/>
      <c r="I27" s="117">
        <f>SUM(I25:I26)</f>
        <v>4.21</v>
      </c>
    </row>
    <row r="29" spans="1:9" x14ac:dyDescent="0.25">
      <c r="A29" s="32" t="s">
        <v>232</v>
      </c>
      <c r="B29" s="13"/>
      <c r="C29" s="13"/>
      <c r="D29" s="13"/>
      <c r="E29" s="13"/>
      <c r="F29" s="19"/>
      <c r="G29" s="19"/>
      <c r="H29" s="19"/>
    </row>
    <row r="30" spans="1:9" x14ac:dyDescent="0.25">
      <c r="A30" s="32"/>
      <c r="B30" s="13"/>
      <c r="C30" s="13"/>
      <c r="D30" s="13"/>
      <c r="E30" s="13"/>
      <c r="F30" s="19"/>
      <c r="G30" s="19"/>
      <c r="H30" s="19"/>
    </row>
    <row r="31" spans="1:9" x14ac:dyDescent="0.25">
      <c r="A31" s="32" t="s">
        <v>233</v>
      </c>
      <c r="B31" s="13"/>
      <c r="C31" s="13"/>
      <c r="D31" s="13"/>
      <c r="E31" s="13"/>
      <c r="F31" s="19"/>
      <c r="G31" s="19"/>
    </row>
    <row r="32" spans="1:9" ht="10.5" customHeight="1" x14ac:dyDescent="0.25">
      <c r="A32" s="18" t="s">
        <v>234</v>
      </c>
      <c r="B32" s="18"/>
      <c r="C32" s="18"/>
      <c r="D32" s="18"/>
      <c r="E32" s="18"/>
      <c r="F32" s="19"/>
      <c r="G32" s="19"/>
      <c r="H32" s="19">
        <f>+F21</f>
        <v>2335.1755012673789</v>
      </c>
    </row>
    <row r="33" spans="1:9" x14ac:dyDescent="0.25">
      <c r="A33" s="33" t="s">
        <v>235</v>
      </c>
      <c r="B33" s="33"/>
      <c r="C33" s="33"/>
      <c r="D33" s="33"/>
      <c r="E33" s="33"/>
      <c r="F33" s="33"/>
      <c r="G33" s="33"/>
      <c r="H33" s="116">
        <f>+E21</f>
        <v>711.59498663942713</v>
      </c>
    </row>
    <row r="34" spans="1:9" ht="13.8" thickBot="1" x14ac:dyDescent="0.3">
      <c r="A34" s="464" t="s">
        <v>236</v>
      </c>
      <c r="B34" s="465"/>
      <c r="C34" s="465"/>
      <c r="D34" s="465"/>
      <c r="E34" s="465"/>
      <c r="F34" s="464"/>
      <c r="G34" s="483"/>
      <c r="H34" s="484">
        <f>+H32-H33</f>
        <v>1623.5805146279517</v>
      </c>
    </row>
    <row r="35" spans="1:9" ht="13.8" thickBot="1" x14ac:dyDescent="0.3">
      <c r="A35" s="18" t="s">
        <v>237</v>
      </c>
      <c r="B35" s="34"/>
      <c r="C35" s="34"/>
      <c r="D35" s="34"/>
      <c r="E35" s="34"/>
      <c r="F35" s="18"/>
      <c r="G35" s="33"/>
      <c r="H35" s="487">
        <f>+H34/300</f>
        <v>5.4119350487598394</v>
      </c>
    </row>
    <row r="36" spans="1:9" ht="13.8" thickBot="1" x14ac:dyDescent="0.3">
      <c r="A36" s="13" t="s">
        <v>433</v>
      </c>
      <c r="B36" s="13"/>
      <c r="C36" s="13"/>
      <c r="D36" s="13"/>
      <c r="E36" s="34"/>
      <c r="F36" s="18"/>
      <c r="G36" s="33"/>
      <c r="H36" s="153"/>
    </row>
    <row r="37" spans="1:9" x14ac:dyDescent="0.25">
      <c r="A37" s="13" t="s">
        <v>199</v>
      </c>
      <c r="B37" s="13"/>
      <c r="C37" s="13"/>
      <c r="D37" s="13"/>
      <c r="E37" s="34"/>
      <c r="F37" s="18"/>
      <c r="G37" s="33"/>
      <c r="H37" s="458">
        <f>+$I$71*0.083333*H35*$I$72</f>
        <v>6.8893651818113119E-2</v>
      </c>
    </row>
    <row r="38" spans="1:9" ht="13.8" thickBot="1" x14ac:dyDescent="0.3">
      <c r="A38" s="13" t="s">
        <v>462</v>
      </c>
      <c r="B38" s="13"/>
      <c r="C38" s="13"/>
      <c r="D38" s="13"/>
      <c r="E38" s="34"/>
      <c r="F38" s="18"/>
      <c r="G38" s="33"/>
      <c r="H38" s="459">
        <f>+$I$74*0.083333*H35*+$I$72</f>
        <v>1.9677453123286812E-2</v>
      </c>
    </row>
    <row r="39" spans="1:9" x14ac:dyDescent="0.25">
      <c r="A39" s="161" t="s">
        <v>149</v>
      </c>
      <c r="B39" s="13"/>
      <c r="C39" s="13"/>
      <c r="D39" s="13"/>
      <c r="E39" s="34"/>
      <c r="F39" s="18"/>
      <c r="G39" s="33"/>
      <c r="H39" s="460">
        <f>SUM(H37:H38)</f>
        <v>8.8571104941399928E-2</v>
      </c>
      <c r="I39" s="461"/>
    </row>
    <row r="40" spans="1:9" x14ac:dyDescent="0.25">
      <c r="A40" s="13"/>
      <c r="B40" s="13"/>
      <c r="C40" s="13"/>
      <c r="D40" s="13"/>
      <c r="E40" s="34"/>
      <c r="F40" s="18"/>
      <c r="G40" s="33"/>
      <c r="H40" s="35"/>
    </row>
    <row r="41" spans="1:9" x14ac:dyDescent="0.25">
      <c r="A41" s="36" t="s">
        <v>238</v>
      </c>
      <c r="B41" s="34"/>
      <c r="C41" s="34"/>
      <c r="D41" s="34"/>
      <c r="E41" s="34"/>
      <c r="F41" s="18"/>
      <c r="G41" s="33"/>
      <c r="H41" s="35"/>
    </row>
    <row r="42" spans="1:9" x14ac:dyDescent="0.25">
      <c r="A42" s="18" t="s">
        <v>239</v>
      </c>
      <c r="B42" s="34"/>
      <c r="C42" s="34"/>
      <c r="D42" s="34"/>
      <c r="E42" s="34"/>
      <c r="F42" s="18"/>
      <c r="G42" s="33"/>
      <c r="H42" s="19">
        <f>+G21</f>
        <v>4846.3589958518751</v>
      </c>
    </row>
    <row r="43" spans="1:9" x14ac:dyDescent="0.25">
      <c r="A43" s="18" t="s">
        <v>235</v>
      </c>
      <c r="B43" s="34"/>
      <c r="C43" s="34"/>
      <c r="D43" s="34"/>
      <c r="E43" s="34"/>
      <c r="F43" s="18"/>
      <c r="G43" s="33"/>
      <c r="H43" s="116">
        <f>+E21</f>
        <v>711.59498663942713</v>
      </c>
    </row>
    <row r="44" spans="1:9" x14ac:dyDescent="0.25">
      <c r="A44" s="18" t="s">
        <v>236</v>
      </c>
      <c r="B44" s="34"/>
      <c r="C44" s="34"/>
      <c r="D44" s="34"/>
      <c r="E44" s="34"/>
      <c r="F44" s="18"/>
      <c r="G44" s="33"/>
      <c r="H44" s="116">
        <f>+G21-E21</f>
        <v>4134.7640092124475</v>
      </c>
    </row>
    <row r="45" spans="1:9" x14ac:dyDescent="0.25">
      <c r="A45" s="33" t="s">
        <v>240</v>
      </c>
      <c r="B45" s="34"/>
      <c r="C45" s="34"/>
      <c r="D45" s="34"/>
      <c r="E45" s="34"/>
      <c r="F45" s="18"/>
      <c r="G45" s="33"/>
      <c r="H45" s="486">
        <f>+H44/300</f>
        <v>13.782546697374825</v>
      </c>
    </row>
    <row r="46" spans="1:9" x14ac:dyDescent="0.25">
      <c r="A46" s="13" t="s">
        <v>433</v>
      </c>
      <c r="B46" s="13"/>
      <c r="C46" s="13"/>
      <c r="D46" s="13"/>
      <c r="E46" s="34"/>
      <c r="F46" s="18"/>
      <c r="G46" s="33"/>
    </row>
    <row r="47" spans="1:9" x14ac:dyDescent="0.25">
      <c r="A47" s="13" t="s">
        <v>199</v>
      </c>
      <c r="B47" s="13"/>
      <c r="C47" s="13"/>
      <c r="D47" s="13"/>
      <c r="E47" s="34"/>
      <c r="F47" s="18"/>
      <c r="G47" s="33"/>
      <c r="H47" s="19">
        <f>+$I$71*0.083333*H45*$I$72</f>
        <v>0.17545110293838681</v>
      </c>
    </row>
    <row r="48" spans="1:9" x14ac:dyDescent="0.25">
      <c r="A48" s="13" t="s">
        <v>462</v>
      </c>
      <c r="B48" s="13"/>
      <c r="C48" s="13"/>
      <c r="D48" s="13"/>
      <c r="E48" s="34"/>
      <c r="F48" s="18"/>
      <c r="G48" s="33"/>
      <c r="H48" s="116">
        <f>+$I$74*0.083333*H45*+$I$72</f>
        <v>5.0112467003692526E-2</v>
      </c>
    </row>
    <row r="49" spans="1:8" x14ac:dyDescent="0.25">
      <c r="A49" s="161" t="s">
        <v>149</v>
      </c>
      <c r="B49" s="13"/>
      <c r="C49" s="13"/>
      <c r="D49" s="13"/>
      <c r="E49" s="34"/>
      <c r="F49" s="18"/>
      <c r="G49" s="33"/>
      <c r="H49" s="163">
        <f>SUM(H47:H48)</f>
        <v>0.22556356994207932</v>
      </c>
    </row>
    <row r="50" spans="1:8" x14ac:dyDescent="0.25">
      <c r="A50" s="161"/>
      <c r="B50" s="13"/>
      <c r="C50" s="13"/>
      <c r="D50" s="13"/>
      <c r="E50" s="34"/>
      <c r="F50" s="18"/>
      <c r="G50" s="33"/>
      <c r="H50" s="162"/>
    </row>
    <row r="51" spans="1:8" x14ac:dyDescent="0.25">
      <c r="A51" s="13"/>
      <c r="B51" s="13"/>
      <c r="C51" s="13"/>
      <c r="D51" s="13"/>
      <c r="E51" s="34"/>
      <c r="F51" s="18"/>
      <c r="G51" s="33"/>
    </row>
    <row r="52" spans="1:8" x14ac:dyDescent="0.25">
      <c r="A52" s="13"/>
      <c r="B52" s="13"/>
      <c r="C52" s="13"/>
      <c r="D52" s="13"/>
      <c r="E52" s="34"/>
      <c r="F52" s="18"/>
      <c r="G52" s="33"/>
    </row>
    <row r="53" spans="1:8" x14ac:dyDescent="0.25">
      <c r="A53" s="13"/>
      <c r="B53" s="13"/>
      <c r="C53" s="13"/>
      <c r="D53" s="13"/>
      <c r="E53" s="34"/>
      <c r="F53" s="18"/>
      <c r="G53" s="33"/>
    </row>
    <row r="54" spans="1:8" x14ac:dyDescent="0.25">
      <c r="A54" s="13"/>
      <c r="B54" s="13"/>
      <c r="C54" s="13"/>
      <c r="D54" s="13"/>
      <c r="E54" s="34"/>
      <c r="F54" s="18"/>
      <c r="G54" s="33"/>
    </row>
    <row r="55" spans="1:8" x14ac:dyDescent="0.25">
      <c r="A55" s="13"/>
      <c r="B55" s="13"/>
      <c r="C55" s="13"/>
      <c r="D55" s="13"/>
      <c r="E55" s="34"/>
      <c r="F55" s="18"/>
      <c r="G55" s="33"/>
    </row>
    <row r="56" spans="1:8" x14ac:dyDescent="0.25">
      <c r="A56" s="32" t="s">
        <v>461</v>
      </c>
      <c r="B56" s="13"/>
      <c r="C56" s="13"/>
      <c r="D56" s="13"/>
      <c r="E56" s="13"/>
      <c r="F56" s="19"/>
      <c r="G56" s="19"/>
    </row>
    <row r="57" spans="1:8" x14ac:dyDescent="0.25">
      <c r="A57" s="18" t="s">
        <v>438</v>
      </c>
      <c r="B57" s="18"/>
      <c r="C57" s="18"/>
      <c r="D57" s="18"/>
      <c r="E57" s="18"/>
      <c r="F57" s="19"/>
      <c r="G57" s="19"/>
      <c r="H57" s="19">
        <f>+I21</f>
        <v>1274.9223240923793</v>
      </c>
    </row>
    <row r="58" spans="1:8" x14ac:dyDescent="0.25">
      <c r="A58" s="33" t="s">
        <v>235</v>
      </c>
      <c r="B58" s="33"/>
      <c r="C58" s="33"/>
      <c r="D58" s="33"/>
      <c r="E58" s="33"/>
      <c r="F58" s="33"/>
      <c r="G58" s="33"/>
      <c r="H58" s="116">
        <f>+E21</f>
        <v>711.59498663942713</v>
      </c>
    </row>
    <row r="59" spans="1:8" x14ac:dyDescent="0.25">
      <c r="A59" s="18" t="s">
        <v>236</v>
      </c>
      <c r="B59" s="34"/>
      <c r="C59" s="34"/>
      <c r="D59" s="34"/>
      <c r="E59" s="34"/>
      <c r="F59" s="18"/>
      <c r="G59" s="33"/>
      <c r="H59" s="116">
        <f>+H57-H58</f>
        <v>563.32733745295218</v>
      </c>
    </row>
    <row r="60" spans="1:8" x14ac:dyDescent="0.25">
      <c r="A60" s="18" t="s">
        <v>237</v>
      </c>
      <c r="B60" s="34"/>
      <c r="C60" s="34"/>
      <c r="D60" s="34"/>
      <c r="E60" s="34"/>
      <c r="F60" s="18"/>
      <c r="G60" s="33"/>
      <c r="H60" s="21">
        <f>+H59/300</f>
        <v>1.8777577915098407</v>
      </c>
    </row>
    <row r="62" spans="1:8" x14ac:dyDescent="0.25">
      <c r="A62" s="13" t="s">
        <v>199</v>
      </c>
      <c r="B62" s="13"/>
      <c r="C62" s="13"/>
      <c r="D62" s="13"/>
      <c r="E62" s="34"/>
      <c r="F62" s="18"/>
      <c r="G62" s="33"/>
      <c r="H62" s="241">
        <f>+$I$71*0.083333*H60*$I$72</f>
        <v>2.3903759066116748E-2</v>
      </c>
    </row>
    <row r="63" spans="1:8" x14ac:dyDescent="0.25">
      <c r="A63" s="13" t="s">
        <v>231</v>
      </c>
      <c r="B63" s="13"/>
      <c r="C63" s="13"/>
      <c r="D63" s="13"/>
      <c r="E63" s="34"/>
      <c r="F63" s="18"/>
      <c r="G63" s="33"/>
      <c r="H63" s="243">
        <f>+$I$75*0.083333*H60*+$I$72</f>
        <v>6.2292272233876473E-3</v>
      </c>
    </row>
    <row r="64" spans="1:8" x14ac:dyDescent="0.25">
      <c r="A64" s="161" t="s">
        <v>149</v>
      </c>
      <c r="B64" s="13"/>
      <c r="C64" s="13"/>
      <c r="D64" s="13"/>
      <c r="E64" s="34"/>
      <c r="F64" s="18"/>
      <c r="G64" s="33"/>
      <c r="H64" s="163">
        <f>SUM(H62:H63)</f>
        <v>3.0132986289504393E-2</v>
      </c>
    </row>
    <row r="65" spans="1:9" x14ac:dyDescent="0.25">
      <c r="A65" s="13"/>
      <c r="B65" s="13"/>
      <c r="C65" s="13"/>
      <c r="D65" s="13"/>
      <c r="E65" s="34"/>
      <c r="F65" s="18"/>
      <c r="G65" s="33"/>
    </row>
    <row r="66" spans="1:9" x14ac:dyDescent="0.25">
      <c r="A66" s="13"/>
      <c r="B66" s="13"/>
      <c r="C66" s="13"/>
      <c r="D66" s="13"/>
      <c r="E66" s="34"/>
      <c r="F66" s="18"/>
      <c r="G66" s="33"/>
    </row>
    <row r="67" spans="1:9" x14ac:dyDescent="0.25">
      <c r="A67" s="13"/>
      <c r="B67" s="13"/>
      <c r="C67" s="13"/>
      <c r="D67" s="13"/>
      <c r="E67" s="34"/>
      <c r="F67" s="18"/>
      <c r="G67" s="33"/>
    </row>
    <row r="68" spans="1:9" x14ac:dyDescent="0.25">
      <c r="A68" s="13"/>
      <c r="B68" s="13"/>
      <c r="C68" s="13"/>
      <c r="D68" s="13"/>
      <c r="E68" s="34"/>
      <c r="F68" s="18"/>
      <c r="G68" s="33"/>
    </row>
    <row r="69" spans="1:9" x14ac:dyDescent="0.25">
      <c r="A69" s="13"/>
      <c r="B69" s="13"/>
      <c r="C69" s="13"/>
      <c r="D69" s="13"/>
      <c r="E69" s="34"/>
      <c r="F69" s="18"/>
      <c r="G69" s="33"/>
    </row>
    <row r="70" spans="1:9" x14ac:dyDescent="0.25">
      <c r="A70" s="13"/>
      <c r="B70" s="13"/>
      <c r="C70" s="13"/>
      <c r="D70" s="13"/>
      <c r="E70" s="34"/>
      <c r="F70" s="18"/>
      <c r="G70" s="33"/>
      <c r="H70" s="35"/>
    </row>
    <row r="71" spans="1:9" x14ac:dyDescent="0.25">
      <c r="A71" s="37" t="s">
        <v>203</v>
      </c>
      <c r="B71" s="38"/>
      <c r="C71" s="38"/>
      <c r="D71" s="37"/>
      <c r="E71" s="34"/>
      <c r="G71" s="9" t="s">
        <v>152</v>
      </c>
      <c r="H71" s="8"/>
      <c r="I71" s="23">
        <f>+'Data Entry'!E9</f>
        <v>0.15265000000000001</v>
      </c>
    </row>
    <row r="72" spans="1:9" x14ac:dyDescent="0.25">
      <c r="A72" s="37" t="s">
        <v>204</v>
      </c>
      <c r="B72" s="38"/>
      <c r="C72" s="38"/>
      <c r="D72" s="37"/>
      <c r="E72" s="34"/>
      <c r="G72" s="10" t="s">
        <v>3</v>
      </c>
      <c r="H72" s="7"/>
      <c r="I72" s="24">
        <f>+'Data Entry'!C10</f>
        <v>1.0007205187735171</v>
      </c>
    </row>
    <row r="73" spans="1:9" x14ac:dyDescent="0.25">
      <c r="A73" s="37" t="s">
        <v>241</v>
      </c>
      <c r="B73" s="38"/>
      <c r="C73" s="38"/>
      <c r="D73" s="39"/>
      <c r="E73" s="33"/>
      <c r="G73" s="11" t="s">
        <v>4</v>
      </c>
      <c r="I73" s="25"/>
    </row>
    <row r="74" spans="1:9" x14ac:dyDescent="0.25">
      <c r="A74" s="5" t="s">
        <v>206</v>
      </c>
      <c r="B74" s="39"/>
      <c r="C74" s="39"/>
      <c r="D74" s="39"/>
      <c r="E74" s="33"/>
      <c r="G74" s="11" t="s">
        <v>5</v>
      </c>
      <c r="I74" s="26">
        <f>+'Data Entry'!C12</f>
        <v>4.36E-2</v>
      </c>
    </row>
    <row r="75" spans="1:9" x14ac:dyDescent="0.25">
      <c r="A75" s="5" t="s">
        <v>463</v>
      </c>
      <c r="B75" s="33"/>
      <c r="C75" s="33"/>
      <c r="D75" s="33"/>
      <c r="E75" s="33"/>
      <c r="G75" s="10" t="s">
        <v>6</v>
      </c>
      <c r="H75" s="7"/>
      <c r="I75" s="27">
        <f>+'Data Entry'!C13</f>
        <v>3.9780000000000003E-2</v>
      </c>
    </row>
    <row r="76" spans="1:9" x14ac:dyDescent="0.25">
      <c r="G76" s="10" t="s">
        <v>7</v>
      </c>
      <c r="H76" s="7"/>
      <c r="I76" s="28">
        <f>+'Data Entry'!C14</f>
        <v>2.6519999999999998E-2</v>
      </c>
    </row>
    <row r="77" spans="1:9" x14ac:dyDescent="0.25">
      <c r="G77" s="10" t="s">
        <v>8</v>
      </c>
      <c r="H77" s="7"/>
      <c r="I77" s="27">
        <f>+'Data Entry'!C15</f>
        <v>0.25419999999999998</v>
      </c>
    </row>
    <row r="78" spans="1:9" x14ac:dyDescent="0.25">
      <c r="G78" s="10" t="s">
        <v>9</v>
      </c>
      <c r="H78" s="7"/>
      <c r="I78" s="27">
        <f>+'Data Entry'!C16</f>
        <v>5.9400000000000001E-2</v>
      </c>
    </row>
    <row r="79" spans="1:9" x14ac:dyDescent="0.25">
      <c r="B79" s="5"/>
      <c r="C79" s="5"/>
      <c r="D79" s="5"/>
      <c r="E79" s="5"/>
      <c r="G79" s="10" t="s">
        <v>161</v>
      </c>
      <c r="H79" s="7"/>
      <c r="I79" s="29">
        <f>+'Data Entry'!C17</f>
        <v>97</v>
      </c>
    </row>
    <row r="80" spans="1:9" x14ac:dyDescent="0.25">
      <c r="B80" s="5"/>
      <c r="C80" s="5"/>
      <c r="D80" s="5"/>
      <c r="E80" s="5"/>
      <c r="G80" s="10" t="s">
        <v>12</v>
      </c>
      <c r="H80" s="7"/>
      <c r="I80" s="29">
        <f>+'Data Entry'!C18</f>
        <v>97</v>
      </c>
    </row>
    <row r="81" spans="7:9" x14ac:dyDescent="0.25">
      <c r="G81" s="10" t="s">
        <v>14</v>
      </c>
      <c r="H81" s="7"/>
      <c r="I81" s="27">
        <f>+'Data Entry'!C19</f>
        <v>5.4000000000000003E-3</v>
      </c>
    </row>
    <row r="82" spans="7:9" x14ac:dyDescent="0.25">
      <c r="G82" s="10" t="s">
        <v>17</v>
      </c>
      <c r="H82" s="7"/>
      <c r="I82" s="27">
        <f>+'Data Entry'!C20</f>
        <v>3.09E-2</v>
      </c>
    </row>
  </sheetData>
  <mergeCells count="1">
    <mergeCell ref="A5:M6"/>
  </mergeCells>
  <phoneticPr fontId="28" type="noConversion"/>
  <pageMargins left="0.75" right="0.25" top="0.25" bottom="0.25" header="0.5" footer="0.22"/>
  <pageSetup scale="71" orientation="portrait" horizontalDpi="300" verticalDpi="300" r:id="rId1"/>
  <headerFooter alignWithMargins="0">
    <oddFooter>&amp;R&amp;A</oddFooter>
  </headerFooter>
  <rowBreaks count="1" manualBreakCount="1">
    <brk id="51" max="16383" man="1"/>
  </rowBreaks>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2"/>
  <sheetViews>
    <sheetView workbookViewId="0">
      <selection activeCell="A2" sqref="A1:A2"/>
    </sheetView>
  </sheetViews>
  <sheetFormatPr defaultRowHeight="13.2" x14ac:dyDescent="0.25"/>
  <cols>
    <col min="1" max="1" width="16" customWidth="1"/>
    <col min="3" max="3" width="15.5546875" style="46" customWidth="1"/>
    <col min="7" max="7" width="10.88671875" customWidth="1"/>
  </cols>
  <sheetData>
    <row r="1" spans="1:7" x14ac:dyDescent="0.25">
      <c r="A1" s="773" t="s">
        <v>956</v>
      </c>
    </row>
    <row r="2" spans="1:7" x14ac:dyDescent="0.25">
      <c r="A2" s="773" t="s">
        <v>923</v>
      </c>
    </row>
    <row r="4" spans="1:7" x14ac:dyDescent="0.25">
      <c r="A4" s="1" t="s">
        <v>242</v>
      </c>
      <c r="B4" s="1"/>
      <c r="C4" s="91"/>
      <c r="D4" s="1"/>
      <c r="E4" s="1"/>
      <c r="F4" s="1"/>
      <c r="G4" s="1"/>
    </row>
    <row r="5" spans="1:7" x14ac:dyDescent="0.25">
      <c r="A5" s="1" t="s">
        <v>243</v>
      </c>
      <c r="B5" s="1"/>
      <c r="C5" s="91"/>
      <c r="D5" s="1"/>
      <c r="E5" s="1"/>
      <c r="F5" s="1"/>
      <c r="G5" s="1"/>
    </row>
    <row r="6" spans="1:7" x14ac:dyDescent="0.25">
      <c r="A6" s="1" t="s">
        <v>129</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4"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+E12*F12</f>
        <v>0.36</v>
      </c>
    </row>
    <row r="13" spans="1:7" x14ac:dyDescent="0.25">
      <c r="A13" t="s">
        <v>254</v>
      </c>
      <c r="C13" s="46">
        <v>110104001</v>
      </c>
      <c r="E13">
        <v>2</v>
      </c>
      <c r="F13" s="3">
        <f>+'Data Entry'!D30</f>
        <v>0.63</v>
      </c>
      <c r="G13" s="3">
        <f t="shared" ref="G13:G26" si="0">+E13*F13</f>
        <v>1.26</v>
      </c>
    </row>
    <row r="14" spans="1:7" x14ac:dyDescent="0.25">
      <c r="A14" t="s">
        <v>255</v>
      </c>
      <c r="C14" s="46">
        <v>112308003</v>
      </c>
      <c r="E14">
        <v>2</v>
      </c>
      <c r="F14" s="3">
        <f>+'Data Entry'!D31</f>
        <v>0.28999999999999998</v>
      </c>
      <c r="G14" s="3">
        <f t="shared" si="0"/>
        <v>0.57999999999999996</v>
      </c>
    </row>
    <row r="15" spans="1:7" x14ac:dyDescent="0.25">
      <c r="A15" t="s">
        <v>256</v>
      </c>
      <c r="C15" s="46">
        <v>120111001</v>
      </c>
      <c r="E15">
        <v>1</v>
      </c>
      <c r="F15" s="3">
        <f>+'Data Entry'!D35</f>
        <v>0.55000000000000004</v>
      </c>
      <c r="G15" s="3">
        <f t="shared" si="0"/>
        <v>0.55000000000000004</v>
      </c>
    </row>
    <row r="16" spans="1:7" x14ac:dyDescent="0.25">
      <c r="A16" t="s">
        <v>257</v>
      </c>
      <c r="C16" s="46">
        <v>140590001</v>
      </c>
      <c r="E16">
        <v>2</v>
      </c>
      <c r="F16" s="3">
        <f>+'Data Entry'!D40</f>
        <v>0.84</v>
      </c>
      <c r="G16" s="3">
        <f t="shared" si="0"/>
        <v>1.68</v>
      </c>
    </row>
    <row r="17" spans="1:7" x14ac:dyDescent="0.25">
      <c r="A17" t="s">
        <v>258</v>
      </c>
      <c r="C17" s="244">
        <v>142631007</v>
      </c>
      <c r="E17">
        <v>0.02</v>
      </c>
      <c r="F17" s="3">
        <f>+'Data Entry'!D42</f>
        <v>3.82</v>
      </c>
      <c r="G17" s="3">
        <f t="shared" si="0"/>
        <v>7.6399999999999996E-2</v>
      </c>
    </row>
    <row r="18" spans="1:7" x14ac:dyDescent="0.25">
      <c r="A18" t="s">
        <v>259</v>
      </c>
      <c r="C18" s="46">
        <v>144304003</v>
      </c>
      <c r="E18">
        <v>1</v>
      </c>
      <c r="F18" s="3">
        <f>+'Data Entry'!D43</f>
        <v>0.31</v>
      </c>
      <c r="G18" s="3">
        <f t="shared" si="0"/>
        <v>0.31</v>
      </c>
    </row>
    <row r="19" spans="1:7" x14ac:dyDescent="0.25">
      <c r="A19" t="s">
        <v>260</v>
      </c>
      <c r="C19" s="46">
        <v>145360004</v>
      </c>
      <c r="E19">
        <v>1</v>
      </c>
      <c r="F19" s="3">
        <f>+'Data Entry'!D46</f>
        <v>0.12</v>
      </c>
      <c r="G19" s="3">
        <f t="shared" si="0"/>
        <v>0.12</v>
      </c>
    </row>
    <row r="20" spans="1:7" x14ac:dyDescent="0.25">
      <c r="A20" t="s">
        <v>260</v>
      </c>
      <c r="C20" s="46">
        <v>145374005</v>
      </c>
      <c r="E20">
        <v>2</v>
      </c>
      <c r="F20" s="3">
        <f>+'Data Entry'!D49</f>
        <v>0.13</v>
      </c>
      <c r="G20" s="3">
        <f t="shared" si="0"/>
        <v>0.26</v>
      </c>
    </row>
    <row r="21" spans="1:7" x14ac:dyDescent="0.25">
      <c r="A21" t="s">
        <v>260</v>
      </c>
      <c r="C21" s="46">
        <v>145395002</v>
      </c>
      <c r="E21">
        <v>1</v>
      </c>
      <c r="F21" s="3">
        <f>+'Data Entry'!D51</f>
        <v>0.2</v>
      </c>
      <c r="G21" s="3">
        <f t="shared" si="0"/>
        <v>0.2</v>
      </c>
    </row>
    <row r="22" spans="1:7" x14ac:dyDescent="0.25">
      <c r="A22" t="s">
        <v>261</v>
      </c>
      <c r="C22" s="46">
        <v>170831007</v>
      </c>
      <c r="E22">
        <v>1</v>
      </c>
      <c r="F22" s="3">
        <f>+'Data Entry'!D72</f>
        <v>35.880000000000003</v>
      </c>
      <c r="G22" s="3">
        <f t="shared" si="0"/>
        <v>35.880000000000003</v>
      </c>
    </row>
    <row r="23" spans="1:7" x14ac:dyDescent="0.25">
      <c r="A23" t="s">
        <v>262</v>
      </c>
      <c r="C23" s="46">
        <v>171407004</v>
      </c>
      <c r="E23">
        <v>1</v>
      </c>
      <c r="F23" s="3">
        <f>+'Data Entry'!D104</f>
        <v>4.87</v>
      </c>
      <c r="G23" s="3">
        <f t="shared" si="0"/>
        <v>4.87</v>
      </c>
    </row>
    <row r="24" spans="1:7" x14ac:dyDescent="0.25">
      <c r="A24" t="s">
        <v>263</v>
      </c>
      <c r="C24" s="46">
        <v>172205006</v>
      </c>
      <c r="E24">
        <v>1</v>
      </c>
      <c r="F24" s="3">
        <f>+'Data Entry'!D111</f>
        <v>27.28</v>
      </c>
      <c r="G24" s="3">
        <f t="shared" si="0"/>
        <v>27.28</v>
      </c>
    </row>
    <row r="25" spans="1:7" x14ac:dyDescent="0.25">
      <c r="A25" t="s">
        <v>264</v>
      </c>
      <c r="C25" s="46">
        <v>174605001</v>
      </c>
      <c r="E25">
        <v>1</v>
      </c>
      <c r="F25" s="3">
        <f>+'Data Entry'!D113</f>
        <v>3.77</v>
      </c>
      <c r="G25" s="3">
        <f t="shared" si="0"/>
        <v>3.77</v>
      </c>
    </row>
    <row r="26" spans="1:7" x14ac:dyDescent="0.25">
      <c r="A26" t="s">
        <v>265</v>
      </c>
      <c r="C26" s="46">
        <v>548800083</v>
      </c>
      <c r="E26">
        <v>1</v>
      </c>
      <c r="F26" s="3">
        <f>+'Data Entry'!D119</f>
        <v>1.35</v>
      </c>
      <c r="G26" s="51">
        <f t="shared" si="0"/>
        <v>1.35</v>
      </c>
    </row>
    <row r="27" spans="1:7" x14ac:dyDescent="0.25">
      <c r="G27" s="52">
        <f>SUM(G12:G26)</f>
        <v>78.546399999999991</v>
      </c>
    </row>
    <row r="28" spans="1:7" ht="21" x14ac:dyDescent="0.4">
      <c r="C28" s="53"/>
      <c r="D28" s="54"/>
      <c r="E28" s="1"/>
    </row>
    <row r="29" spans="1:7" ht="21" x14ac:dyDescent="0.4">
      <c r="B29" s="1" t="s">
        <v>266</v>
      </c>
      <c r="C29" s="53" t="s">
        <v>267</v>
      </c>
      <c r="D29" s="54" t="s">
        <v>268</v>
      </c>
      <c r="E29" s="1"/>
      <c r="F29" s="55" t="s">
        <v>269</v>
      </c>
      <c r="G29" s="1" t="s">
        <v>247</v>
      </c>
    </row>
    <row r="30" spans="1:7" ht="13.8" thickBot="1" x14ac:dyDescent="0.3">
      <c r="B30" s="32" t="s">
        <v>252</v>
      </c>
      <c r="C30" s="71" t="s">
        <v>270</v>
      </c>
      <c r="D30" s="32" t="s">
        <v>271</v>
      </c>
      <c r="E30" s="1"/>
      <c r="F30" s="1"/>
      <c r="G30" s="32" t="s">
        <v>272</v>
      </c>
    </row>
    <row r="31" spans="1:7" ht="13.8" thickBot="1" x14ac:dyDescent="0.3">
      <c r="B31" s="3">
        <f>+G27</f>
        <v>78.546399999999991</v>
      </c>
      <c r="C31" s="3">
        <f>+B31*(+'Data Entry'!C21)</f>
        <v>4.7127839999999992</v>
      </c>
      <c r="D31" s="3">
        <f>+B31*(+'Data Entry'!C16)</f>
        <v>4.6656561599999993</v>
      </c>
      <c r="G31" s="278">
        <f>SUM(B31:F31)</f>
        <v>87.924840159999988</v>
      </c>
    </row>
    <row r="32" spans="1:7" x14ac:dyDescent="0.25">
      <c r="C32"/>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2"/>
  <sheetViews>
    <sheetView workbookViewId="0">
      <selection activeCell="A2" sqref="A1:A2"/>
    </sheetView>
  </sheetViews>
  <sheetFormatPr defaultRowHeight="13.2" x14ac:dyDescent="0.25"/>
  <cols>
    <col min="1" max="1" width="16" customWidth="1"/>
    <col min="3" max="3" width="14.6640625" style="46" customWidth="1"/>
  </cols>
  <sheetData>
    <row r="1" spans="1:7" x14ac:dyDescent="0.25">
      <c r="A1" s="773" t="s">
        <v>957</v>
      </c>
    </row>
    <row r="2" spans="1:7" x14ac:dyDescent="0.25">
      <c r="A2" s="773" t="s">
        <v>923</v>
      </c>
    </row>
    <row r="4" spans="1:7" x14ac:dyDescent="0.25">
      <c r="A4" s="1" t="s">
        <v>242</v>
      </c>
      <c r="B4" s="1"/>
      <c r="C4" s="91"/>
      <c r="D4" s="1"/>
      <c r="E4" s="1"/>
      <c r="F4" s="1"/>
      <c r="G4" s="1"/>
    </row>
    <row r="5" spans="1:7" x14ac:dyDescent="0.25">
      <c r="A5" s="1" t="s">
        <v>243</v>
      </c>
      <c r="B5" s="1"/>
      <c r="C5" s="91"/>
      <c r="D5" s="1"/>
      <c r="E5" s="1"/>
      <c r="F5" s="1"/>
      <c r="G5" s="1"/>
    </row>
    <row r="6" spans="1:7" x14ac:dyDescent="0.25">
      <c r="A6" s="1" t="s">
        <v>273</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4"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26" si="0">+E12*F12</f>
        <v>0.36</v>
      </c>
    </row>
    <row r="13" spans="1:7" x14ac:dyDescent="0.25">
      <c r="A13" t="s">
        <v>254</v>
      </c>
      <c r="C13" s="46">
        <v>110104001</v>
      </c>
      <c r="E13">
        <v>2</v>
      </c>
      <c r="F13" s="3">
        <f>+'Data Entry'!D30</f>
        <v>0.63</v>
      </c>
      <c r="G13" s="3">
        <f t="shared" si="0"/>
        <v>1.26</v>
      </c>
    </row>
    <row r="14" spans="1:7" x14ac:dyDescent="0.25">
      <c r="A14" t="s">
        <v>255</v>
      </c>
      <c r="C14" s="46">
        <v>112308003</v>
      </c>
      <c r="E14">
        <v>2</v>
      </c>
      <c r="F14" s="3">
        <f>+'Data Entry'!D31</f>
        <v>0.28999999999999998</v>
      </c>
      <c r="G14" s="3">
        <f t="shared" si="0"/>
        <v>0.57999999999999996</v>
      </c>
    </row>
    <row r="15" spans="1:7" x14ac:dyDescent="0.25">
      <c r="A15" t="s">
        <v>256</v>
      </c>
      <c r="C15" s="46">
        <v>120111001</v>
      </c>
      <c r="E15">
        <v>1</v>
      </c>
      <c r="F15" s="3">
        <f>+'Data Entry'!D35</f>
        <v>0.55000000000000004</v>
      </c>
      <c r="G15" s="3">
        <f t="shared" si="0"/>
        <v>0.55000000000000004</v>
      </c>
    </row>
    <row r="16" spans="1:7" x14ac:dyDescent="0.25">
      <c r="A16" t="s">
        <v>257</v>
      </c>
      <c r="C16" s="46">
        <v>140590001</v>
      </c>
      <c r="E16">
        <v>2</v>
      </c>
      <c r="F16" s="3">
        <f>+'Data Entry'!D40</f>
        <v>0.84</v>
      </c>
      <c r="G16" s="3">
        <f t="shared" si="0"/>
        <v>1.68</v>
      </c>
    </row>
    <row r="17" spans="1:7" x14ac:dyDescent="0.25">
      <c r="A17" t="s">
        <v>258</v>
      </c>
      <c r="C17" s="244">
        <v>142631007</v>
      </c>
      <c r="E17">
        <v>0.02</v>
      </c>
      <c r="F17" s="3">
        <f>+'Data Entry'!D42</f>
        <v>3.82</v>
      </c>
      <c r="G17" s="3">
        <f t="shared" si="0"/>
        <v>7.6399999999999996E-2</v>
      </c>
    </row>
    <row r="18" spans="1:7" x14ac:dyDescent="0.25">
      <c r="A18" t="s">
        <v>259</v>
      </c>
      <c r="C18" s="46">
        <v>144304003</v>
      </c>
      <c r="E18">
        <v>1</v>
      </c>
      <c r="F18" s="3">
        <f>+'Data Entry'!D43</f>
        <v>0.31</v>
      </c>
      <c r="G18" s="3">
        <f t="shared" si="0"/>
        <v>0.31</v>
      </c>
    </row>
    <row r="19" spans="1:7" x14ac:dyDescent="0.25">
      <c r="A19" t="s">
        <v>260</v>
      </c>
      <c r="C19" s="46">
        <v>145360004</v>
      </c>
      <c r="E19">
        <v>1</v>
      </c>
      <c r="F19" s="3">
        <f>+'Data Entry'!D46</f>
        <v>0.12</v>
      </c>
      <c r="G19" s="3">
        <f t="shared" si="0"/>
        <v>0.12</v>
      </c>
    </row>
    <row r="20" spans="1:7" x14ac:dyDescent="0.25">
      <c r="A20" t="s">
        <v>260</v>
      </c>
      <c r="C20" s="46">
        <v>145374005</v>
      </c>
      <c r="E20">
        <v>2</v>
      </c>
      <c r="F20" s="3">
        <f>+'Data Entry'!D49</f>
        <v>0.13</v>
      </c>
      <c r="G20" s="3">
        <f t="shared" si="0"/>
        <v>0.26</v>
      </c>
    </row>
    <row r="21" spans="1:7" x14ac:dyDescent="0.25">
      <c r="A21" t="s">
        <v>260</v>
      </c>
      <c r="C21" s="46">
        <v>145395002</v>
      </c>
      <c r="E21">
        <v>1</v>
      </c>
      <c r="F21" s="3">
        <f>+'Data Entry'!D51</f>
        <v>0.2</v>
      </c>
      <c r="G21" s="3">
        <f t="shared" si="0"/>
        <v>0.2</v>
      </c>
    </row>
    <row r="22" spans="1:7" x14ac:dyDescent="0.25">
      <c r="A22" t="s">
        <v>261</v>
      </c>
      <c r="C22" s="46">
        <v>170922045</v>
      </c>
      <c r="E22">
        <v>1</v>
      </c>
      <c r="F22" s="3">
        <f>+'Data Entry'!D89</f>
        <v>54.62</v>
      </c>
      <c r="G22" s="3">
        <f t="shared" si="0"/>
        <v>54.62</v>
      </c>
    </row>
    <row r="23" spans="1:7" x14ac:dyDescent="0.25">
      <c r="A23" t="s">
        <v>262</v>
      </c>
      <c r="C23" s="46">
        <v>171407004</v>
      </c>
      <c r="E23">
        <v>1</v>
      </c>
      <c r="F23" s="3">
        <f>+'Data Entry'!D104</f>
        <v>4.87</v>
      </c>
      <c r="G23" s="3">
        <f t="shared" si="0"/>
        <v>4.87</v>
      </c>
    </row>
    <row r="24" spans="1:7" x14ac:dyDescent="0.25">
      <c r="A24" t="s">
        <v>263</v>
      </c>
      <c r="C24" s="46">
        <v>172205006</v>
      </c>
      <c r="E24">
        <v>1</v>
      </c>
      <c r="F24" s="3">
        <f>+'Data Entry'!D111</f>
        <v>27.28</v>
      </c>
      <c r="G24" s="3">
        <f t="shared" si="0"/>
        <v>27.28</v>
      </c>
    </row>
    <row r="25" spans="1:7" x14ac:dyDescent="0.25">
      <c r="A25" t="s">
        <v>264</v>
      </c>
      <c r="C25" s="46">
        <v>174605001</v>
      </c>
      <c r="E25">
        <v>1</v>
      </c>
      <c r="F25" s="3">
        <f>+'Data Entry'!D113</f>
        <v>3.77</v>
      </c>
      <c r="G25" s="3">
        <f t="shared" si="0"/>
        <v>3.77</v>
      </c>
    </row>
    <row r="26" spans="1:7" x14ac:dyDescent="0.25">
      <c r="A26" t="s">
        <v>265</v>
      </c>
      <c r="C26" s="46">
        <v>548800083</v>
      </c>
      <c r="E26">
        <v>1</v>
      </c>
      <c r="F26" s="3">
        <f>+'Data Entry'!D119</f>
        <v>1.35</v>
      </c>
      <c r="G26" s="51">
        <f t="shared" si="0"/>
        <v>1.35</v>
      </c>
    </row>
    <row r="27" spans="1:7" x14ac:dyDescent="0.25">
      <c r="G27" s="52">
        <f>SUM(G12:G26)</f>
        <v>97.286399999999986</v>
      </c>
    </row>
    <row r="28" spans="1:7" ht="21" x14ac:dyDescent="0.4">
      <c r="B28" s="1"/>
      <c r="C28" s="53"/>
      <c r="D28" s="54"/>
      <c r="E28" s="1"/>
      <c r="F28" s="55"/>
      <c r="G28" s="1"/>
    </row>
    <row r="29" spans="1:7" ht="21" x14ac:dyDescent="0.4">
      <c r="B29" s="1" t="s">
        <v>266</v>
      </c>
      <c r="C29" s="53" t="s">
        <v>267</v>
      </c>
      <c r="D29" s="54" t="s">
        <v>268</v>
      </c>
      <c r="E29" s="1"/>
      <c r="F29" s="55" t="s">
        <v>269</v>
      </c>
      <c r="G29" s="1" t="s">
        <v>247</v>
      </c>
    </row>
    <row r="30" spans="1:7" x14ac:dyDescent="0.25">
      <c r="B30" s="32" t="s">
        <v>252</v>
      </c>
      <c r="C30" s="71" t="s">
        <v>270</v>
      </c>
      <c r="D30" s="32" t="s">
        <v>271</v>
      </c>
      <c r="E30" s="1"/>
      <c r="F30" s="1"/>
      <c r="G30" s="32" t="s">
        <v>272</v>
      </c>
    </row>
    <row r="31" spans="1:7" x14ac:dyDescent="0.25">
      <c r="B31" s="3">
        <f>+G27</f>
        <v>97.286399999999986</v>
      </c>
      <c r="C31" s="3">
        <f>+B31*(+'Data Entry'!C21)</f>
        <v>5.8371839999999988</v>
      </c>
      <c r="D31" s="3">
        <f>+B31*(+'Data Entry'!C16)</f>
        <v>5.7788121599999993</v>
      </c>
      <c r="G31" s="3">
        <f>SUM(B31:F31)</f>
        <v>108.90239615999998</v>
      </c>
    </row>
    <row r="32" spans="1:7" x14ac:dyDescent="0.25">
      <c r="C32"/>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2"/>
  <sheetViews>
    <sheetView workbookViewId="0">
      <selection sqref="A1:A2"/>
    </sheetView>
  </sheetViews>
  <sheetFormatPr defaultRowHeight="13.2" x14ac:dyDescent="0.25"/>
  <cols>
    <col min="1" max="1" width="16" customWidth="1"/>
    <col min="3" max="3" width="14.6640625" style="46" customWidth="1"/>
  </cols>
  <sheetData>
    <row r="1" spans="1:7" x14ac:dyDescent="0.25">
      <c r="A1" s="773" t="s">
        <v>958</v>
      </c>
    </row>
    <row r="2" spans="1:7" x14ac:dyDescent="0.25">
      <c r="A2" s="773" t="s">
        <v>923</v>
      </c>
    </row>
    <row r="4" spans="1:7" x14ac:dyDescent="0.25">
      <c r="A4" s="1" t="s">
        <v>242</v>
      </c>
      <c r="B4" s="1"/>
      <c r="C4" s="91"/>
      <c r="D4" s="1"/>
      <c r="E4" s="1"/>
      <c r="F4" s="1"/>
      <c r="G4" s="1"/>
    </row>
    <row r="5" spans="1:7" x14ac:dyDescent="0.25">
      <c r="A5" s="1" t="s">
        <v>243</v>
      </c>
      <c r="B5" s="1"/>
      <c r="C5" s="91"/>
      <c r="D5" s="1"/>
      <c r="E5" s="1"/>
      <c r="F5" s="1"/>
      <c r="G5" s="1"/>
    </row>
    <row r="6" spans="1:7" x14ac:dyDescent="0.25">
      <c r="A6" s="1" t="s">
        <v>274</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26" si="0">+E12*F12</f>
        <v>0.36</v>
      </c>
    </row>
    <row r="13" spans="1:7" x14ac:dyDescent="0.25">
      <c r="A13" t="s">
        <v>254</v>
      </c>
      <c r="C13" s="46">
        <v>110104001</v>
      </c>
      <c r="E13">
        <v>2</v>
      </c>
      <c r="F13" s="3">
        <f>+'Data Entry'!D30</f>
        <v>0.63</v>
      </c>
      <c r="G13" s="3">
        <f t="shared" si="0"/>
        <v>1.26</v>
      </c>
    </row>
    <row r="14" spans="1:7" x14ac:dyDescent="0.25">
      <c r="A14" t="s">
        <v>255</v>
      </c>
      <c r="C14" s="46">
        <v>112308003</v>
      </c>
      <c r="E14">
        <v>2</v>
      </c>
      <c r="F14" s="3">
        <f>+'Data Entry'!D31</f>
        <v>0.28999999999999998</v>
      </c>
      <c r="G14" s="3">
        <f t="shared" si="0"/>
        <v>0.57999999999999996</v>
      </c>
    </row>
    <row r="15" spans="1:7" x14ac:dyDescent="0.25">
      <c r="A15" t="s">
        <v>256</v>
      </c>
      <c r="C15" s="46">
        <v>120111001</v>
      </c>
      <c r="E15">
        <v>1</v>
      </c>
      <c r="F15" s="3">
        <f>+'Data Entry'!D35</f>
        <v>0.55000000000000004</v>
      </c>
      <c r="G15" s="3">
        <f t="shared" si="0"/>
        <v>0.55000000000000004</v>
      </c>
    </row>
    <row r="16" spans="1:7" x14ac:dyDescent="0.25">
      <c r="A16" t="s">
        <v>257</v>
      </c>
      <c r="C16" s="46">
        <v>140590001</v>
      </c>
      <c r="E16">
        <v>2</v>
      </c>
      <c r="F16" s="3">
        <f>+'Data Entry'!D40</f>
        <v>0.84</v>
      </c>
      <c r="G16" s="3">
        <f t="shared" si="0"/>
        <v>1.68</v>
      </c>
    </row>
    <row r="17" spans="1:7" x14ac:dyDescent="0.25">
      <c r="A17" t="s">
        <v>258</v>
      </c>
      <c r="C17" s="244">
        <v>142631007</v>
      </c>
      <c r="E17">
        <v>0.02</v>
      </c>
      <c r="F17" s="3">
        <f>+'Data Entry'!D42</f>
        <v>3.82</v>
      </c>
      <c r="G17" s="3">
        <f t="shared" si="0"/>
        <v>7.6399999999999996E-2</v>
      </c>
    </row>
    <row r="18" spans="1:7" x14ac:dyDescent="0.25">
      <c r="A18" t="s">
        <v>259</v>
      </c>
      <c r="C18" s="46">
        <v>144304003</v>
      </c>
      <c r="E18">
        <v>1</v>
      </c>
      <c r="F18" s="3">
        <f>+'Data Entry'!D43</f>
        <v>0.31</v>
      </c>
      <c r="G18" s="3">
        <f t="shared" si="0"/>
        <v>0.31</v>
      </c>
    </row>
    <row r="19" spans="1:7" x14ac:dyDescent="0.25">
      <c r="A19" t="s">
        <v>260</v>
      </c>
      <c r="C19" s="46">
        <v>145360004</v>
      </c>
      <c r="E19">
        <v>1</v>
      </c>
      <c r="F19" s="3">
        <f>+'Data Entry'!D46</f>
        <v>0.12</v>
      </c>
      <c r="G19" s="3">
        <f t="shared" si="0"/>
        <v>0.12</v>
      </c>
    </row>
    <row r="20" spans="1:7" x14ac:dyDescent="0.25">
      <c r="A20" t="s">
        <v>260</v>
      </c>
      <c r="C20" s="46">
        <v>145374005</v>
      </c>
      <c r="E20">
        <v>2</v>
      </c>
      <c r="F20" s="3">
        <f>+'Data Entry'!D49</f>
        <v>0.13</v>
      </c>
      <c r="G20" s="3">
        <f t="shared" si="0"/>
        <v>0.26</v>
      </c>
    </row>
    <row r="21" spans="1:7" x14ac:dyDescent="0.25">
      <c r="A21" t="s">
        <v>260</v>
      </c>
      <c r="C21" s="46">
        <v>145395002</v>
      </c>
      <c r="E21">
        <v>1</v>
      </c>
      <c r="F21" s="3">
        <f>+'Data Entry'!D51</f>
        <v>0.2</v>
      </c>
      <c r="G21" s="3">
        <f t="shared" si="0"/>
        <v>0.2</v>
      </c>
    </row>
    <row r="22" spans="1:7" x14ac:dyDescent="0.25">
      <c r="A22" t="s">
        <v>261</v>
      </c>
      <c r="C22" s="46">
        <v>170924005</v>
      </c>
      <c r="E22">
        <v>1</v>
      </c>
      <c r="F22" s="3">
        <f>+'Data Entry'!D90</f>
        <v>55.74</v>
      </c>
      <c r="G22" s="3">
        <f t="shared" si="0"/>
        <v>55.74</v>
      </c>
    </row>
    <row r="23" spans="1:7" x14ac:dyDescent="0.25">
      <c r="A23" t="s">
        <v>262</v>
      </c>
      <c r="C23" s="46">
        <v>171407004</v>
      </c>
      <c r="E23">
        <v>1</v>
      </c>
      <c r="F23" s="3">
        <f>+'Data Entry'!D104</f>
        <v>4.87</v>
      </c>
      <c r="G23" s="3">
        <f t="shared" si="0"/>
        <v>4.87</v>
      </c>
    </row>
    <row r="24" spans="1:7" x14ac:dyDescent="0.25">
      <c r="A24" t="s">
        <v>263</v>
      </c>
      <c r="C24" s="46">
        <v>172205006</v>
      </c>
      <c r="E24">
        <v>1</v>
      </c>
      <c r="F24" s="3">
        <f>+'Data Entry'!D111</f>
        <v>27.28</v>
      </c>
      <c r="G24" s="3">
        <f t="shared" si="0"/>
        <v>27.28</v>
      </c>
    </row>
    <row r="25" spans="1:7" x14ac:dyDescent="0.25">
      <c r="A25" t="s">
        <v>264</v>
      </c>
      <c r="C25" s="46">
        <v>174605001</v>
      </c>
      <c r="E25">
        <v>1</v>
      </c>
      <c r="F25" s="3">
        <f>+'Data Entry'!D113</f>
        <v>3.77</v>
      </c>
      <c r="G25" s="3">
        <f t="shared" si="0"/>
        <v>3.77</v>
      </c>
    </row>
    <row r="26" spans="1:7" x14ac:dyDescent="0.25">
      <c r="A26" t="s">
        <v>265</v>
      </c>
      <c r="C26" s="46">
        <v>548800008</v>
      </c>
      <c r="E26">
        <v>1</v>
      </c>
      <c r="F26" s="3">
        <f>+'Data Entry'!D119</f>
        <v>1.35</v>
      </c>
      <c r="G26" s="51">
        <f t="shared" si="0"/>
        <v>1.35</v>
      </c>
    </row>
    <row r="27" spans="1:7" x14ac:dyDescent="0.25">
      <c r="G27" s="52">
        <f>SUM(G12:G26)</f>
        <v>98.406399999999991</v>
      </c>
    </row>
    <row r="28" spans="1:7" ht="21" x14ac:dyDescent="0.4">
      <c r="B28" s="1"/>
      <c r="C28" s="53"/>
      <c r="D28" s="54"/>
      <c r="E28" s="1"/>
      <c r="F28" s="55"/>
      <c r="G28" s="1"/>
    </row>
    <row r="29" spans="1:7" ht="21" x14ac:dyDescent="0.4">
      <c r="B29" s="1" t="s">
        <v>266</v>
      </c>
      <c r="C29" s="53" t="s">
        <v>267</v>
      </c>
      <c r="D29" s="54" t="s">
        <v>268</v>
      </c>
      <c r="E29" s="1"/>
      <c r="F29" s="55" t="s">
        <v>269</v>
      </c>
      <c r="G29" s="1" t="s">
        <v>247</v>
      </c>
    </row>
    <row r="30" spans="1:7" x14ac:dyDescent="0.25">
      <c r="B30" s="32" t="s">
        <v>252</v>
      </c>
      <c r="C30" s="71" t="s">
        <v>270</v>
      </c>
      <c r="D30" s="32" t="s">
        <v>271</v>
      </c>
      <c r="E30" s="1"/>
      <c r="F30" s="1"/>
      <c r="G30" s="32" t="s">
        <v>272</v>
      </c>
    </row>
    <row r="31" spans="1:7" x14ac:dyDescent="0.25">
      <c r="B31" s="3">
        <f>+G27</f>
        <v>98.406399999999991</v>
      </c>
      <c r="C31" s="3">
        <f>+B31*(+'Data Entry'!C21)</f>
        <v>5.9043839999999994</v>
      </c>
      <c r="D31" s="3">
        <f>+B31*(+'Data Entry'!C16)</f>
        <v>5.8453401599999992</v>
      </c>
      <c r="G31" s="3">
        <f>SUM(B31:F31)</f>
        <v>110.15612415999999</v>
      </c>
    </row>
    <row r="32" spans="1:7" x14ac:dyDescent="0.25">
      <c r="C32"/>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45"/>
  <sheetViews>
    <sheetView workbookViewId="0">
      <selection sqref="A1:A2"/>
    </sheetView>
  </sheetViews>
  <sheetFormatPr defaultRowHeight="13.2" x14ac:dyDescent="0.25"/>
  <cols>
    <col min="1" max="1" width="16" customWidth="1"/>
    <col min="3" max="3" width="14.6640625" style="46" customWidth="1"/>
  </cols>
  <sheetData>
    <row r="1" spans="1:7" x14ac:dyDescent="0.25">
      <c r="A1" s="773" t="s">
        <v>959</v>
      </c>
    </row>
    <row r="2" spans="1:7" x14ac:dyDescent="0.25">
      <c r="A2" s="773" t="s">
        <v>923</v>
      </c>
    </row>
    <row r="4" spans="1:7" x14ac:dyDescent="0.25">
      <c r="A4" s="1" t="s">
        <v>242</v>
      </c>
      <c r="B4" s="1"/>
      <c r="C4" s="91"/>
      <c r="D4" s="1"/>
      <c r="E4" s="1"/>
      <c r="F4" s="1"/>
      <c r="G4" s="1"/>
    </row>
    <row r="5" spans="1:7" x14ac:dyDescent="0.25">
      <c r="A5" s="1" t="s">
        <v>243</v>
      </c>
      <c r="B5" s="1"/>
      <c r="C5" s="91"/>
      <c r="D5" s="1"/>
      <c r="E5" s="1"/>
      <c r="F5" s="1"/>
      <c r="G5" s="1"/>
    </row>
    <row r="6" spans="1:7" x14ac:dyDescent="0.25">
      <c r="A6" s="1" t="s">
        <v>275</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261</v>
      </c>
      <c r="C12" s="46">
        <v>170863006</v>
      </c>
      <c r="E12">
        <v>1</v>
      </c>
      <c r="F12" s="3">
        <f>+'Data Entry'!D81</f>
        <v>97.41</v>
      </c>
      <c r="G12" s="3">
        <f>+E12*F12</f>
        <v>97.41</v>
      </c>
    </row>
    <row r="13" spans="1:7" x14ac:dyDescent="0.25">
      <c r="A13" t="s">
        <v>262</v>
      </c>
      <c r="C13" s="46">
        <v>171407004</v>
      </c>
      <c r="E13">
        <v>1</v>
      </c>
      <c r="F13" s="3">
        <f>+'Data Entry'!D104</f>
        <v>4.87</v>
      </c>
      <c r="G13" s="3">
        <f>+E13*F13</f>
        <v>4.87</v>
      </c>
    </row>
    <row r="14" spans="1:7" x14ac:dyDescent="0.25">
      <c r="A14" t="s">
        <v>264</v>
      </c>
      <c r="C14" s="46">
        <v>174605001</v>
      </c>
      <c r="E14">
        <v>1</v>
      </c>
      <c r="F14" s="3">
        <f>+'Data Entry'!D113</f>
        <v>3.77</v>
      </c>
      <c r="G14" s="3">
        <f>+E14*F14</f>
        <v>3.77</v>
      </c>
    </row>
    <row r="15" spans="1:7" x14ac:dyDescent="0.25">
      <c r="A15" t="s">
        <v>276</v>
      </c>
      <c r="C15" s="46">
        <v>522120000</v>
      </c>
      <c r="E15">
        <v>0.05</v>
      </c>
      <c r="F15" s="3">
        <f>+'Data Entry'!D117</f>
        <v>1.51</v>
      </c>
      <c r="G15" s="3">
        <f>+E15*F15</f>
        <v>7.5500000000000012E-2</v>
      </c>
    </row>
    <row r="16" spans="1:7" x14ac:dyDescent="0.25">
      <c r="A16" t="s">
        <v>265</v>
      </c>
      <c r="C16" s="244">
        <v>548800008</v>
      </c>
      <c r="E16">
        <v>1</v>
      </c>
      <c r="F16" s="3">
        <f>+'Data Entry'!D119</f>
        <v>1.35</v>
      </c>
      <c r="G16" s="3">
        <f>+E16*F16</f>
        <v>1.35</v>
      </c>
    </row>
    <row r="17" spans="1:7" x14ac:dyDescent="0.25">
      <c r="G17" s="52">
        <f>SUM(G12:G16)</f>
        <v>107.4755</v>
      </c>
    </row>
    <row r="18" spans="1:7" ht="21" x14ac:dyDescent="0.4">
      <c r="B18" s="1"/>
      <c r="C18" s="53"/>
      <c r="D18" s="54"/>
      <c r="E18" s="1"/>
      <c r="F18" s="55"/>
      <c r="G18" s="1"/>
    </row>
    <row r="19" spans="1:7" ht="21" x14ac:dyDescent="0.4">
      <c r="B19" s="1" t="s">
        <v>266</v>
      </c>
      <c r="C19" s="53" t="s">
        <v>267</v>
      </c>
      <c r="D19" s="54" t="s">
        <v>268</v>
      </c>
      <c r="E19" s="1"/>
      <c r="F19" s="55" t="s">
        <v>269</v>
      </c>
      <c r="G19" s="1" t="s">
        <v>247</v>
      </c>
    </row>
    <row r="20" spans="1:7" x14ac:dyDescent="0.25">
      <c r="B20" s="32" t="s">
        <v>252</v>
      </c>
      <c r="C20" s="71" t="s">
        <v>270</v>
      </c>
      <c r="D20" s="32" t="s">
        <v>271</v>
      </c>
      <c r="E20" s="1"/>
      <c r="F20" s="1"/>
      <c r="G20" s="32" t="s">
        <v>272</v>
      </c>
    </row>
    <row r="21" spans="1:7" x14ac:dyDescent="0.25">
      <c r="B21" s="3">
        <f>+G17</f>
        <v>107.4755</v>
      </c>
      <c r="C21" s="3">
        <f>+B21*(+'Data Entry'!C21)</f>
        <v>6.4485299999999999</v>
      </c>
      <c r="D21" s="3">
        <f>+B21*(+'Data Entry'!C16)</f>
        <v>6.3840446999999996</v>
      </c>
      <c r="G21" s="3">
        <f>SUM(B21:F21)</f>
        <v>120.30807470000001</v>
      </c>
    </row>
    <row r="22" spans="1:7" x14ac:dyDescent="0.25">
      <c r="C22"/>
    </row>
    <row r="25" spans="1:7" x14ac:dyDescent="0.25">
      <c r="A25" s="1" t="s">
        <v>242</v>
      </c>
      <c r="B25" s="1"/>
      <c r="C25" s="91"/>
      <c r="D25" s="1"/>
      <c r="E25" s="1"/>
      <c r="F25" s="1"/>
      <c r="G25" s="1"/>
    </row>
    <row r="26" spans="1:7" x14ac:dyDescent="0.25">
      <c r="A26" s="1" t="s">
        <v>243</v>
      </c>
      <c r="B26" s="1"/>
      <c r="C26" s="91"/>
      <c r="D26" s="1"/>
      <c r="E26" s="1"/>
      <c r="F26" s="1"/>
      <c r="G26" s="1"/>
    </row>
    <row r="27" spans="1:7" x14ac:dyDescent="0.25">
      <c r="A27" s="1" t="s">
        <v>277</v>
      </c>
      <c r="B27" s="1"/>
      <c r="C27" s="91"/>
      <c r="D27" s="1"/>
      <c r="E27" s="1"/>
      <c r="F27" s="1"/>
      <c r="G27" s="1"/>
    </row>
    <row r="28" spans="1:7" x14ac:dyDescent="0.25">
      <c r="A28" s="1"/>
      <c r="B28" s="1"/>
      <c r="C28" s="91"/>
      <c r="D28" s="1"/>
      <c r="E28" s="1"/>
      <c r="F28" s="1"/>
      <c r="G28" s="1"/>
    </row>
    <row r="29" spans="1:7" x14ac:dyDescent="0.25">
      <c r="A29" s="1"/>
      <c r="B29" s="1"/>
      <c r="C29" s="91"/>
      <c r="D29" s="1"/>
      <c r="E29" s="1"/>
      <c r="F29" s="1"/>
      <c r="G29" s="1"/>
    </row>
    <row r="30" spans="1:7" x14ac:dyDescent="0.25">
      <c r="A30" s="73" t="s">
        <v>244</v>
      </c>
      <c r="B30" s="73"/>
      <c r="C30" s="92"/>
      <c r="D30" s="93"/>
      <c r="E30" s="73" t="s">
        <v>245</v>
      </c>
      <c r="F30" s="73" t="s">
        <v>246</v>
      </c>
      <c r="G30" s="73" t="s">
        <v>247</v>
      </c>
    </row>
    <row r="31" spans="1:7" x14ac:dyDescent="0.25">
      <c r="A31" s="93" t="s">
        <v>248</v>
      </c>
      <c r="B31" s="73"/>
      <c r="C31" s="92" t="s">
        <v>249</v>
      </c>
      <c r="D31" s="93"/>
      <c r="E31" s="93" t="s">
        <v>250</v>
      </c>
      <c r="F31" s="93" t="s">
        <v>251</v>
      </c>
      <c r="G31" s="93" t="s">
        <v>252</v>
      </c>
    </row>
    <row r="32" spans="1:7" x14ac:dyDescent="0.25">
      <c r="A32" s="47"/>
      <c r="B32" s="47"/>
      <c r="C32" s="48"/>
      <c r="D32" s="47"/>
    </row>
    <row r="33" spans="1:7" x14ac:dyDescent="0.25">
      <c r="A33" t="s">
        <v>261</v>
      </c>
      <c r="C33" s="46">
        <v>170861003</v>
      </c>
      <c r="E33">
        <v>1</v>
      </c>
      <c r="F33" s="3">
        <f>+'Data Entry'!D78</f>
        <v>98.49</v>
      </c>
      <c r="G33" s="3">
        <f>+E33*F33</f>
        <v>98.49</v>
      </c>
    </row>
    <row r="34" spans="1:7" x14ac:dyDescent="0.25">
      <c r="A34" t="s">
        <v>262</v>
      </c>
      <c r="C34" s="46">
        <v>171407004</v>
      </c>
      <c r="E34">
        <v>1</v>
      </c>
      <c r="F34" s="3">
        <f>+'Data Entry'!D104</f>
        <v>4.87</v>
      </c>
      <c r="G34" s="3">
        <f>+E34*F34</f>
        <v>4.87</v>
      </c>
    </row>
    <row r="35" spans="1:7" x14ac:dyDescent="0.25">
      <c r="A35" t="s">
        <v>264</v>
      </c>
      <c r="C35" s="46">
        <v>174605001</v>
      </c>
      <c r="E35">
        <v>1</v>
      </c>
      <c r="F35" s="3">
        <f>+'Data Entry'!D113</f>
        <v>3.77</v>
      </c>
      <c r="G35" s="3">
        <f>+E35*F35</f>
        <v>3.77</v>
      </c>
    </row>
    <row r="36" spans="1:7" x14ac:dyDescent="0.25">
      <c r="A36" t="s">
        <v>276</v>
      </c>
      <c r="C36" s="46">
        <v>522120000</v>
      </c>
      <c r="E36">
        <v>0.05</v>
      </c>
      <c r="F36" s="3">
        <f>+'Data Entry'!D117</f>
        <v>1.51</v>
      </c>
      <c r="G36" s="3">
        <f>+E36*F36</f>
        <v>7.5500000000000012E-2</v>
      </c>
    </row>
    <row r="37" spans="1:7" x14ac:dyDescent="0.25">
      <c r="A37" t="s">
        <v>265</v>
      </c>
      <c r="C37" s="46">
        <v>548800008</v>
      </c>
      <c r="E37">
        <v>1</v>
      </c>
      <c r="F37" s="3">
        <f>+'Data Entry'!D119</f>
        <v>1.35</v>
      </c>
      <c r="G37" s="3">
        <f>+E37*F37</f>
        <v>1.35</v>
      </c>
    </row>
    <row r="38" spans="1:7" x14ac:dyDescent="0.25">
      <c r="G38" s="52">
        <f>SUM(G33:G37)</f>
        <v>108.55549999999999</v>
      </c>
    </row>
    <row r="40" spans="1:7" ht="21" x14ac:dyDescent="0.4">
      <c r="B40" s="1"/>
      <c r="C40" s="53"/>
      <c r="D40" s="54"/>
      <c r="E40" s="1"/>
      <c r="F40" s="55"/>
      <c r="G40" s="1"/>
    </row>
    <row r="41" spans="1:7" ht="21" x14ac:dyDescent="0.4">
      <c r="B41" s="1" t="s">
        <v>266</v>
      </c>
      <c r="C41" s="53" t="s">
        <v>267</v>
      </c>
      <c r="D41" s="54" t="s">
        <v>268</v>
      </c>
      <c r="E41" s="1"/>
      <c r="F41" s="55" t="s">
        <v>269</v>
      </c>
      <c r="G41" s="1" t="s">
        <v>247</v>
      </c>
    </row>
    <row r="42" spans="1:7" x14ac:dyDescent="0.25">
      <c r="B42" s="32" t="s">
        <v>252</v>
      </c>
      <c r="C42" s="71" t="s">
        <v>270</v>
      </c>
      <c r="D42" s="32" t="s">
        <v>271</v>
      </c>
      <c r="E42" s="1"/>
      <c r="F42" s="1"/>
      <c r="G42" s="32" t="s">
        <v>272</v>
      </c>
    </row>
    <row r="43" spans="1:7" x14ac:dyDescent="0.25">
      <c r="B43" s="3">
        <f>+G38</f>
        <v>108.55549999999999</v>
      </c>
      <c r="C43" s="3">
        <f>+B43*(+'Data Entry'!C21)</f>
        <v>6.5133299999999998</v>
      </c>
      <c r="D43" s="3">
        <f>+B43*(+'Data Entry'!C16)</f>
        <v>6.4481966999999996</v>
      </c>
      <c r="G43" s="3">
        <f>SUM(B43:F43)</f>
        <v>121.51702669999999</v>
      </c>
    </row>
    <row r="44" spans="1:7" x14ac:dyDescent="0.25">
      <c r="C44"/>
    </row>
    <row r="45" spans="1:7" x14ac:dyDescent="0.25">
      <c r="C45"/>
      <c r="D45" s="3"/>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42"/>
  <sheetViews>
    <sheetView workbookViewId="0">
      <selection activeCell="A2" sqref="A1:A2"/>
    </sheetView>
  </sheetViews>
  <sheetFormatPr defaultRowHeight="13.2" x14ac:dyDescent="0.25"/>
  <cols>
    <col min="1" max="1" width="16" customWidth="1"/>
    <col min="3" max="3" width="14.6640625" style="46" customWidth="1"/>
  </cols>
  <sheetData>
    <row r="1" spans="1:7" x14ac:dyDescent="0.25">
      <c r="A1" s="773" t="s">
        <v>960</v>
      </c>
    </row>
    <row r="2" spans="1:7" x14ac:dyDescent="0.25">
      <c r="A2" s="773" t="s">
        <v>923</v>
      </c>
      <c r="C2"/>
    </row>
    <row r="4" spans="1:7" x14ac:dyDescent="0.25">
      <c r="A4" s="1" t="s">
        <v>242</v>
      </c>
      <c r="B4" s="1"/>
      <c r="C4" s="91"/>
      <c r="D4" s="1"/>
      <c r="E4" s="1"/>
      <c r="F4" s="1"/>
      <c r="G4" s="1"/>
    </row>
    <row r="5" spans="1:7" x14ac:dyDescent="0.25">
      <c r="A5" s="1" t="s">
        <v>243</v>
      </c>
      <c r="B5" s="1"/>
      <c r="C5" s="91"/>
      <c r="D5" s="1"/>
      <c r="E5" s="1"/>
      <c r="F5" s="1"/>
      <c r="G5" s="1"/>
    </row>
    <row r="6" spans="1:7" x14ac:dyDescent="0.25">
      <c r="A6" s="1" t="s">
        <v>278</v>
      </c>
      <c r="B6" s="1"/>
      <c r="C6" s="91"/>
      <c r="D6" s="1"/>
      <c r="E6" s="1"/>
      <c r="F6" s="1"/>
      <c r="G6" s="1"/>
    </row>
    <row r="7" spans="1:7" x14ac:dyDescent="0.25">
      <c r="A7" s="1"/>
      <c r="B7" s="1"/>
      <c r="C7" s="91"/>
      <c r="D7" s="1"/>
      <c r="E7" s="1"/>
      <c r="F7" s="1"/>
      <c r="G7" s="1"/>
    </row>
    <row r="8" spans="1:7" x14ac:dyDescent="0.25">
      <c r="A8" s="73" t="s">
        <v>244</v>
      </c>
      <c r="B8" s="73"/>
      <c r="C8" s="92"/>
      <c r="D8" s="93"/>
      <c r="E8" s="73" t="s">
        <v>245</v>
      </c>
      <c r="F8" s="73" t="s">
        <v>246</v>
      </c>
      <c r="G8" s="73" t="s">
        <v>247</v>
      </c>
    </row>
    <row r="9" spans="1:7" x14ac:dyDescent="0.25">
      <c r="A9" s="93" t="s">
        <v>248</v>
      </c>
      <c r="B9" s="73"/>
      <c r="C9" s="92" t="s">
        <v>249</v>
      </c>
      <c r="D9" s="93"/>
      <c r="E9" s="93" t="s">
        <v>250</v>
      </c>
      <c r="F9" s="93" t="s">
        <v>251</v>
      </c>
      <c r="G9" s="93" t="s">
        <v>252</v>
      </c>
    </row>
    <row r="10" spans="1:7" x14ac:dyDescent="0.25">
      <c r="A10" s="47"/>
      <c r="B10" s="47"/>
      <c r="C10" s="48"/>
      <c r="D10" s="47"/>
    </row>
    <row r="11" spans="1:7" x14ac:dyDescent="0.25">
      <c r="A11" t="s">
        <v>253</v>
      </c>
      <c r="C11" s="46">
        <v>103070211</v>
      </c>
      <c r="E11">
        <v>2</v>
      </c>
      <c r="F11" s="3">
        <f>+'Data Entry'!D29</f>
        <v>0.18</v>
      </c>
      <c r="G11" s="3">
        <f t="shared" ref="G11:G17" si="0">+E11*F11</f>
        <v>0.36</v>
      </c>
    </row>
    <row r="12" spans="1:7" x14ac:dyDescent="0.25">
      <c r="A12" t="s">
        <v>254</v>
      </c>
      <c r="C12" s="46">
        <v>110104001</v>
      </c>
      <c r="E12">
        <v>9</v>
      </c>
      <c r="F12" s="3">
        <f>+'Data Entry'!D30</f>
        <v>0.63</v>
      </c>
      <c r="G12" s="3">
        <f t="shared" si="0"/>
        <v>5.67</v>
      </c>
    </row>
    <row r="13" spans="1:7" x14ac:dyDescent="0.25">
      <c r="A13" t="s">
        <v>255</v>
      </c>
      <c r="C13" s="46">
        <v>112308003</v>
      </c>
      <c r="E13">
        <v>2</v>
      </c>
      <c r="F13" s="3">
        <f>+'Data Entry'!D31</f>
        <v>0.28999999999999998</v>
      </c>
      <c r="G13" s="3">
        <f t="shared" si="0"/>
        <v>0.57999999999999996</v>
      </c>
    </row>
    <row r="14" spans="1:7" x14ac:dyDescent="0.25">
      <c r="A14" t="s">
        <v>256</v>
      </c>
      <c r="C14" s="46">
        <v>120111001</v>
      </c>
      <c r="E14">
        <v>1</v>
      </c>
      <c r="F14" s="3">
        <f>+'Data Entry'!D35</f>
        <v>0.55000000000000004</v>
      </c>
      <c r="G14" s="3">
        <f t="shared" si="0"/>
        <v>0.55000000000000004</v>
      </c>
    </row>
    <row r="15" spans="1:7" x14ac:dyDescent="0.25">
      <c r="A15" t="s">
        <v>257</v>
      </c>
      <c r="C15" s="46">
        <v>140490007</v>
      </c>
      <c r="E15">
        <v>1</v>
      </c>
      <c r="F15" s="3">
        <f>+'Data Entry'!D38</f>
        <v>1.47</v>
      </c>
      <c r="G15" s="3">
        <f t="shared" si="0"/>
        <v>1.47</v>
      </c>
    </row>
    <row r="16" spans="1:7" x14ac:dyDescent="0.25">
      <c r="A16" t="s">
        <v>257</v>
      </c>
      <c r="C16" s="46">
        <v>140590001</v>
      </c>
      <c r="E16">
        <v>2</v>
      </c>
      <c r="F16" s="3">
        <f>+'Data Entry'!D40</f>
        <v>0.84</v>
      </c>
      <c r="G16" s="3">
        <f t="shared" si="0"/>
        <v>1.68</v>
      </c>
    </row>
    <row r="17" spans="1:7" x14ac:dyDescent="0.25">
      <c r="A17" t="s">
        <v>258</v>
      </c>
      <c r="C17" s="244">
        <v>142631007</v>
      </c>
      <c r="E17">
        <v>0.02</v>
      </c>
      <c r="F17" s="3">
        <f>+'Data Entry'!D42</f>
        <v>3.82</v>
      </c>
      <c r="G17" s="3">
        <f t="shared" si="0"/>
        <v>7.6399999999999996E-2</v>
      </c>
    </row>
    <row r="18" spans="1:7" x14ac:dyDescent="0.25">
      <c r="A18" t="s">
        <v>259</v>
      </c>
      <c r="C18" s="46">
        <v>144304003</v>
      </c>
      <c r="E18">
        <v>1</v>
      </c>
      <c r="F18" s="3">
        <f>+'Data Entry'!D43</f>
        <v>0.31</v>
      </c>
      <c r="G18" s="3">
        <f t="shared" ref="G18:G28" si="1">+E18*F18</f>
        <v>0.31</v>
      </c>
    </row>
    <row r="19" spans="1:7" x14ac:dyDescent="0.25">
      <c r="A19" t="s">
        <v>260</v>
      </c>
      <c r="C19" s="46">
        <v>145361001</v>
      </c>
      <c r="E19">
        <v>1</v>
      </c>
      <c r="F19" s="3">
        <f>+'Data Entry'!D47</f>
        <v>0.06</v>
      </c>
      <c r="G19" s="3">
        <f t="shared" si="1"/>
        <v>0.06</v>
      </c>
    </row>
    <row r="20" spans="1:7" x14ac:dyDescent="0.25">
      <c r="A20" t="s">
        <v>260</v>
      </c>
      <c r="C20" s="46">
        <v>145362007</v>
      </c>
      <c r="E20">
        <v>2</v>
      </c>
      <c r="F20" s="3">
        <f>+'Data Entry'!D48</f>
        <v>0.18</v>
      </c>
      <c r="G20" s="3">
        <f t="shared" si="1"/>
        <v>0.36</v>
      </c>
    </row>
    <row r="21" spans="1:7" x14ac:dyDescent="0.25">
      <c r="A21" t="s">
        <v>260</v>
      </c>
      <c r="C21" s="46">
        <v>145374005</v>
      </c>
      <c r="E21">
        <v>2</v>
      </c>
      <c r="F21" s="3">
        <f>+'Data Entry'!D49</f>
        <v>0.13</v>
      </c>
      <c r="G21" s="3">
        <f t="shared" si="1"/>
        <v>0.26</v>
      </c>
    </row>
    <row r="22" spans="1:7" x14ac:dyDescent="0.25">
      <c r="A22" t="s">
        <v>260</v>
      </c>
      <c r="C22" s="46">
        <v>145383004</v>
      </c>
      <c r="E22">
        <v>1</v>
      </c>
      <c r="F22" s="3">
        <f>+'Data Entry'!D50</f>
        <v>0.15</v>
      </c>
      <c r="G22" s="3">
        <f t="shared" si="1"/>
        <v>0.15</v>
      </c>
    </row>
    <row r="23" spans="1:7" x14ac:dyDescent="0.25">
      <c r="A23" t="s">
        <v>260</v>
      </c>
      <c r="C23" s="46">
        <v>145395002</v>
      </c>
      <c r="E23">
        <v>2</v>
      </c>
      <c r="F23" s="3">
        <f>+'Data Entry'!D51</f>
        <v>0.2</v>
      </c>
      <c r="G23" s="3">
        <f t="shared" si="1"/>
        <v>0.4</v>
      </c>
    </row>
    <row r="24" spans="1:7" x14ac:dyDescent="0.25">
      <c r="A24" t="s">
        <v>261</v>
      </c>
      <c r="C24" s="46">
        <v>170971003</v>
      </c>
      <c r="E24">
        <v>1</v>
      </c>
      <c r="F24" s="3">
        <f>+'Data Entry'!D98</f>
        <v>109.81</v>
      </c>
      <c r="G24" s="3">
        <f t="shared" si="1"/>
        <v>109.81</v>
      </c>
    </row>
    <row r="25" spans="1:7" x14ac:dyDescent="0.25">
      <c r="A25" t="s">
        <v>262</v>
      </c>
      <c r="C25" s="46">
        <v>171407004</v>
      </c>
      <c r="E25">
        <v>1</v>
      </c>
      <c r="F25" s="3">
        <f>+'Data Entry'!D104</f>
        <v>4.87</v>
      </c>
      <c r="G25" s="3">
        <f t="shared" si="1"/>
        <v>4.87</v>
      </c>
    </row>
    <row r="26" spans="1:7" x14ac:dyDescent="0.25">
      <c r="A26" t="s">
        <v>263</v>
      </c>
      <c r="C26" s="46">
        <v>172201001</v>
      </c>
      <c r="E26">
        <v>1</v>
      </c>
      <c r="F26" s="3">
        <f>+'Data Entry'!D110</f>
        <v>19.440000000000001</v>
      </c>
      <c r="G26" s="3">
        <f t="shared" si="1"/>
        <v>19.440000000000001</v>
      </c>
    </row>
    <row r="27" spans="1:7" x14ac:dyDescent="0.25">
      <c r="A27" t="s">
        <v>264</v>
      </c>
      <c r="C27" s="46">
        <v>174605001</v>
      </c>
      <c r="E27">
        <v>1</v>
      </c>
      <c r="F27" s="3">
        <f>+'Data Entry'!D113</f>
        <v>3.77</v>
      </c>
      <c r="G27" s="3">
        <f t="shared" si="1"/>
        <v>3.77</v>
      </c>
    </row>
    <row r="28" spans="1:7" x14ac:dyDescent="0.25">
      <c r="A28" t="s">
        <v>265</v>
      </c>
      <c r="C28" s="244">
        <v>548800008</v>
      </c>
      <c r="E28">
        <v>0.01</v>
      </c>
      <c r="F28" s="3">
        <f>+'Data Entry'!D119</f>
        <v>1.35</v>
      </c>
      <c r="G28" s="51">
        <f t="shared" si="1"/>
        <v>1.3500000000000002E-2</v>
      </c>
    </row>
    <row r="29" spans="1:7" x14ac:dyDescent="0.25">
      <c r="F29" s="3"/>
      <c r="G29" s="3">
        <f>SUM(G11:G28)</f>
        <v>149.82990000000001</v>
      </c>
    </row>
    <row r="30" spans="1:7" ht="21" x14ac:dyDescent="0.4">
      <c r="B30" s="1"/>
      <c r="C30" s="53"/>
      <c r="D30" s="54"/>
      <c r="E30" s="1"/>
      <c r="F30" s="55"/>
      <c r="G30" s="1"/>
    </row>
    <row r="31" spans="1:7" ht="21" x14ac:dyDescent="0.4">
      <c r="B31" s="1" t="s">
        <v>266</v>
      </c>
      <c r="C31" s="53" t="s">
        <v>267</v>
      </c>
      <c r="D31" s="54" t="s">
        <v>268</v>
      </c>
      <c r="E31" s="1"/>
      <c r="F31" s="55" t="s">
        <v>269</v>
      </c>
      <c r="G31" s="1" t="s">
        <v>247</v>
      </c>
    </row>
    <row r="32" spans="1:7" x14ac:dyDescent="0.25">
      <c r="B32" s="32" t="s">
        <v>252</v>
      </c>
      <c r="C32" s="71" t="s">
        <v>270</v>
      </c>
      <c r="D32" s="32" t="s">
        <v>271</v>
      </c>
      <c r="E32" s="1"/>
      <c r="F32" s="1"/>
      <c r="G32" s="32" t="s">
        <v>272</v>
      </c>
    </row>
    <row r="33" spans="2:7" x14ac:dyDescent="0.25">
      <c r="B33" s="3">
        <f>+G29</f>
        <v>149.82990000000001</v>
      </c>
      <c r="C33" s="3">
        <f>+B33*(+'Data Entry'!C21)</f>
        <v>8.9897939999999998</v>
      </c>
      <c r="D33" s="3">
        <f>+B33*(+'Data Entry'!C16)</f>
        <v>8.8998960600000014</v>
      </c>
      <c r="G33" s="3">
        <f>SUM(B33:F33)</f>
        <v>167.71959006</v>
      </c>
    </row>
    <row r="34" spans="2:7" x14ac:dyDescent="0.25">
      <c r="C34"/>
    </row>
    <row r="35" spans="2:7" x14ac:dyDescent="0.25">
      <c r="F35" s="3"/>
      <c r="G35" s="3"/>
    </row>
    <row r="36" spans="2:7" x14ac:dyDescent="0.25">
      <c r="F36" s="3"/>
      <c r="G36" s="3"/>
    </row>
    <row r="37" spans="2:7" x14ac:dyDescent="0.25">
      <c r="G37" s="52"/>
    </row>
    <row r="39" spans="2:7" ht="21" x14ac:dyDescent="0.4">
      <c r="B39" s="1"/>
      <c r="C39" s="53"/>
      <c r="D39" s="54"/>
      <c r="E39" s="1"/>
      <c r="F39" s="55"/>
      <c r="G39" s="1"/>
    </row>
    <row r="40" spans="2:7" x14ac:dyDescent="0.25">
      <c r="B40" s="32"/>
      <c r="C40" s="49"/>
      <c r="D40" s="50"/>
      <c r="E40" s="1"/>
      <c r="F40" s="1"/>
      <c r="G40" s="32"/>
    </row>
    <row r="42" spans="2:7" x14ac:dyDescent="0.25">
      <c r="B42" s="3"/>
      <c r="C42" s="3"/>
      <c r="D42" s="3"/>
      <c r="G42" s="3"/>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2"/>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1003</v>
      </c>
    </row>
    <row r="2" spans="1:7" x14ac:dyDescent="0.25">
      <c r="A2" s="773" t="s">
        <v>923</v>
      </c>
    </row>
    <row r="4" spans="1:7" x14ac:dyDescent="0.25">
      <c r="A4" s="1" t="s">
        <v>242</v>
      </c>
      <c r="B4" s="1"/>
      <c r="C4" s="91"/>
      <c r="D4" s="1"/>
      <c r="E4" s="1"/>
      <c r="F4" s="1"/>
      <c r="G4" s="1"/>
    </row>
    <row r="5" spans="1:7" x14ac:dyDescent="0.25">
      <c r="A5" s="1" t="s">
        <v>279</v>
      </c>
      <c r="B5" s="1"/>
      <c r="C5" s="91"/>
      <c r="D5" s="1"/>
      <c r="E5" s="1"/>
      <c r="F5" s="1"/>
      <c r="G5" s="1"/>
    </row>
    <row r="6" spans="1:7" x14ac:dyDescent="0.25">
      <c r="A6" s="1" t="s">
        <v>273</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26" si="0">+E12*F12</f>
        <v>0.36</v>
      </c>
    </row>
    <row r="13" spans="1:7" x14ac:dyDescent="0.25">
      <c r="A13" t="s">
        <v>254</v>
      </c>
      <c r="C13" s="46">
        <v>110104001</v>
      </c>
      <c r="E13">
        <v>9</v>
      </c>
      <c r="F13" s="3">
        <f>+'Data Entry'!D30</f>
        <v>0.63</v>
      </c>
      <c r="G13" s="3">
        <f t="shared" si="0"/>
        <v>5.67</v>
      </c>
    </row>
    <row r="14" spans="1:7" x14ac:dyDescent="0.25">
      <c r="A14" t="s">
        <v>255</v>
      </c>
      <c r="C14" s="46">
        <v>112308003</v>
      </c>
      <c r="E14">
        <v>2</v>
      </c>
      <c r="F14" s="3">
        <f>+'Data Entry'!D31</f>
        <v>0.28999999999999998</v>
      </c>
      <c r="G14" s="3">
        <f t="shared" si="0"/>
        <v>0.57999999999999996</v>
      </c>
    </row>
    <row r="15" spans="1:7" x14ac:dyDescent="0.25">
      <c r="A15" t="s">
        <v>256</v>
      </c>
      <c r="C15" s="46">
        <v>120111001</v>
      </c>
      <c r="E15">
        <v>1</v>
      </c>
      <c r="F15" s="3">
        <f>+'Data Entry'!D35</f>
        <v>0.55000000000000004</v>
      </c>
      <c r="G15" s="3">
        <f t="shared" si="0"/>
        <v>0.55000000000000004</v>
      </c>
    </row>
    <row r="16" spans="1:7" x14ac:dyDescent="0.25">
      <c r="A16" t="s">
        <v>257</v>
      </c>
      <c r="C16" s="46">
        <v>140590001</v>
      </c>
      <c r="E16">
        <v>2</v>
      </c>
      <c r="F16" s="3">
        <f>+'Data Entry'!D40</f>
        <v>0.84</v>
      </c>
      <c r="G16" s="3">
        <f t="shared" si="0"/>
        <v>1.68</v>
      </c>
    </row>
    <row r="17" spans="1:7" x14ac:dyDescent="0.25">
      <c r="A17" t="s">
        <v>258</v>
      </c>
      <c r="C17" s="244">
        <v>142631007</v>
      </c>
      <c r="E17">
        <v>0.02</v>
      </c>
      <c r="F17" s="3">
        <f>+'Data Entry'!D42</f>
        <v>3.82</v>
      </c>
      <c r="G17" s="3">
        <f t="shared" si="0"/>
        <v>7.6399999999999996E-2</v>
      </c>
    </row>
    <row r="18" spans="1:7" x14ac:dyDescent="0.25">
      <c r="A18" t="s">
        <v>259</v>
      </c>
      <c r="C18" s="46">
        <v>144304003</v>
      </c>
      <c r="E18">
        <v>1</v>
      </c>
      <c r="F18" s="3">
        <f>+'Data Entry'!D43</f>
        <v>0.31</v>
      </c>
      <c r="G18" s="3">
        <f t="shared" si="0"/>
        <v>0.31</v>
      </c>
    </row>
    <row r="19" spans="1:7" x14ac:dyDescent="0.25">
      <c r="A19" t="s">
        <v>260</v>
      </c>
      <c r="C19" s="46">
        <v>145360004</v>
      </c>
      <c r="E19">
        <v>1</v>
      </c>
      <c r="F19" s="3">
        <f>+'Data Entry'!D46</f>
        <v>0.12</v>
      </c>
      <c r="G19" s="3">
        <f t="shared" si="0"/>
        <v>0.12</v>
      </c>
    </row>
    <row r="20" spans="1:7" x14ac:dyDescent="0.25">
      <c r="A20" t="s">
        <v>260</v>
      </c>
      <c r="C20" s="46">
        <v>145374005</v>
      </c>
      <c r="E20">
        <v>2</v>
      </c>
      <c r="F20" s="3">
        <f>+'Data Entry'!D49</f>
        <v>0.13</v>
      </c>
      <c r="G20" s="3">
        <f t="shared" si="0"/>
        <v>0.26</v>
      </c>
    </row>
    <row r="21" spans="1:7" x14ac:dyDescent="0.25">
      <c r="A21" t="s">
        <v>260</v>
      </c>
      <c r="C21" s="46">
        <v>145395002</v>
      </c>
      <c r="E21">
        <v>1</v>
      </c>
      <c r="F21" s="3">
        <f>+'Data Entry'!D51</f>
        <v>0.2</v>
      </c>
      <c r="G21" s="3">
        <f t="shared" si="0"/>
        <v>0.2</v>
      </c>
    </row>
    <row r="22" spans="1:7" x14ac:dyDescent="0.25">
      <c r="A22" t="s">
        <v>261</v>
      </c>
      <c r="C22" s="46">
        <v>170922011</v>
      </c>
      <c r="E22">
        <v>1</v>
      </c>
      <c r="F22" s="3">
        <f>+'Data Entry'!D87</f>
        <v>55.76</v>
      </c>
      <c r="G22" s="3">
        <f t="shared" si="0"/>
        <v>55.76</v>
      </c>
    </row>
    <row r="23" spans="1:7" x14ac:dyDescent="0.25">
      <c r="A23" t="s">
        <v>262</v>
      </c>
      <c r="C23" s="46">
        <v>171406008</v>
      </c>
      <c r="E23">
        <v>1</v>
      </c>
      <c r="F23" s="3">
        <f>+'Data Entry'!D103</f>
        <v>4.6500000000000004</v>
      </c>
      <c r="G23" s="3">
        <f t="shared" si="0"/>
        <v>4.6500000000000004</v>
      </c>
    </row>
    <row r="24" spans="1:7" x14ac:dyDescent="0.25">
      <c r="A24" t="s">
        <v>263</v>
      </c>
      <c r="C24" s="46">
        <v>172205006</v>
      </c>
      <c r="E24">
        <v>1</v>
      </c>
      <c r="F24" s="3">
        <f>+'Data Entry'!D111</f>
        <v>27.28</v>
      </c>
      <c r="G24" s="3">
        <f t="shared" si="0"/>
        <v>27.28</v>
      </c>
    </row>
    <row r="25" spans="1:7" x14ac:dyDescent="0.25">
      <c r="A25" t="s">
        <v>264</v>
      </c>
      <c r="C25" s="46">
        <v>174605001</v>
      </c>
      <c r="E25">
        <v>1</v>
      </c>
      <c r="F25" s="3">
        <f>+'Data Entry'!D113</f>
        <v>3.77</v>
      </c>
      <c r="G25" s="3">
        <f t="shared" si="0"/>
        <v>3.77</v>
      </c>
    </row>
    <row r="26" spans="1:7" x14ac:dyDescent="0.25">
      <c r="A26" t="s">
        <v>265</v>
      </c>
      <c r="C26" s="46">
        <v>548800008</v>
      </c>
      <c r="E26">
        <v>1</v>
      </c>
      <c r="F26" s="3">
        <f>+'Data Entry'!D119</f>
        <v>1.35</v>
      </c>
      <c r="G26" s="51">
        <f t="shared" si="0"/>
        <v>1.35</v>
      </c>
    </row>
    <row r="27" spans="1:7" x14ac:dyDescent="0.25">
      <c r="G27" s="52">
        <f>SUM(G12:G26)</f>
        <v>102.6164</v>
      </c>
    </row>
    <row r="29" spans="1:7" ht="21" x14ac:dyDescent="0.4">
      <c r="B29" s="1" t="s">
        <v>266</v>
      </c>
      <c r="C29" s="53" t="s">
        <v>267</v>
      </c>
      <c r="D29" s="54" t="s">
        <v>268</v>
      </c>
      <c r="E29" s="1"/>
      <c r="F29" s="55" t="s">
        <v>269</v>
      </c>
      <c r="G29" s="1" t="s">
        <v>247</v>
      </c>
    </row>
    <row r="30" spans="1:7" x14ac:dyDescent="0.25">
      <c r="B30" s="32" t="s">
        <v>252</v>
      </c>
      <c r="C30" s="71" t="s">
        <v>270</v>
      </c>
      <c r="D30" s="32" t="s">
        <v>271</v>
      </c>
      <c r="E30" s="1"/>
      <c r="F30" s="1"/>
      <c r="G30" s="32" t="s">
        <v>272</v>
      </c>
    </row>
    <row r="31" spans="1:7" x14ac:dyDescent="0.25">
      <c r="B31" s="3">
        <f>+G27</f>
        <v>102.6164</v>
      </c>
      <c r="C31" s="3">
        <f>+B31*(+'Data Entry'!C21)</f>
        <v>6.1569839999999996</v>
      </c>
      <c r="D31" s="3">
        <f>+B31*(+'Data Entry'!C16)</f>
        <v>6.0954141599999998</v>
      </c>
      <c r="G31" s="3">
        <f>SUM(B31:F31)</f>
        <v>114.86879816</v>
      </c>
    </row>
    <row r="32" spans="1:7" x14ac:dyDescent="0.25">
      <c r="C32"/>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8"/>
  <sheetViews>
    <sheetView workbookViewId="0">
      <selection activeCell="B2" sqref="B1:B2"/>
    </sheetView>
  </sheetViews>
  <sheetFormatPr defaultRowHeight="13.2" x14ac:dyDescent="0.25"/>
  <cols>
    <col min="1" max="1" width="5" style="47" customWidth="1"/>
    <col min="2" max="2" width="48.88671875" customWidth="1"/>
    <col min="3" max="3" width="11.109375" style="46" customWidth="1"/>
    <col min="4" max="4" width="13.44140625" customWidth="1"/>
    <col min="5" max="5" width="12.44140625" customWidth="1"/>
    <col min="6" max="6" width="9.6640625" customWidth="1"/>
    <col min="7" max="7" width="14.33203125" hidden="1" customWidth="1"/>
    <col min="8" max="8" width="9.6640625" hidden="1" customWidth="1"/>
    <col min="9" max="10" width="0" hidden="1" customWidth="1"/>
    <col min="11" max="11" width="15.33203125" hidden="1" customWidth="1"/>
  </cols>
  <sheetData>
    <row r="1" spans="1:7" x14ac:dyDescent="0.25">
      <c r="B1" s="773" t="s">
        <v>926</v>
      </c>
    </row>
    <row r="2" spans="1:7" x14ac:dyDescent="0.25">
      <c r="B2" s="773" t="s">
        <v>923</v>
      </c>
    </row>
    <row r="4" spans="1:7" ht="18" thickBot="1" x14ac:dyDescent="0.35">
      <c r="A4" s="2" t="str">
        <f>C8 &amp; " Cost of Service"</f>
        <v>2016 Cost of Service</v>
      </c>
    </row>
    <row r="5" spans="1:7" ht="15.6" x14ac:dyDescent="0.3">
      <c r="B5" s="83" t="s">
        <v>0</v>
      </c>
      <c r="C5" s="84"/>
      <c r="D5" s="85"/>
      <c r="E5" s="86"/>
    </row>
    <row r="6" spans="1:7" ht="16.2" thickBot="1" x14ac:dyDescent="0.35">
      <c r="B6" s="87" t="s">
        <v>1</v>
      </c>
      <c r="C6" s="88"/>
      <c r="D6" s="89"/>
      <c r="E6" s="90"/>
    </row>
    <row r="7" spans="1:7" ht="13.8" thickBot="1" x14ac:dyDescent="0.3"/>
    <row r="8" spans="1:7" ht="13.8" thickBot="1" x14ac:dyDescent="0.3">
      <c r="B8" s="432" t="s">
        <v>796</v>
      </c>
      <c r="C8" s="531">
        <v>2016</v>
      </c>
    </row>
    <row r="9" spans="1:7" x14ac:dyDescent="0.25">
      <c r="B9" s="9" t="s">
        <v>440</v>
      </c>
      <c r="C9" s="312">
        <f>Rates!$D$10</f>
        <v>0.15265000000000001</v>
      </c>
      <c r="D9" s="66" t="s">
        <v>2</v>
      </c>
      <c r="E9" s="391">
        <f>Rates!$D$14</f>
        <v>0.15265000000000001</v>
      </c>
    </row>
    <row r="10" spans="1:7" x14ac:dyDescent="0.25">
      <c r="B10" s="10" t="s">
        <v>3</v>
      </c>
      <c r="C10" s="308">
        <f>Rates!$D$18</f>
        <v>1.0007205187735171</v>
      </c>
    </row>
    <row r="11" spans="1:7" x14ac:dyDescent="0.25">
      <c r="B11" s="96" t="s">
        <v>4</v>
      </c>
      <c r="C11" s="74"/>
    </row>
    <row r="12" spans="1:7" x14ac:dyDescent="0.25">
      <c r="B12" s="11" t="s">
        <v>5</v>
      </c>
      <c r="C12" s="290">
        <f>Rates!$D$19</f>
        <v>4.36E-2</v>
      </c>
    </row>
    <row r="13" spans="1:7" x14ac:dyDescent="0.25">
      <c r="B13" s="10" t="s">
        <v>6</v>
      </c>
      <c r="C13" s="290">
        <f>Rates!$D$20</f>
        <v>3.9780000000000003E-2</v>
      </c>
      <c r="D13" s="236" t="s">
        <v>504</v>
      </c>
    </row>
    <row r="14" spans="1:7" x14ac:dyDescent="0.25">
      <c r="B14" s="10" t="s">
        <v>7</v>
      </c>
      <c r="C14" s="314">
        <f>Rates!$D$21</f>
        <v>2.6519999999999998E-2</v>
      </c>
      <c r="D14" s="314">
        <f>Rates!$D$22</f>
        <v>2.6759999999999999E-2</v>
      </c>
      <c r="E14" s="246"/>
    </row>
    <row r="15" spans="1:7" x14ac:dyDescent="0.25">
      <c r="B15" s="10" t="s">
        <v>8</v>
      </c>
      <c r="C15" s="247">
        <f>Rates!$D$23</f>
        <v>0.25419999999999998</v>
      </c>
      <c r="G15" s="252"/>
    </row>
    <row r="16" spans="1:7" x14ac:dyDescent="0.25">
      <c r="B16" s="263" t="s">
        <v>9</v>
      </c>
      <c r="C16" s="283">
        <f>Rates!$D$29</f>
        <v>5.9400000000000001E-2</v>
      </c>
    </row>
    <row r="17" spans="1:11" x14ac:dyDescent="0.25">
      <c r="B17" s="263" t="s">
        <v>10</v>
      </c>
      <c r="C17" s="309">
        <f>Rates!$D$30</f>
        <v>97</v>
      </c>
      <c r="D17" s="269" t="s">
        <v>11</v>
      </c>
      <c r="E17" s="311">
        <f>Rates!$D$31</f>
        <v>111</v>
      </c>
    </row>
    <row r="18" spans="1:11" x14ac:dyDescent="0.25">
      <c r="B18" s="10" t="s">
        <v>12</v>
      </c>
      <c r="C18" s="310">
        <f>C17</f>
        <v>97</v>
      </c>
      <c r="D18" s="99" t="s">
        <v>13</v>
      </c>
      <c r="E18" s="97"/>
    </row>
    <row r="19" spans="1:11" x14ac:dyDescent="0.25">
      <c r="B19" s="268" t="s">
        <v>14</v>
      </c>
      <c r="C19" s="312">
        <f>Rates!$D$24</f>
        <v>5.4000000000000003E-3</v>
      </c>
      <c r="D19" s="79" t="s">
        <v>15</v>
      </c>
      <c r="E19" s="98" t="s">
        <v>16</v>
      </c>
    </row>
    <row r="20" spans="1:11" x14ac:dyDescent="0.25">
      <c r="B20" s="268" t="s">
        <v>17</v>
      </c>
      <c r="C20" s="312">
        <f>Rates!$D$25</f>
        <v>3.09E-2</v>
      </c>
      <c r="D20" s="65">
        <v>0</v>
      </c>
      <c r="E20" s="392">
        <f>Rates!$D$34</f>
        <v>4.8000000000000001E-2</v>
      </c>
    </row>
    <row r="21" spans="1:11" x14ac:dyDescent="0.25">
      <c r="B21" s="69" t="s">
        <v>18</v>
      </c>
      <c r="C21" s="312">
        <f>Rates!$D$26</f>
        <v>0.06</v>
      </c>
    </row>
    <row r="23" spans="1:11" ht="17.399999999999999" x14ac:dyDescent="0.25">
      <c r="C23" s="80"/>
      <c r="D23" s="81"/>
      <c r="E23" s="82"/>
      <c r="K23">
        <v>100002001</v>
      </c>
    </row>
    <row r="24" spans="1:11" ht="24" x14ac:dyDescent="0.3">
      <c r="B24" s="111" t="s">
        <v>19</v>
      </c>
      <c r="C24" s="108"/>
      <c r="D24" s="109"/>
      <c r="E24" s="110"/>
    </row>
    <row r="25" spans="1:11" ht="24" x14ac:dyDescent="0.25">
      <c r="B25" s="100" t="s">
        <v>20</v>
      </c>
      <c r="C25" s="101" t="s">
        <v>21</v>
      </c>
      <c r="D25" s="270" t="s">
        <v>22</v>
      </c>
      <c r="E25" s="102" t="s">
        <v>23</v>
      </c>
      <c r="G25" s="282" t="s">
        <v>509</v>
      </c>
      <c r="H25" s="271" t="s">
        <v>510</v>
      </c>
      <c r="K25">
        <v>100302005</v>
      </c>
    </row>
    <row r="26" spans="1:11" x14ac:dyDescent="0.25">
      <c r="A26" s="129">
        <v>1</v>
      </c>
      <c r="B26" s="103" t="s">
        <v>24</v>
      </c>
      <c r="C26" s="284">
        <v>100302005</v>
      </c>
      <c r="D26" s="75">
        <v>0.21</v>
      </c>
      <c r="E26" s="105" t="s">
        <v>25</v>
      </c>
      <c r="G26">
        <v>1000</v>
      </c>
      <c r="H26" s="248">
        <v>181.36</v>
      </c>
      <c r="K26">
        <v>100406005</v>
      </c>
    </row>
    <row r="27" spans="1:11" x14ac:dyDescent="0.25">
      <c r="A27" s="129">
        <v>2</v>
      </c>
      <c r="B27" s="103" t="s">
        <v>26</v>
      </c>
      <c r="C27" s="284">
        <v>100406005</v>
      </c>
      <c r="D27" s="75">
        <v>0.09</v>
      </c>
      <c r="E27" s="105" t="s">
        <v>25</v>
      </c>
      <c r="G27">
        <v>1000</v>
      </c>
      <c r="H27" s="248">
        <v>78.3</v>
      </c>
    </row>
    <row r="28" spans="1:11" x14ac:dyDescent="0.25">
      <c r="A28" s="129">
        <v>3</v>
      </c>
      <c r="B28" s="103" t="s">
        <v>27</v>
      </c>
      <c r="C28" s="284">
        <v>100587000</v>
      </c>
      <c r="D28" s="75">
        <v>0.09</v>
      </c>
      <c r="E28" s="105" t="s">
        <v>25</v>
      </c>
      <c r="G28">
        <v>1000</v>
      </c>
      <c r="H28" s="248">
        <v>70.430000000000007</v>
      </c>
    </row>
    <row r="29" spans="1:11" x14ac:dyDescent="0.25">
      <c r="A29" s="129">
        <v>4</v>
      </c>
      <c r="B29" s="103" t="s">
        <v>28</v>
      </c>
      <c r="C29" s="284">
        <v>103070211</v>
      </c>
      <c r="D29" s="75">
        <v>0.18</v>
      </c>
      <c r="E29" s="105" t="s">
        <v>29</v>
      </c>
      <c r="G29">
        <v>1</v>
      </c>
      <c r="H29" s="248">
        <v>0.17</v>
      </c>
    </row>
    <row r="30" spans="1:11" x14ac:dyDescent="0.25">
      <c r="A30" s="129">
        <v>5</v>
      </c>
      <c r="B30" s="103" t="s">
        <v>30</v>
      </c>
      <c r="C30" s="284">
        <v>110104001</v>
      </c>
      <c r="D30" s="75">
        <v>0.63</v>
      </c>
      <c r="E30" s="105" t="s">
        <v>25</v>
      </c>
      <c r="G30">
        <v>1000</v>
      </c>
      <c r="H30" s="248">
        <v>345.79</v>
      </c>
    </row>
    <row r="31" spans="1:11" x14ac:dyDescent="0.25">
      <c r="A31" s="129">
        <v>6</v>
      </c>
      <c r="B31" s="103" t="s">
        <v>31</v>
      </c>
      <c r="C31" s="284">
        <v>112308003</v>
      </c>
      <c r="D31" s="75">
        <v>0.28999999999999998</v>
      </c>
      <c r="E31" s="105" t="s">
        <v>25</v>
      </c>
      <c r="G31">
        <v>1000</v>
      </c>
      <c r="H31" s="248">
        <v>162.88999999999999</v>
      </c>
    </row>
    <row r="32" spans="1:11" x14ac:dyDescent="0.25">
      <c r="A32" s="129">
        <v>7</v>
      </c>
      <c r="B32" s="103" t="s">
        <v>32</v>
      </c>
      <c r="C32" s="284">
        <v>112309000</v>
      </c>
      <c r="D32" s="75">
        <v>0.46</v>
      </c>
      <c r="E32" s="105" t="s">
        <v>25</v>
      </c>
      <c r="G32">
        <v>1000</v>
      </c>
      <c r="H32" s="248">
        <v>258.62</v>
      </c>
    </row>
    <row r="33" spans="1:8" x14ac:dyDescent="0.25">
      <c r="A33" s="129">
        <v>8</v>
      </c>
      <c r="B33" s="103" t="s">
        <v>33</v>
      </c>
      <c r="C33" s="284">
        <v>115090009</v>
      </c>
      <c r="D33" s="75">
        <v>0.14000000000000001</v>
      </c>
      <c r="E33" s="105" t="s">
        <v>25</v>
      </c>
      <c r="G33">
        <v>1</v>
      </c>
      <c r="H33" s="248">
        <v>0.14000000000000001</v>
      </c>
    </row>
    <row r="34" spans="1:8" x14ac:dyDescent="0.25">
      <c r="A34" s="129">
        <v>9</v>
      </c>
      <c r="B34" s="103" t="s">
        <v>34</v>
      </c>
      <c r="C34" s="284">
        <v>120036106</v>
      </c>
      <c r="D34" s="75">
        <v>0.85</v>
      </c>
      <c r="E34" s="105" t="s">
        <v>29</v>
      </c>
      <c r="G34">
        <v>1</v>
      </c>
      <c r="H34" s="248">
        <v>1.1100000000000001</v>
      </c>
    </row>
    <row r="35" spans="1:8" x14ac:dyDescent="0.25">
      <c r="A35" s="129">
        <v>10</v>
      </c>
      <c r="B35" s="103" t="s">
        <v>35</v>
      </c>
      <c r="C35" s="284">
        <v>120111001</v>
      </c>
      <c r="D35" s="75">
        <v>0.55000000000000004</v>
      </c>
      <c r="E35" s="105" t="s">
        <v>29</v>
      </c>
      <c r="G35">
        <v>1</v>
      </c>
      <c r="H35" s="248">
        <v>0.61</v>
      </c>
    </row>
    <row r="36" spans="1:8" x14ac:dyDescent="0.25">
      <c r="A36" s="129">
        <v>11</v>
      </c>
      <c r="B36" s="103" t="s">
        <v>36</v>
      </c>
      <c r="C36" s="284">
        <v>130405104</v>
      </c>
      <c r="D36" s="75">
        <v>2.2999999999999998</v>
      </c>
      <c r="E36" s="105" t="s">
        <v>29</v>
      </c>
      <c r="G36">
        <v>1</v>
      </c>
      <c r="H36" s="248">
        <v>2.16</v>
      </c>
    </row>
    <row r="37" spans="1:8" x14ac:dyDescent="0.25">
      <c r="A37" s="129">
        <v>12</v>
      </c>
      <c r="B37" s="103" t="s">
        <v>37</v>
      </c>
      <c r="C37" s="284">
        <v>130614005</v>
      </c>
      <c r="D37" s="75">
        <v>10.81</v>
      </c>
      <c r="E37" s="105" t="s">
        <v>29</v>
      </c>
      <c r="G37">
        <v>1</v>
      </c>
      <c r="H37" s="248">
        <v>9.26</v>
      </c>
    </row>
    <row r="38" spans="1:8" x14ac:dyDescent="0.25">
      <c r="A38" s="129">
        <v>13</v>
      </c>
      <c r="B38" s="103" t="s">
        <v>400</v>
      </c>
      <c r="C38" s="284">
        <v>140492000</v>
      </c>
      <c r="D38" s="75">
        <v>1.47</v>
      </c>
      <c r="E38" s="105" t="s">
        <v>29</v>
      </c>
      <c r="G38">
        <v>1</v>
      </c>
      <c r="H38" s="248">
        <v>0.77</v>
      </c>
    </row>
    <row r="39" spans="1:8" x14ac:dyDescent="0.25">
      <c r="A39" s="129">
        <v>14</v>
      </c>
      <c r="B39" s="103" t="s">
        <v>38</v>
      </c>
      <c r="C39" s="284">
        <v>140588007</v>
      </c>
      <c r="D39" s="75">
        <v>0.79</v>
      </c>
      <c r="E39" s="105" t="s">
        <v>29</v>
      </c>
      <c r="G39">
        <v>1</v>
      </c>
      <c r="H39" s="248">
        <v>0.88</v>
      </c>
    </row>
    <row r="40" spans="1:8" x14ac:dyDescent="0.25">
      <c r="A40" s="129">
        <v>15</v>
      </c>
      <c r="B40" s="103" t="s">
        <v>39</v>
      </c>
      <c r="C40" s="284">
        <v>140590001</v>
      </c>
      <c r="D40" s="75">
        <v>0.84</v>
      </c>
      <c r="E40" s="105" t="s">
        <v>29</v>
      </c>
      <c r="G40">
        <v>1</v>
      </c>
      <c r="H40" s="248">
        <v>0.67</v>
      </c>
    </row>
    <row r="41" spans="1:8" x14ac:dyDescent="0.25">
      <c r="A41" s="129">
        <v>16</v>
      </c>
      <c r="B41" s="103" t="s">
        <v>40</v>
      </c>
      <c r="C41" s="104">
        <v>141707000</v>
      </c>
      <c r="D41" s="75">
        <v>9.39</v>
      </c>
      <c r="E41" s="105" t="s">
        <v>29</v>
      </c>
      <c r="G41">
        <v>1</v>
      </c>
      <c r="H41" s="248">
        <v>11.36</v>
      </c>
    </row>
    <row r="42" spans="1:8" x14ac:dyDescent="0.25">
      <c r="A42" s="129">
        <v>17</v>
      </c>
      <c r="B42" s="103" t="s">
        <v>41</v>
      </c>
      <c r="C42" s="104">
        <v>142631007</v>
      </c>
      <c r="D42" s="75">
        <v>3.82</v>
      </c>
      <c r="E42" s="105" t="s">
        <v>42</v>
      </c>
      <c r="G42">
        <v>1</v>
      </c>
      <c r="H42" s="248">
        <v>3.74</v>
      </c>
    </row>
    <row r="43" spans="1:8" x14ac:dyDescent="0.25">
      <c r="A43" s="129">
        <v>18</v>
      </c>
      <c r="B43" s="103" t="s">
        <v>43</v>
      </c>
      <c r="C43" s="104">
        <v>144304003</v>
      </c>
      <c r="D43" s="75">
        <v>0.31</v>
      </c>
      <c r="E43" s="105" t="s">
        <v>29</v>
      </c>
      <c r="G43">
        <v>1</v>
      </c>
      <c r="H43" s="248">
        <v>0.38</v>
      </c>
    </row>
    <row r="44" spans="1:8" x14ac:dyDescent="0.25">
      <c r="A44" s="129">
        <v>19</v>
      </c>
      <c r="B44" s="103" t="s">
        <v>44</v>
      </c>
      <c r="C44" s="104">
        <v>144405004</v>
      </c>
      <c r="D44" s="75">
        <v>0.61</v>
      </c>
      <c r="E44" s="105" t="s">
        <v>29</v>
      </c>
      <c r="G44">
        <v>1</v>
      </c>
      <c r="H44" s="248">
        <v>1</v>
      </c>
    </row>
    <row r="45" spans="1:8" x14ac:dyDescent="0.25">
      <c r="A45" s="129">
        <v>20</v>
      </c>
      <c r="B45" s="103" t="s">
        <v>45</v>
      </c>
      <c r="C45" s="104">
        <v>144505009</v>
      </c>
      <c r="D45" s="75">
        <v>6.35</v>
      </c>
      <c r="E45" s="105" t="s">
        <v>42</v>
      </c>
      <c r="G45">
        <v>1</v>
      </c>
      <c r="H45" s="248">
        <v>5.51</v>
      </c>
    </row>
    <row r="46" spans="1:8" x14ac:dyDescent="0.25">
      <c r="A46" s="129">
        <v>21</v>
      </c>
      <c r="B46" s="103" t="s">
        <v>46</v>
      </c>
      <c r="C46" s="104">
        <v>145360004</v>
      </c>
      <c r="D46" s="75">
        <v>0.12</v>
      </c>
      <c r="E46" s="105" t="s">
        <v>29</v>
      </c>
      <c r="G46">
        <v>1</v>
      </c>
      <c r="H46" s="248">
        <v>0.14000000000000001</v>
      </c>
    </row>
    <row r="47" spans="1:8" x14ac:dyDescent="0.25">
      <c r="A47" s="129">
        <v>22</v>
      </c>
      <c r="B47" s="103" t="s">
        <v>47</v>
      </c>
      <c r="C47" s="104">
        <v>145361001</v>
      </c>
      <c r="D47" s="75">
        <v>0.06</v>
      </c>
      <c r="E47" s="105" t="s">
        <v>29</v>
      </c>
      <c r="G47">
        <v>1</v>
      </c>
      <c r="H47" s="248">
        <v>7.0000000000000007E-2</v>
      </c>
    </row>
    <row r="48" spans="1:8" x14ac:dyDescent="0.25">
      <c r="A48" s="129">
        <v>23</v>
      </c>
      <c r="B48" s="103" t="s">
        <v>48</v>
      </c>
      <c r="C48" s="104">
        <v>145362007</v>
      </c>
      <c r="D48" s="75">
        <v>0.18</v>
      </c>
      <c r="E48" s="105" t="s">
        <v>29</v>
      </c>
      <c r="G48">
        <v>1</v>
      </c>
      <c r="H48" s="248">
        <v>0.21</v>
      </c>
    </row>
    <row r="49" spans="1:8" x14ac:dyDescent="0.25">
      <c r="A49" s="129">
        <v>24</v>
      </c>
      <c r="B49" s="103" t="s">
        <v>49</v>
      </c>
      <c r="C49" s="104">
        <v>145374005</v>
      </c>
      <c r="D49" s="75">
        <v>0.13</v>
      </c>
      <c r="E49" s="105" t="s">
        <v>29</v>
      </c>
      <c r="G49">
        <v>1</v>
      </c>
      <c r="H49" s="248">
        <v>0.11</v>
      </c>
    </row>
    <row r="50" spans="1:8" x14ac:dyDescent="0.25">
      <c r="A50" s="129">
        <v>25</v>
      </c>
      <c r="B50" s="103" t="s">
        <v>50</v>
      </c>
      <c r="C50" s="104">
        <v>145383004</v>
      </c>
      <c r="D50" s="75">
        <v>0.15</v>
      </c>
      <c r="E50" s="105" t="s">
        <v>29</v>
      </c>
      <c r="G50">
        <v>1</v>
      </c>
      <c r="H50" s="248">
        <v>0.14000000000000001</v>
      </c>
    </row>
    <row r="51" spans="1:8" x14ac:dyDescent="0.25">
      <c r="A51" s="129">
        <v>26</v>
      </c>
      <c r="B51" s="103" t="s">
        <v>51</v>
      </c>
      <c r="C51" s="104">
        <v>145395002</v>
      </c>
      <c r="D51" s="75">
        <v>0.2</v>
      </c>
      <c r="E51" s="105" t="s">
        <v>29</v>
      </c>
      <c r="G51">
        <v>1</v>
      </c>
      <c r="H51" s="248">
        <v>0.17</v>
      </c>
    </row>
    <row r="52" spans="1:8" x14ac:dyDescent="0.25">
      <c r="A52" s="129">
        <v>27</v>
      </c>
      <c r="B52" s="103" t="s">
        <v>52</v>
      </c>
      <c r="C52" s="104">
        <v>151175001</v>
      </c>
      <c r="D52" s="75">
        <v>76.540000000000006</v>
      </c>
      <c r="E52" s="105" t="s">
        <v>29</v>
      </c>
      <c r="G52">
        <v>1</v>
      </c>
      <c r="H52" s="249">
        <v>100</v>
      </c>
    </row>
    <row r="53" spans="1:8" x14ac:dyDescent="0.25">
      <c r="A53" s="129">
        <v>28</v>
      </c>
      <c r="B53" s="103" t="s">
        <v>53</v>
      </c>
      <c r="C53" s="104">
        <v>151179006</v>
      </c>
      <c r="D53" s="75">
        <v>156.38</v>
      </c>
      <c r="E53" s="105" t="s">
        <v>29</v>
      </c>
      <c r="G53">
        <v>1</v>
      </c>
      <c r="H53" s="248">
        <v>196</v>
      </c>
    </row>
    <row r="54" spans="1:8" x14ac:dyDescent="0.25">
      <c r="A54" s="129">
        <v>29</v>
      </c>
      <c r="B54" s="103" t="s">
        <v>54</v>
      </c>
      <c r="C54" s="104">
        <v>151187009</v>
      </c>
      <c r="D54" s="75">
        <v>176.86</v>
      </c>
      <c r="E54" s="105" t="s">
        <v>29</v>
      </c>
      <c r="G54">
        <v>1</v>
      </c>
      <c r="H54" s="248">
        <v>232</v>
      </c>
    </row>
    <row r="55" spans="1:8" x14ac:dyDescent="0.25">
      <c r="A55" s="129">
        <v>30</v>
      </c>
      <c r="B55" s="103" t="s">
        <v>55</v>
      </c>
      <c r="C55" s="104">
        <v>151192002</v>
      </c>
      <c r="D55" s="75">
        <v>252.98</v>
      </c>
      <c r="E55" s="105" t="s">
        <v>29</v>
      </c>
      <c r="G55">
        <v>1</v>
      </c>
      <c r="H55" s="248">
        <v>239.86</v>
      </c>
    </row>
    <row r="56" spans="1:8" x14ac:dyDescent="0.25">
      <c r="A56" s="129">
        <v>31</v>
      </c>
      <c r="B56" s="103" t="s">
        <v>492</v>
      </c>
      <c r="C56" s="104" t="s">
        <v>493</v>
      </c>
      <c r="D56" s="75">
        <v>410.15</v>
      </c>
      <c r="E56" s="105" t="s">
        <v>29</v>
      </c>
      <c r="G56">
        <v>1</v>
      </c>
      <c r="H56" s="248">
        <v>273.83999999999997</v>
      </c>
    </row>
    <row r="57" spans="1:8" x14ac:dyDescent="0.25">
      <c r="A57" s="129">
        <v>32</v>
      </c>
      <c r="B57" s="103" t="s">
        <v>56</v>
      </c>
      <c r="C57" s="104">
        <v>152220000</v>
      </c>
      <c r="D57" s="75">
        <v>178.87</v>
      </c>
      <c r="E57" s="105" t="s">
        <v>29</v>
      </c>
      <c r="G57">
        <v>1</v>
      </c>
      <c r="H57" s="248">
        <v>261.63</v>
      </c>
    </row>
    <row r="58" spans="1:8" x14ac:dyDescent="0.25">
      <c r="A58" s="129">
        <v>33</v>
      </c>
      <c r="B58" s="103" t="s">
        <v>57</v>
      </c>
      <c r="C58" s="104">
        <v>152234001</v>
      </c>
      <c r="D58" s="75">
        <v>292.63</v>
      </c>
      <c r="E58" s="105" t="s">
        <v>29</v>
      </c>
      <c r="G58">
        <v>1</v>
      </c>
      <c r="H58" s="248">
        <v>354.77</v>
      </c>
    </row>
    <row r="59" spans="1:8" x14ac:dyDescent="0.25">
      <c r="A59" s="129">
        <v>34</v>
      </c>
      <c r="B59" s="103" t="s">
        <v>58</v>
      </c>
      <c r="C59" s="104">
        <v>152239002</v>
      </c>
      <c r="D59" s="75">
        <v>322.54000000000002</v>
      </c>
      <c r="E59" s="105" t="s">
        <v>29</v>
      </c>
      <c r="G59">
        <v>1</v>
      </c>
      <c r="H59" s="248">
        <v>395</v>
      </c>
    </row>
    <row r="60" spans="1:8" x14ac:dyDescent="0.25">
      <c r="A60" s="129">
        <v>35</v>
      </c>
      <c r="B60" s="103" t="s">
        <v>59</v>
      </c>
      <c r="C60" s="104">
        <v>152241007</v>
      </c>
      <c r="D60" s="75">
        <v>696.54</v>
      </c>
      <c r="E60" s="105" t="s">
        <v>29</v>
      </c>
      <c r="G60">
        <v>1</v>
      </c>
      <c r="H60" s="248">
        <v>639</v>
      </c>
    </row>
    <row r="61" spans="1:8" x14ac:dyDescent="0.25">
      <c r="A61" s="129">
        <v>36</v>
      </c>
      <c r="B61" s="103" t="s">
        <v>60</v>
      </c>
      <c r="C61" s="104">
        <v>152351007</v>
      </c>
      <c r="D61" s="75">
        <v>584.71</v>
      </c>
      <c r="E61" s="105" t="s">
        <v>29</v>
      </c>
      <c r="G61">
        <v>1</v>
      </c>
      <c r="H61" s="248">
        <v>519</v>
      </c>
    </row>
    <row r="62" spans="1:8" x14ac:dyDescent="0.25">
      <c r="A62" s="129">
        <v>37</v>
      </c>
      <c r="B62" s="103" t="s">
        <v>61</v>
      </c>
      <c r="C62" s="104">
        <v>152352003</v>
      </c>
      <c r="D62" s="75">
        <v>644.13</v>
      </c>
      <c r="E62" s="105" t="s">
        <v>29</v>
      </c>
      <c r="G62">
        <v>1</v>
      </c>
      <c r="H62" s="248">
        <v>565</v>
      </c>
    </row>
    <row r="63" spans="1:8" x14ac:dyDescent="0.25">
      <c r="A63" s="129">
        <v>38</v>
      </c>
      <c r="B63" s="103" t="s">
        <v>62</v>
      </c>
      <c r="C63" s="104">
        <v>152353000</v>
      </c>
      <c r="D63" s="75">
        <v>742</v>
      </c>
      <c r="E63" s="105" t="s">
        <v>29</v>
      </c>
      <c r="G63">
        <v>1</v>
      </c>
      <c r="H63" s="248">
        <v>995</v>
      </c>
    </row>
    <row r="64" spans="1:8" x14ac:dyDescent="0.25">
      <c r="A64" s="129">
        <v>39</v>
      </c>
      <c r="B64" s="103" t="s">
        <v>63</v>
      </c>
      <c r="C64" s="104">
        <v>154119004</v>
      </c>
      <c r="D64" s="75">
        <v>122.11</v>
      </c>
      <c r="E64" s="105" t="s">
        <v>29</v>
      </c>
      <c r="G64">
        <v>1</v>
      </c>
      <c r="H64" s="248">
        <v>118</v>
      </c>
    </row>
    <row r="65" spans="1:8" x14ac:dyDescent="0.25">
      <c r="A65" s="129">
        <v>40</v>
      </c>
      <c r="B65" s="103" t="s">
        <v>401</v>
      </c>
      <c r="C65" s="104">
        <v>162304001</v>
      </c>
      <c r="D65" s="75">
        <v>62.42</v>
      </c>
      <c r="E65" s="105" t="s">
        <v>29</v>
      </c>
      <c r="G65">
        <v>1</v>
      </c>
      <c r="H65" s="248">
        <v>55.28</v>
      </c>
    </row>
    <row r="66" spans="1:8" x14ac:dyDescent="0.25">
      <c r="A66" s="129">
        <v>41</v>
      </c>
      <c r="B66" s="103" t="s">
        <v>64</v>
      </c>
      <c r="C66" s="104">
        <v>163659008</v>
      </c>
      <c r="D66" s="75">
        <v>2.8</v>
      </c>
      <c r="E66" s="105" t="s">
        <v>29</v>
      </c>
      <c r="G66">
        <v>1</v>
      </c>
      <c r="H66" s="248">
        <v>2.48</v>
      </c>
    </row>
    <row r="67" spans="1:8" x14ac:dyDescent="0.25">
      <c r="A67" s="129">
        <v>42</v>
      </c>
      <c r="B67" s="103" t="s">
        <v>65</v>
      </c>
      <c r="C67" s="104">
        <v>164238006</v>
      </c>
      <c r="D67" s="75">
        <v>4.4400000000000004</v>
      </c>
      <c r="E67" s="105" t="s">
        <v>29</v>
      </c>
      <c r="G67">
        <v>1</v>
      </c>
      <c r="H67" s="248">
        <v>4.99</v>
      </c>
    </row>
    <row r="68" spans="1:8" x14ac:dyDescent="0.25">
      <c r="A68" s="421">
        <v>43</v>
      </c>
      <c r="B68" s="422" t="s">
        <v>474</v>
      </c>
      <c r="C68" s="423">
        <v>164331006</v>
      </c>
      <c r="D68" s="424">
        <v>0.35</v>
      </c>
      <c r="E68" s="425" t="s">
        <v>25</v>
      </c>
      <c r="G68">
        <v>1</v>
      </c>
      <c r="H68" s="249">
        <v>0.48</v>
      </c>
    </row>
    <row r="69" spans="1:8" x14ac:dyDescent="0.25">
      <c r="A69" s="129">
        <v>44</v>
      </c>
      <c r="B69" s="103" t="s">
        <v>66</v>
      </c>
      <c r="C69" s="104">
        <v>164470006</v>
      </c>
      <c r="D69" s="75">
        <v>0.41</v>
      </c>
      <c r="E69" s="105" t="s">
        <v>29</v>
      </c>
      <c r="G69">
        <v>1</v>
      </c>
      <c r="H69" s="248">
        <v>0.39</v>
      </c>
    </row>
    <row r="70" spans="1:8" x14ac:dyDescent="0.25">
      <c r="A70" s="129">
        <v>45</v>
      </c>
      <c r="B70" s="103" t="s">
        <v>472</v>
      </c>
      <c r="C70" s="104" t="s">
        <v>473</v>
      </c>
      <c r="D70" s="75">
        <v>0.54</v>
      </c>
      <c r="E70" s="105" t="s">
        <v>25</v>
      </c>
      <c r="G70">
        <v>1</v>
      </c>
      <c r="H70" s="248">
        <v>0.65</v>
      </c>
    </row>
    <row r="71" spans="1:8" x14ac:dyDescent="0.25">
      <c r="A71" s="129">
        <v>46</v>
      </c>
      <c r="B71" s="103" t="s">
        <v>476</v>
      </c>
      <c r="C71" s="104" t="s">
        <v>475</v>
      </c>
      <c r="D71" s="75">
        <v>5.53</v>
      </c>
      <c r="E71" s="105" t="s">
        <v>29</v>
      </c>
      <c r="G71">
        <v>1</v>
      </c>
      <c r="H71" s="248">
        <v>5.85</v>
      </c>
    </row>
    <row r="72" spans="1:8" x14ac:dyDescent="0.25">
      <c r="A72" s="129">
        <v>47</v>
      </c>
      <c r="B72" s="103" t="s">
        <v>67</v>
      </c>
      <c r="C72" s="104">
        <v>170831007</v>
      </c>
      <c r="D72" s="75">
        <v>35.880000000000003</v>
      </c>
      <c r="E72" s="105" t="s">
        <v>29</v>
      </c>
      <c r="G72">
        <v>1</v>
      </c>
      <c r="H72" s="248">
        <v>33</v>
      </c>
    </row>
    <row r="73" spans="1:8" x14ac:dyDescent="0.25">
      <c r="A73" s="129">
        <v>48</v>
      </c>
      <c r="B73" s="103" t="s">
        <v>68</v>
      </c>
      <c r="C73" s="104">
        <v>170831015</v>
      </c>
      <c r="D73" s="75">
        <v>36.04</v>
      </c>
      <c r="E73" s="105" t="s">
        <v>29</v>
      </c>
      <c r="G73">
        <v>1</v>
      </c>
      <c r="H73" s="248">
        <v>33.4</v>
      </c>
    </row>
    <row r="74" spans="1:8" x14ac:dyDescent="0.25">
      <c r="A74" s="129">
        <v>49</v>
      </c>
      <c r="B74" s="103" t="s">
        <v>69</v>
      </c>
      <c r="C74" s="104">
        <v>170831023</v>
      </c>
      <c r="D74" s="75">
        <v>37.380000000000003</v>
      </c>
      <c r="E74" s="105" t="s">
        <v>29</v>
      </c>
      <c r="G74">
        <v>1</v>
      </c>
      <c r="H74" s="248">
        <v>35.75</v>
      </c>
    </row>
    <row r="75" spans="1:8" x14ac:dyDescent="0.25">
      <c r="A75" s="129">
        <v>50</v>
      </c>
      <c r="B75" s="103" t="s">
        <v>70</v>
      </c>
      <c r="C75" s="104">
        <v>170834006</v>
      </c>
      <c r="D75" s="75">
        <v>33.909999999999997</v>
      </c>
      <c r="E75" s="105" t="s">
        <v>29</v>
      </c>
      <c r="G75">
        <v>1</v>
      </c>
      <c r="H75" s="248">
        <v>33.1</v>
      </c>
    </row>
    <row r="76" spans="1:8" x14ac:dyDescent="0.25">
      <c r="A76" s="129">
        <v>51</v>
      </c>
      <c r="B76" s="103" t="s">
        <v>71</v>
      </c>
      <c r="C76" s="104">
        <v>170834014</v>
      </c>
      <c r="D76" s="75">
        <v>34.25</v>
      </c>
      <c r="E76" s="105" t="s">
        <v>29</v>
      </c>
      <c r="G76">
        <v>1</v>
      </c>
      <c r="H76" s="248">
        <v>33.5</v>
      </c>
    </row>
    <row r="77" spans="1:8" x14ac:dyDescent="0.25">
      <c r="A77" s="129">
        <v>52</v>
      </c>
      <c r="B77" s="103" t="s">
        <v>72</v>
      </c>
      <c r="C77" s="104">
        <v>170834022</v>
      </c>
      <c r="D77" s="75">
        <v>35.44</v>
      </c>
      <c r="E77" s="105" t="s">
        <v>29</v>
      </c>
      <c r="G77">
        <v>1</v>
      </c>
      <c r="H77" s="248">
        <v>35.799999999999997</v>
      </c>
    </row>
    <row r="78" spans="1:8" x14ac:dyDescent="0.25">
      <c r="A78" s="129">
        <v>53</v>
      </c>
      <c r="B78" s="103" t="s">
        <v>73</v>
      </c>
      <c r="C78" s="104">
        <v>170861003</v>
      </c>
      <c r="D78" s="75">
        <v>98.49</v>
      </c>
      <c r="E78" s="105" t="s">
        <v>29</v>
      </c>
      <c r="G78">
        <v>1</v>
      </c>
      <c r="H78" s="248">
        <v>90.55</v>
      </c>
    </row>
    <row r="79" spans="1:8" x14ac:dyDescent="0.25">
      <c r="A79" s="129">
        <v>54</v>
      </c>
      <c r="B79" s="103" t="s">
        <v>74</v>
      </c>
      <c r="C79" s="104">
        <v>170861011</v>
      </c>
      <c r="D79" s="75">
        <v>95.64</v>
      </c>
      <c r="E79" s="105" t="s">
        <v>29</v>
      </c>
      <c r="G79">
        <v>1</v>
      </c>
      <c r="H79" s="248">
        <v>91.9</v>
      </c>
    </row>
    <row r="80" spans="1:8" x14ac:dyDescent="0.25">
      <c r="A80" s="129">
        <v>55</v>
      </c>
      <c r="B80" s="103" t="s">
        <v>75</v>
      </c>
      <c r="C80" s="104">
        <v>170861020</v>
      </c>
      <c r="D80" s="75">
        <v>95.32</v>
      </c>
      <c r="E80" s="105" t="s">
        <v>29</v>
      </c>
      <c r="G80">
        <v>1</v>
      </c>
      <c r="H80" s="248">
        <v>93.1</v>
      </c>
    </row>
    <row r="81" spans="1:8" x14ac:dyDescent="0.25">
      <c r="A81" s="129">
        <v>56</v>
      </c>
      <c r="B81" s="103" t="s">
        <v>76</v>
      </c>
      <c r="C81" s="104">
        <v>170863006</v>
      </c>
      <c r="D81" s="75">
        <v>97.41</v>
      </c>
      <c r="E81" s="105" t="s">
        <v>29</v>
      </c>
      <c r="G81">
        <v>1</v>
      </c>
      <c r="H81" s="248">
        <v>89.65</v>
      </c>
    </row>
    <row r="82" spans="1:8" x14ac:dyDescent="0.25">
      <c r="A82" s="129">
        <v>57</v>
      </c>
      <c r="B82" s="103" t="s">
        <v>77</v>
      </c>
      <c r="C82" s="104">
        <v>170863014</v>
      </c>
      <c r="D82" s="75">
        <v>98.65</v>
      </c>
      <c r="E82" s="105" t="s">
        <v>29</v>
      </c>
      <c r="G82">
        <v>1</v>
      </c>
      <c r="H82" s="248">
        <v>91</v>
      </c>
    </row>
    <row r="83" spans="1:8" x14ac:dyDescent="0.25">
      <c r="A83" s="129">
        <v>58</v>
      </c>
      <c r="B83" s="103" t="s">
        <v>78</v>
      </c>
      <c r="C83" s="104">
        <v>170863022</v>
      </c>
      <c r="D83" s="75">
        <v>95.21</v>
      </c>
      <c r="E83" s="105" t="s">
        <v>29</v>
      </c>
      <c r="G83">
        <v>1</v>
      </c>
      <c r="H83" s="248">
        <v>92.2</v>
      </c>
    </row>
    <row r="84" spans="1:8" x14ac:dyDescent="0.25">
      <c r="A84" s="129">
        <v>59</v>
      </c>
      <c r="B84" s="103" t="s">
        <v>79</v>
      </c>
      <c r="C84" s="104">
        <v>170900009</v>
      </c>
      <c r="D84" s="75">
        <v>109.49</v>
      </c>
      <c r="E84" s="105" t="s">
        <v>29</v>
      </c>
      <c r="G84">
        <v>1</v>
      </c>
      <c r="H84" s="248">
        <v>92.5</v>
      </c>
    </row>
    <row r="85" spans="1:8" x14ac:dyDescent="0.25">
      <c r="A85" s="129">
        <v>60</v>
      </c>
      <c r="B85" s="103" t="s">
        <v>80</v>
      </c>
      <c r="C85" s="104">
        <v>170910004</v>
      </c>
      <c r="D85" s="75">
        <v>102.14</v>
      </c>
      <c r="E85" s="105" t="s">
        <v>29</v>
      </c>
      <c r="G85">
        <v>1</v>
      </c>
      <c r="H85" s="248">
        <v>88.5</v>
      </c>
    </row>
    <row r="86" spans="1:8" x14ac:dyDescent="0.25">
      <c r="A86" s="129">
        <v>61</v>
      </c>
      <c r="B86" s="103" t="s">
        <v>81</v>
      </c>
      <c r="C86" s="104">
        <v>170920000</v>
      </c>
      <c r="D86" s="75">
        <v>125.08</v>
      </c>
      <c r="E86" s="105" t="s">
        <v>29</v>
      </c>
      <c r="G86">
        <v>1</v>
      </c>
      <c r="H86" s="250">
        <v>125.08</v>
      </c>
    </row>
    <row r="87" spans="1:8" x14ac:dyDescent="0.25">
      <c r="A87" s="129">
        <v>62</v>
      </c>
      <c r="B87" s="103" t="s">
        <v>82</v>
      </c>
      <c r="C87" s="104">
        <v>170922011</v>
      </c>
      <c r="D87" s="75">
        <v>55.76</v>
      </c>
      <c r="E87" s="105" t="s">
        <v>29</v>
      </c>
      <c r="G87">
        <v>1</v>
      </c>
      <c r="H87" s="248">
        <v>50.35</v>
      </c>
    </row>
    <row r="88" spans="1:8" x14ac:dyDescent="0.25">
      <c r="A88" s="129">
        <v>63</v>
      </c>
      <c r="B88" s="103" t="s">
        <v>83</v>
      </c>
      <c r="C88" s="104">
        <v>170922029</v>
      </c>
      <c r="D88" s="75">
        <v>57.16</v>
      </c>
      <c r="E88" s="105" t="s">
        <v>29</v>
      </c>
      <c r="G88">
        <v>1</v>
      </c>
      <c r="H88" s="248">
        <v>51.75</v>
      </c>
    </row>
    <row r="89" spans="1:8" x14ac:dyDescent="0.25">
      <c r="A89" s="129">
        <v>64</v>
      </c>
      <c r="B89" s="103" t="s">
        <v>84</v>
      </c>
      <c r="C89" s="104">
        <v>170922045</v>
      </c>
      <c r="D89" s="75">
        <v>54.62</v>
      </c>
      <c r="E89" s="105" t="s">
        <v>29</v>
      </c>
      <c r="G89">
        <v>1</v>
      </c>
      <c r="H89" s="248">
        <v>50</v>
      </c>
    </row>
    <row r="90" spans="1:8" x14ac:dyDescent="0.25">
      <c r="A90" s="129">
        <v>65</v>
      </c>
      <c r="B90" s="103" t="s">
        <v>85</v>
      </c>
      <c r="C90" s="104">
        <v>170924005</v>
      </c>
      <c r="D90" s="75">
        <v>55.74</v>
      </c>
      <c r="E90" s="105" t="s">
        <v>29</v>
      </c>
      <c r="G90">
        <v>1</v>
      </c>
      <c r="H90" s="248">
        <v>50.3</v>
      </c>
    </row>
    <row r="91" spans="1:8" x14ac:dyDescent="0.25">
      <c r="A91" s="129">
        <v>66</v>
      </c>
      <c r="B91" s="103" t="s">
        <v>86</v>
      </c>
      <c r="C91" s="104">
        <v>170924013</v>
      </c>
      <c r="D91" s="75">
        <v>56.62</v>
      </c>
      <c r="E91" s="105" t="s">
        <v>29</v>
      </c>
      <c r="G91">
        <v>1</v>
      </c>
      <c r="H91" s="248">
        <v>50.85</v>
      </c>
    </row>
    <row r="92" spans="1:8" x14ac:dyDescent="0.25">
      <c r="A92" s="129">
        <v>67</v>
      </c>
      <c r="B92" s="103" t="s">
        <v>87</v>
      </c>
      <c r="C92" s="104">
        <v>170924021</v>
      </c>
      <c r="D92" s="75">
        <v>57.98</v>
      </c>
      <c r="E92" s="105" t="s">
        <v>29</v>
      </c>
      <c r="G92">
        <v>1</v>
      </c>
      <c r="H92" s="248">
        <v>52.05</v>
      </c>
    </row>
    <row r="93" spans="1:8" x14ac:dyDescent="0.25">
      <c r="A93" s="129">
        <v>68</v>
      </c>
      <c r="B93" s="103" t="s">
        <v>88</v>
      </c>
      <c r="C93" s="104">
        <v>170940001</v>
      </c>
      <c r="D93" s="75">
        <v>102.88</v>
      </c>
      <c r="E93" s="105" t="s">
        <v>29</v>
      </c>
      <c r="G93">
        <v>1</v>
      </c>
      <c r="H93" s="248">
        <v>94.8</v>
      </c>
    </row>
    <row r="94" spans="1:8" x14ac:dyDescent="0.25">
      <c r="A94" s="129">
        <v>69</v>
      </c>
      <c r="B94" s="103" t="s">
        <v>89</v>
      </c>
      <c r="C94" s="104">
        <v>170942003</v>
      </c>
      <c r="D94" s="75">
        <v>177.25</v>
      </c>
      <c r="E94" s="105" t="s">
        <v>29</v>
      </c>
      <c r="G94">
        <v>1</v>
      </c>
      <c r="H94" s="248">
        <v>183</v>
      </c>
    </row>
    <row r="95" spans="1:8" x14ac:dyDescent="0.25">
      <c r="A95" s="129">
        <v>70</v>
      </c>
      <c r="B95" s="103" t="s">
        <v>90</v>
      </c>
      <c r="C95" s="104">
        <v>170960001</v>
      </c>
      <c r="D95" s="75">
        <v>101.16</v>
      </c>
      <c r="E95" s="105" t="s">
        <v>29</v>
      </c>
      <c r="G95">
        <v>1</v>
      </c>
      <c r="H95" s="248">
        <v>90.8</v>
      </c>
    </row>
    <row r="96" spans="1:8" x14ac:dyDescent="0.25">
      <c r="A96" s="129">
        <v>71</v>
      </c>
      <c r="B96" s="103" t="s">
        <v>91</v>
      </c>
      <c r="C96" s="104">
        <v>170970007</v>
      </c>
      <c r="D96" s="75">
        <v>141.11000000000001</v>
      </c>
      <c r="E96" s="105" t="s">
        <v>29</v>
      </c>
      <c r="G96">
        <v>1</v>
      </c>
      <c r="H96" s="248">
        <v>123.6</v>
      </c>
    </row>
    <row r="97" spans="1:8" x14ac:dyDescent="0.25">
      <c r="A97" s="129">
        <v>72</v>
      </c>
      <c r="B97" s="103" t="s">
        <v>92</v>
      </c>
      <c r="C97" s="104">
        <v>170970023</v>
      </c>
      <c r="D97" s="75">
        <v>137.6</v>
      </c>
      <c r="E97" s="105" t="s">
        <v>29</v>
      </c>
      <c r="G97">
        <v>1</v>
      </c>
      <c r="H97" s="248">
        <v>108.65</v>
      </c>
    </row>
    <row r="98" spans="1:8" x14ac:dyDescent="0.25">
      <c r="A98" s="129">
        <v>73</v>
      </c>
      <c r="B98" s="103" t="s">
        <v>93</v>
      </c>
      <c r="C98" s="104">
        <v>170971003</v>
      </c>
      <c r="D98" s="75">
        <v>109.81</v>
      </c>
      <c r="E98" s="105" t="s">
        <v>29</v>
      </c>
      <c r="G98">
        <v>1</v>
      </c>
      <c r="H98" s="248">
        <v>100.9</v>
      </c>
    </row>
    <row r="99" spans="1:8" x14ac:dyDescent="0.25">
      <c r="A99" s="129">
        <v>74</v>
      </c>
      <c r="B99" s="103" t="s">
        <v>94</v>
      </c>
      <c r="C99" s="104">
        <v>171401006</v>
      </c>
      <c r="D99" s="75">
        <v>24.56</v>
      </c>
      <c r="E99" s="105" t="s">
        <v>29</v>
      </c>
      <c r="G99">
        <v>1</v>
      </c>
      <c r="H99" s="249">
        <v>24.56</v>
      </c>
    </row>
    <row r="100" spans="1:8" x14ac:dyDescent="0.25">
      <c r="A100" s="129">
        <v>75</v>
      </c>
      <c r="B100" s="103" t="s">
        <v>95</v>
      </c>
      <c r="C100" s="104">
        <v>171402002</v>
      </c>
      <c r="D100" s="75">
        <v>6.11</v>
      </c>
      <c r="E100" s="105" t="s">
        <v>29</v>
      </c>
      <c r="G100">
        <v>1</v>
      </c>
      <c r="H100" s="248">
        <v>5.77</v>
      </c>
    </row>
    <row r="101" spans="1:8" x14ac:dyDescent="0.25">
      <c r="A101" s="129">
        <v>76</v>
      </c>
      <c r="B101" s="103" t="s">
        <v>96</v>
      </c>
      <c r="C101" s="104">
        <v>171404005</v>
      </c>
      <c r="D101" s="75">
        <v>5.3</v>
      </c>
      <c r="E101" s="105" t="s">
        <v>29</v>
      </c>
      <c r="G101">
        <v>1</v>
      </c>
      <c r="H101" s="248">
        <v>6.42</v>
      </c>
    </row>
    <row r="102" spans="1:8" x14ac:dyDescent="0.25">
      <c r="A102" s="129">
        <v>77</v>
      </c>
      <c r="B102" s="103" t="s">
        <v>97</v>
      </c>
      <c r="C102" s="104">
        <v>171405001</v>
      </c>
      <c r="D102" s="75">
        <v>30.47</v>
      </c>
      <c r="E102" s="105" t="s">
        <v>29</v>
      </c>
      <c r="G102">
        <v>1</v>
      </c>
      <c r="H102" s="248">
        <v>28</v>
      </c>
    </row>
    <row r="103" spans="1:8" x14ac:dyDescent="0.25">
      <c r="A103" s="129">
        <v>78</v>
      </c>
      <c r="B103" s="103" t="s">
        <v>98</v>
      </c>
      <c r="C103" s="104">
        <v>171406008</v>
      </c>
      <c r="D103" s="75">
        <v>4.6500000000000004</v>
      </c>
      <c r="E103" s="105" t="s">
        <v>29</v>
      </c>
      <c r="G103">
        <v>1</v>
      </c>
      <c r="H103" s="248">
        <v>5.57</v>
      </c>
    </row>
    <row r="104" spans="1:8" x14ac:dyDescent="0.25">
      <c r="A104" s="129">
        <v>79</v>
      </c>
      <c r="B104" s="318" t="s">
        <v>99</v>
      </c>
      <c r="C104" s="104">
        <v>171407004</v>
      </c>
      <c r="D104" s="75">
        <v>4.87</v>
      </c>
      <c r="E104" s="105" t="s">
        <v>29</v>
      </c>
      <c r="G104">
        <v>1</v>
      </c>
      <c r="H104" s="248">
        <v>5.71</v>
      </c>
    </row>
    <row r="105" spans="1:8" x14ac:dyDescent="0.25">
      <c r="A105" s="129">
        <v>80</v>
      </c>
      <c r="B105" s="103" t="s">
        <v>100</v>
      </c>
      <c r="C105" s="104">
        <v>171407021</v>
      </c>
      <c r="D105" s="75">
        <v>5.0999999999999996</v>
      </c>
      <c r="E105" s="105" t="s">
        <v>29</v>
      </c>
      <c r="G105">
        <v>1</v>
      </c>
      <c r="H105" s="248">
        <v>6.42</v>
      </c>
    </row>
    <row r="106" spans="1:8" x14ac:dyDescent="0.25">
      <c r="A106" s="129">
        <v>81</v>
      </c>
      <c r="B106" s="103" t="s">
        <v>101</v>
      </c>
      <c r="C106" s="104">
        <v>171408001</v>
      </c>
      <c r="D106" s="75">
        <v>4.88</v>
      </c>
      <c r="E106" s="105" t="s">
        <v>29</v>
      </c>
      <c r="G106">
        <v>1</v>
      </c>
      <c r="H106" s="248">
        <v>5.81</v>
      </c>
    </row>
    <row r="107" spans="1:8" x14ac:dyDescent="0.25">
      <c r="A107" s="129">
        <v>82</v>
      </c>
      <c r="B107" s="103" t="s">
        <v>102</v>
      </c>
      <c r="C107" s="104">
        <v>171486001</v>
      </c>
      <c r="D107" s="75">
        <v>4.1100000000000003</v>
      </c>
      <c r="E107" s="105" t="s">
        <v>29</v>
      </c>
      <c r="G107">
        <v>1</v>
      </c>
      <c r="H107" s="248">
        <v>4.3899999999999997</v>
      </c>
    </row>
    <row r="108" spans="1:8" x14ac:dyDescent="0.25">
      <c r="A108" s="129">
        <v>83</v>
      </c>
      <c r="B108" s="103" t="s">
        <v>103</v>
      </c>
      <c r="C108" s="104">
        <v>171493008</v>
      </c>
      <c r="D108" s="75">
        <v>5.89</v>
      </c>
      <c r="E108" s="105" t="s">
        <v>29</v>
      </c>
      <c r="G108">
        <v>1</v>
      </c>
      <c r="H108" s="248">
        <v>6.88</v>
      </c>
    </row>
    <row r="109" spans="1:8" x14ac:dyDescent="0.25">
      <c r="A109" s="129">
        <v>84</v>
      </c>
      <c r="B109" s="103" t="s">
        <v>104</v>
      </c>
      <c r="C109" s="104">
        <v>171651053</v>
      </c>
      <c r="D109" s="75">
        <v>185.1</v>
      </c>
      <c r="E109" s="105" t="s">
        <v>29</v>
      </c>
      <c r="G109">
        <v>1</v>
      </c>
      <c r="H109" s="248">
        <v>229.45</v>
      </c>
    </row>
    <row r="110" spans="1:8" x14ac:dyDescent="0.25">
      <c r="A110" s="129">
        <v>85</v>
      </c>
      <c r="B110" s="103" t="s">
        <v>105</v>
      </c>
      <c r="C110" s="104">
        <v>172201019</v>
      </c>
      <c r="D110" s="75">
        <v>19.440000000000001</v>
      </c>
      <c r="E110" s="105" t="s">
        <v>29</v>
      </c>
      <c r="G110">
        <v>1</v>
      </c>
      <c r="H110" s="248">
        <v>25.72</v>
      </c>
    </row>
    <row r="111" spans="1:8" x14ac:dyDescent="0.25">
      <c r="A111" s="129">
        <v>86</v>
      </c>
      <c r="B111" s="103" t="s">
        <v>106</v>
      </c>
      <c r="C111" s="104">
        <v>172205006</v>
      </c>
      <c r="D111" s="75">
        <v>27.28</v>
      </c>
      <c r="E111" s="105" t="s">
        <v>29</v>
      </c>
      <c r="G111">
        <v>1</v>
      </c>
      <c r="H111" s="248">
        <v>37.4</v>
      </c>
    </row>
    <row r="112" spans="1:8" x14ac:dyDescent="0.25">
      <c r="A112" s="129">
        <v>87</v>
      </c>
      <c r="B112" s="103" t="s">
        <v>107</v>
      </c>
      <c r="C112" s="104">
        <v>172257006</v>
      </c>
      <c r="D112" s="75">
        <v>101.47</v>
      </c>
      <c r="E112" s="105" t="s">
        <v>29</v>
      </c>
      <c r="G112">
        <v>1</v>
      </c>
      <c r="H112" s="248">
        <v>79.27</v>
      </c>
    </row>
    <row r="113" spans="1:8" x14ac:dyDescent="0.25">
      <c r="A113" s="129">
        <v>88</v>
      </c>
      <c r="B113" s="318" t="s">
        <v>108</v>
      </c>
      <c r="C113" s="104">
        <v>174605001</v>
      </c>
      <c r="D113" s="75">
        <v>3.77</v>
      </c>
      <c r="E113" s="105" t="s">
        <v>29</v>
      </c>
      <c r="G113">
        <v>1</v>
      </c>
      <c r="H113" s="248">
        <v>3.37</v>
      </c>
    </row>
    <row r="114" spans="1:8" x14ac:dyDescent="0.25">
      <c r="A114" s="129">
        <v>89</v>
      </c>
      <c r="B114" s="318" t="s">
        <v>809</v>
      </c>
      <c r="C114" s="284">
        <v>175100001</v>
      </c>
      <c r="D114" s="76">
        <v>65</v>
      </c>
      <c r="E114" s="105" t="s">
        <v>29</v>
      </c>
      <c r="H114" s="248"/>
    </row>
    <row r="115" spans="1:8" x14ac:dyDescent="0.25">
      <c r="A115" s="129">
        <v>90</v>
      </c>
      <c r="B115" s="103" t="s">
        <v>402</v>
      </c>
      <c r="C115" s="104">
        <v>503104011</v>
      </c>
      <c r="D115" s="75">
        <v>8.82</v>
      </c>
      <c r="E115" s="105" t="s">
        <v>29</v>
      </c>
      <c r="G115">
        <v>1</v>
      </c>
      <c r="H115" s="248">
        <v>9.2899999999999991</v>
      </c>
    </row>
    <row r="116" spans="1:8" x14ac:dyDescent="0.25">
      <c r="A116" s="129">
        <v>91</v>
      </c>
      <c r="B116" s="103" t="s">
        <v>109</v>
      </c>
      <c r="C116" s="104">
        <v>522116002</v>
      </c>
      <c r="D116" s="75">
        <v>16.16</v>
      </c>
      <c r="E116" s="105" t="s">
        <v>29</v>
      </c>
      <c r="G116">
        <v>1</v>
      </c>
      <c r="H116" s="248">
        <v>13.69</v>
      </c>
    </row>
    <row r="117" spans="1:8" x14ac:dyDescent="0.25">
      <c r="A117" s="129">
        <v>92</v>
      </c>
      <c r="B117" s="103" t="s">
        <v>110</v>
      </c>
      <c r="C117" s="104">
        <v>522120000</v>
      </c>
      <c r="D117" s="75">
        <v>1.51</v>
      </c>
      <c r="E117" s="105" t="s">
        <v>29</v>
      </c>
      <c r="G117">
        <v>1</v>
      </c>
      <c r="H117" s="249">
        <v>3.08</v>
      </c>
    </row>
    <row r="118" spans="1:8" x14ac:dyDescent="0.25">
      <c r="A118" s="129">
        <v>93</v>
      </c>
      <c r="B118" s="103" t="s">
        <v>111</v>
      </c>
      <c r="C118" s="104">
        <v>522141007</v>
      </c>
      <c r="D118" s="75">
        <v>2.86</v>
      </c>
      <c r="E118" s="105" t="s">
        <v>29</v>
      </c>
      <c r="G118">
        <v>1</v>
      </c>
      <c r="H118" s="248">
        <v>2.69</v>
      </c>
    </row>
    <row r="119" spans="1:8" x14ac:dyDescent="0.25">
      <c r="A119" s="129">
        <v>94</v>
      </c>
      <c r="B119" s="103" t="s">
        <v>403</v>
      </c>
      <c r="C119" s="104">
        <v>548800083</v>
      </c>
      <c r="D119" s="75">
        <v>1.35</v>
      </c>
      <c r="E119" s="105" t="s">
        <v>29</v>
      </c>
      <c r="G119">
        <v>1</v>
      </c>
      <c r="H119" s="248">
        <v>0.74</v>
      </c>
    </row>
    <row r="120" spans="1:8" x14ac:dyDescent="0.25">
      <c r="A120" s="129">
        <v>95</v>
      </c>
      <c r="B120" s="103" t="s">
        <v>112</v>
      </c>
      <c r="C120" s="104" t="s">
        <v>113</v>
      </c>
      <c r="D120" s="76">
        <v>386.17</v>
      </c>
      <c r="E120" s="105" t="s">
        <v>29</v>
      </c>
      <c r="G120">
        <v>1</v>
      </c>
      <c r="H120" s="248">
        <v>362</v>
      </c>
    </row>
    <row r="121" spans="1:8" x14ac:dyDescent="0.25">
      <c r="A121" s="129">
        <v>96</v>
      </c>
      <c r="B121" s="103" t="s">
        <v>114</v>
      </c>
      <c r="C121" s="104" t="s">
        <v>115</v>
      </c>
      <c r="D121" s="76">
        <v>13.21</v>
      </c>
      <c r="E121" s="105" t="s">
        <v>29</v>
      </c>
      <c r="G121">
        <v>1</v>
      </c>
      <c r="H121" s="248">
        <v>5.0199999999999996</v>
      </c>
    </row>
    <row r="122" spans="1:8" x14ac:dyDescent="0.25">
      <c r="A122" s="129">
        <v>97</v>
      </c>
      <c r="B122" s="106" t="s">
        <v>116</v>
      </c>
      <c r="C122" s="104" t="s">
        <v>117</v>
      </c>
      <c r="D122" s="76">
        <v>5.65</v>
      </c>
      <c r="E122" s="105" t="s">
        <v>29</v>
      </c>
      <c r="G122">
        <v>1</v>
      </c>
      <c r="H122" s="249">
        <v>5.64</v>
      </c>
    </row>
    <row r="123" spans="1:8" x14ac:dyDescent="0.25">
      <c r="A123" s="129">
        <v>98</v>
      </c>
      <c r="B123" s="103" t="s">
        <v>118</v>
      </c>
      <c r="C123" s="104">
        <v>171408507</v>
      </c>
      <c r="D123" s="76">
        <v>9.4600000000000009</v>
      </c>
      <c r="E123" s="105" t="s">
        <v>29</v>
      </c>
      <c r="G123">
        <v>1</v>
      </c>
      <c r="H123" s="248">
        <v>11.19</v>
      </c>
    </row>
    <row r="124" spans="1:8" x14ac:dyDescent="0.25">
      <c r="A124" s="129">
        <v>99</v>
      </c>
      <c r="B124" s="103" t="s">
        <v>119</v>
      </c>
      <c r="C124" s="104">
        <v>171409007</v>
      </c>
      <c r="D124" s="76">
        <v>8.35</v>
      </c>
      <c r="E124" s="105" t="s">
        <v>29</v>
      </c>
      <c r="G124">
        <v>1</v>
      </c>
      <c r="H124" s="248">
        <v>8.85</v>
      </c>
    </row>
    <row r="125" spans="1:8" x14ac:dyDescent="0.25">
      <c r="A125" s="129">
        <v>100</v>
      </c>
      <c r="B125" s="103" t="s">
        <v>120</v>
      </c>
      <c r="C125" s="104">
        <v>171410005</v>
      </c>
      <c r="D125" s="76">
        <v>9.39</v>
      </c>
      <c r="E125" s="105" t="s">
        <v>29</v>
      </c>
      <c r="G125">
        <v>1</v>
      </c>
      <c r="H125" s="248">
        <v>8.85</v>
      </c>
    </row>
    <row r="126" spans="1:8" x14ac:dyDescent="0.25">
      <c r="A126" s="129">
        <v>101</v>
      </c>
      <c r="B126" s="107" t="s">
        <v>121</v>
      </c>
      <c r="C126" s="115">
        <v>142224002</v>
      </c>
      <c r="D126" s="76">
        <v>0.56000000000000005</v>
      </c>
      <c r="E126" s="105" t="s">
        <v>29</v>
      </c>
      <c r="G126">
        <v>1</v>
      </c>
      <c r="H126" s="248">
        <v>0.36</v>
      </c>
    </row>
    <row r="127" spans="1:8" x14ac:dyDescent="0.25">
      <c r="A127" s="129">
        <v>102</v>
      </c>
      <c r="B127" s="107" t="s">
        <v>122</v>
      </c>
      <c r="C127" s="115">
        <v>141804005</v>
      </c>
      <c r="D127" s="76">
        <v>2.0699999999999998</v>
      </c>
      <c r="E127" s="105" t="s">
        <v>29</v>
      </c>
      <c r="G127">
        <v>1</v>
      </c>
      <c r="H127" s="248">
        <v>1.77</v>
      </c>
    </row>
    <row r="128" spans="1:8" x14ac:dyDescent="0.25">
      <c r="A128" s="129">
        <v>103</v>
      </c>
      <c r="B128" s="107" t="s">
        <v>123</v>
      </c>
      <c r="C128" s="115">
        <v>140051003</v>
      </c>
      <c r="D128" s="76">
        <v>39.46</v>
      </c>
      <c r="E128" s="105" t="s">
        <v>29</v>
      </c>
      <c r="G128">
        <v>1</v>
      </c>
      <c r="H128" s="248">
        <v>40.58</v>
      </c>
    </row>
  </sheetData>
  <phoneticPr fontId="28" type="noConversion"/>
  <pageMargins left="0.75" right="0.25" top="0.25" bottom="0.25" header="0.5" footer="0.5"/>
  <pageSetup orientation="portrait" horizontalDpi="300" verticalDpi="300" r:id="rId1"/>
  <headerFooter alignWithMargins="0">
    <oddFooter>&amp;R75</oddFooter>
  </headerFooter>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2"/>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961</v>
      </c>
    </row>
    <row r="2" spans="1:7" x14ac:dyDescent="0.25">
      <c r="A2" s="773" t="s">
        <v>923</v>
      </c>
    </row>
    <row r="4" spans="1:7" x14ac:dyDescent="0.25">
      <c r="A4" s="1" t="s">
        <v>242</v>
      </c>
      <c r="B4" s="1"/>
      <c r="C4" s="91"/>
      <c r="D4" s="1"/>
      <c r="E4" s="1"/>
      <c r="F4" s="1"/>
      <c r="G4" s="1"/>
    </row>
    <row r="5" spans="1:7" x14ac:dyDescent="0.25">
      <c r="A5" s="1" t="s">
        <v>280</v>
      </c>
      <c r="B5" s="1"/>
      <c r="C5" s="91"/>
      <c r="D5" s="1"/>
      <c r="E5" s="1"/>
      <c r="F5" s="1"/>
      <c r="G5" s="1"/>
    </row>
    <row r="6" spans="1:7" x14ac:dyDescent="0.25">
      <c r="A6" s="1" t="s">
        <v>129</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26" si="0">+E12*F12</f>
        <v>0.36</v>
      </c>
    </row>
    <row r="13" spans="1:7" x14ac:dyDescent="0.25">
      <c r="A13" t="s">
        <v>254</v>
      </c>
      <c r="C13" s="46">
        <v>110104001</v>
      </c>
      <c r="E13">
        <v>2</v>
      </c>
      <c r="F13" s="3">
        <f>+'Data Entry'!D30</f>
        <v>0.63</v>
      </c>
      <c r="G13" s="3">
        <f t="shared" si="0"/>
        <v>1.26</v>
      </c>
    </row>
    <row r="14" spans="1:7" x14ac:dyDescent="0.25">
      <c r="A14" t="s">
        <v>255</v>
      </c>
      <c r="C14" s="46">
        <v>112308003</v>
      </c>
      <c r="E14">
        <v>2</v>
      </c>
      <c r="F14" s="3">
        <f>+'Data Entry'!D31</f>
        <v>0.28999999999999998</v>
      </c>
      <c r="G14" s="3">
        <f t="shared" si="0"/>
        <v>0.57999999999999996</v>
      </c>
    </row>
    <row r="15" spans="1:7" x14ac:dyDescent="0.25">
      <c r="A15" t="s">
        <v>256</v>
      </c>
      <c r="C15" s="46">
        <v>120111001</v>
      </c>
      <c r="E15">
        <v>1</v>
      </c>
      <c r="F15" s="3">
        <f>+'Data Entry'!D35</f>
        <v>0.55000000000000004</v>
      </c>
      <c r="G15" s="3">
        <f t="shared" si="0"/>
        <v>0.55000000000000004</v>
      </c>
    </row>
    <row r="16" spans="1:7" x14ac:dyDescent="0.25">
      <c r="A16" t="s">
        <v>257</v>
      </c>
      <c r="C16" s="46">
        <v>140590001</v>
      </c>
      <c r="E16">
        <v>2</v>
      </c>
      <c r="F16" s="3">
        <f>+'Data Entry'!D40</f>
        <v>0.84</v>
      </c>
      <c r="G16" s="3">
        <f t="shared" si="0"/>
        <v>1.68</v>
      </c>
    </row>
    <row r="17" spans="1:7" x14ac:dyDescent="0.25">
      <c r="A17" t="s">
        <v>258</v>
      </c>
      <c r="C17" s="244">
        <v>142631007</v>
      </c>
      <c r="E17">
        <v>0.02</v>
      </c>
      <c r="F17" s="3">
        <f>+'Data Entry'!D42</f>
        <v>3.82</v>
      </c>
      <c r="G17" s="3">
        <f t="shared" si="0"/>
        <v>7.6399999999999996E-2</v>
      </c>
    </row>
    <row r="18" spans="1:7" x14ac:dyDescent="0.25">
      <c r="A18" t="s">
        <v>259</v>
      </c>
      <c r="C18" s="46">
        <v>144304003</v>
      </c>
      <c r="E18">
        <v>1</v>
      </c>
      <c r="F18" s="3">
        <f>+'Data Entry'!D43</f>
        <v>0.31</v>
      </c>
      <c r="G18" s="3">
        <f t="shared" si="0"/>
        <v>0.31</v>
      </c>
    </row>
    <row r="19" spans="1:7" x14ac:dyDescent="0.25">
      <c r="A19" t="s">
        <v>260</v>
      </c>
      <c r="C19" s="46">
        <v>145360004</v>
      </c>
      <c r="E19">
        <v>1</v>
      </c>
      <c r="F19" s="3">
        <f>+'Data Entry'!D46</f>
        <v>0.12</v>
      </c>
      <c r="G19" s="3">
        <f t="shared" si="0"/>
        <v>0.12</v>
      </c>
    </row>
    <row r="20" spans="1:7" x14ac:dyDescent="0.25">
      <c r="A20" t="s">
        <v>260</v>
      </c>
      <c r="C20" s="46">
        <v>145374005</v>
      </c>
      <c r="E20">
        <v>2</v>
      </c>
      <c r="F20" s="3">
        <f>+'Data Entry'!D49</f>
        <v>0.13</v>
      </c>
      <c r="G20" s="3">
        <f t="shared" si="0"/>
        <v>0.26</v>
      </c>
    </row>
    <row r="21" spans="1:7" x14ac:dyDescent="0.25">
      <c r="A21" t="s">
        <v>260</v>
      </c>
      <c r="C21" s="46">
        <v>145395002</v>
      </c>
      <c r="E21">
        <v>1</v>
      </c>
      <c r="F21" s="3">
        <f>+'Data Entry'!D51</f>
        <v>0.2</v>
      </c>
      <c r="G21" s="3">
        <f t="shared" si="0"/>
        <v>0.2</v>
      </c>
    </row>
    <row r="22" spans="1:7" x14ac:dyDescent="0.25">
      <c r="A22" t="s">
        <v>261</v>
      </c>
      <c r="C22" s="46">
        <v>170831015</v>
      </c>
      <c r="E22">
        <v>1</v>
      </c>
      <c r="F22" s="3">
        <f>+'Data Entry'!D73</f>
        <v>36.04</v>
      </c>
      <c r="G22" s="3">
        <f t="shared" si="0"/>
        <v>36.04</v>
      </c>
    </row>
    <row r="23" spans="1:7" x14ac:dyDescent="0.25">
      <c r="A23" t="s">
        <v>262</v>
      </c>
      <c r="C23" s="46">
        <v>171406008</v>
      </c>
      <c r="E23">
        <v>1</v>
      </c>
      <c r="F23" s="3">
        <f>+'Data Entry'!D103</f>
        <v>4.6500000000000004</v>
      </c>
      <c r="G23" s="3">
        <f t="shared" si="0"/>
        <v>4.6500000000000004</v>
      </c>
    </row>
    <row r="24" spans="1:7" x14ac:dyDescent="0.25">
      <c r="A24" t="s">
        <v>263</v>
      </c>
      <c r="C24" s="46">
        <v>172205006</v>
      </c>
      <c r="E24">
        <v>1</v>
      </c>
      <c r="F24" s="3">
        <f>+'Data Entry'!D111</f>
        <v>27.28</v>
      </c>
      <c r="G24" s="3">
        <f t="shared" si="0"/>
        <v>27.28</v>
      </c>
    </row>
    <row r="25" spans="1:7" x14ac:dyDescent="0.25">
      <c r="A25" t="s">
        <v>264</v>
      </c>
      <c r="C25" s="46">
        <v>174605001</v>
      </c>
      <c r="E25">
        <v>1</v>
      </c>
      <c r="F25" s="3">
        <f>+'Data Entry'!D113</f>
        <v>3.77</v>
      </c>
      <c r="G25" s="3">
        <f t="shared" si="0"/>
        <v>3.77</v>
      </c>
    </row>
    <row r="26" spans="1:7" x14ac:dyDescent="0.25">
      <c r="A26" t="s">
        <v>265</v>
      </c>
      <c r="C26" s="46">
        <v>548800008</v>
      </c>
      <c r="E26">
        <v>1</v>
      </c>
      <c r="F26" s="3">
        <f>+'Data Entry'!D119</f>
        <v>1.35</v>
      </c>
      <c r="G26" s="51">
        <f t="shared" si="0"/>
        <v>1.35</v>
      </c>
    </row>
    <row r="27" spans="1:7" x14ac:dyDescent="0.25">
      <c r="G27" s="52">
        <f>SUM(G12:G26)</f>
        <v>78.486399999999989</v>
      </c>
    </row>
    <row r="29" spans="1:7" ht="21" x14ac:dyDescent="0.4">
      <c r="B29" s="1" t="s">
        <v>266</v>
      </c>
      <c r="C29" s="53" t="s">
        <v>267</v>
      </c>
      <c r="D29" s="54" t="s">
        <v>268</v>
      </c>
      <c r="E29" s="1"/>
      <c r="F29" s="55" t="s">
        <v>269</v>
      </c>
      <c r="G29" s="1" t="s">
        <v>247</v>
      </c>
    </row>
    <row r="30" spans="1:7" x14ac:dyDescent="0.25">
      <c r="B30" s="32" t="s">
        <v>252</v>
      </c>
      <c r="C30" s="71" t="s">
        <v>270</v>
      </c>
      <c r="D30" s="32" t="s">
        <v>271</v>
      </c>
      <c r="E30" s="1"/>
      <c r="F30" s="1"/>
      <c r="G30" s="32" t="s">
        <v>272</v>
      </c>
    </row>
    <row r="31" spans="1:7" x14ac:dyDescent="0.25">
      <c r="B31" s="3">
        <f>+G27</f>
        <v>78.486399999999989</v>
      </c>
      <c r="C31" s="3">
        <f>+B31*(+'Data Entry'!C21)</f>
        <v>4.7091839999999996</v>
      </c>
      <c r="D31" s="3">
        <f>+B31*(+'Data Entry'!C16)</f>
        <v>4.6620921599999994</v>
      </c>
      <c r="G31" s="3">
        <f>SUM(B31:F31)</f>
        <v>87.857676159999983</v>
      </c>
    </row>
    <row r="32" spans="1:7" x14ac:dyDescent="0.25">
      <c r="C32"/>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2"/>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962</v>
      </c>
    </row>
    <row r="2" spans="1:7" x14ac:dyDescent="0.25">
      <c r="A2" s="773" t="s">
        <v>923</v>
      </c>
    </row>
    <row r="4" spans="1:7" x14ac:dyDescent="0.25">
      <c r="A4" s="1" t="s">
        <v>242</v>
      </c>
      <c r="B4" s="1"/>
      <c r="C4" s="91"/>
      <c r="D4" s="1"/>
      <c r="E4" s="1"/>
      <c r="F4" s="1"/>
      <c r="G4" s="1"/>
    </row>
    <row r="5" spans="1:7" x14ac:dyDescent="0.25">
      <c r="A5" s="1" t="s">
        <v>280</v>
      </c>
      <c r="B5" s="1"/>
      <c r="C5" s="91"/>
      <c r="D5" s="1"/>
      <c r="E5" s="1"/>
      <c r="F5" s="1"/>
      <c r="G5" s="1"/>
    </row>
    <row r="6" spans="1:7" x14ac:dyDescent="0.25">
      <c r="A6" s="1" t="s">
        <v>273</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26" si="0">+E12*F12</f>
        <v>0.36</v>
      </c>
    </row>
    <row r="13" spans="1:7" x14ac:dyDescent="0.25">
      <c r="A13" t="s">
        <v>254</v>
      </c>
      <c r="C13" s="46">
        <v>110104001</v>
      </c>
      <c r="E13">
        <v>9</v>
      </c>
      <c r="F13" s="3">
        <f>+'Data Entry'!D30</f>
        <v>0.63</v>
      </c>
      <c r="G13" s="3">
        <f t="shared" si="0"/>
        <v>5.67</v>
      </c>
    </row>
    <row r="14" spans="1:7" x14ac:dyDescent="0.25">
      <c r="A14" t="s">
        <v>255</v>
      </c>
      <c r="C14" s="46">
        <v>112308003</v>
      </c>
      <c r="E14">
        <v>2</v>
      </c>
      <c r="F14" s="3">
        <f>+'Data Entry'!D31</f>
        <v>0.28999999999999998</v>
      </c>
      <c r="G14" s="3">
        <f t="shared" si="0"/>
        <v>0.57999999999999996</v>
      </c>
    </row>
    <row r="15" spans="1:7" x14ac:dyDescent="0.25">
      <c r="A15" t="s">
        <v>256</v>
      </c>
      <c r="C15" s="46">
        <v>120111001</v>
      </c>
      <c r="E15">
        <v>1</v>
      </c>
      <c r="F15" s="3">
        <f>+'Data Entry'!D35</f>
        <v>0.55000000000000004</v>
      </c>
      <c r="G15" s="3">
        <f t="shared" si="0"/>
        <v>0.55000000000000004</v>
      </c>
    </row>
    <row r="16" spans="1:7" x14ac:dyDescent="0.25">
      <c r="A16" t="s">
        <v>257</v>
      </c>
      <c r="C16" s="46">
        <v>140590001</v>
      </c>
      <c r="E16">
        <v>2</v>
      </c>
      <c r="F16" s="3">
        <f>+'Data Entry'!D40</f>
        <v>0.84</v>
      </c>
      <c r="G16" s="3">
        <f t="shared" si="0"/>
        <v>1.68</v>
      </c>
    </row>
    <row r="17" spans="1:7" x14ac:dyDescent="0.25">
      <c r="A17" t="s">
        <v>258</v>
      </c>
      <c r="C17" s="244">
        <v>142631007</v>
      </c>
      <c r="E17">
        <v>0.02</v>
      </c>
      <c r="F17" s="3">
        <f>+'Data Entry'!D42</f>
        <v>3.82</v>
      </c>
      <c r="G17" s="3">
        <f t="shared" si="0"/>
        <v>7.6399999999999996E-2</v>
      </c>
    </row>
    <row r="18" spans="1:7" x14ac:dyDescent="0.25">
      <c r="A18" t="s">
        <v>259</v>
      </c>
      <c r="C18" s="46">
        <v>144304003</v>
      </c>
      <c r="E18">
        <v>1</v>
      </c>
      <c r="F18" s="3">
        <f>+'Data Entry'!D43</f>
        <v>0.31</v>
      </c>
      <c r="G18" s="3">
        <f t="shared" si="0"/>
        <v>0.31</v>
      </c>
    </row>
    <row r="19" spans="1:7" x14ac:dyDescent="0.25">
      <c r="A19" t="s">
        <v>260</v>
      </c>
      <c r="C19" s="46">
        <v>145360004</v>
      </c>
      <c r="E19">
        <v>1</v>
      </c>
      <c r="F19" s="3">
        <f>+'Data Entry'!D46</f>
        <v>0.12</v>
      </c>
      <c r="G19" s="3">
        <f t="shared" si="0"/>
        <v>0.12</v>
      </c>
    </row>
    <row r="20" spans="1:7" x14ac:dyDescent="0.25">
      <c r="A20" t="s">
        <v>260</v>
      </c>
      <c r="C20" s="46">
        <v>145374005</v>
      </c>
      <c r="E20">
        <v>2</v>
      </c>
      <c r="F20" s="3">
        <f>+'Data Entry'!D49</f>
        <v>0.13</v>
      </c>
      <c r="G20" s="3">
        <f t="shared" si="0"/>
        <v>0.26</v>
      </c>
    </row>
    <row r="21" spans="1:7" x14ac:dyDescent="0.25">
      <c r="A21" t="s">
        <v>260</v>
      </c>
      <c r="C21" s="46">
        <v>145395002</v>
      </c>
      <c r="E21">
        <v>1</v>
      </c>
      <c r="F21" s="3">
        <f>+'Data Entry'!D51</f>
        <v>0.2</v>
      </c>
      <c r="G21" s="3">
        <f t="shared" si="0"/>
        <v>0.2</v>
      </c>
    </row>
    <row r="22" spans="1:7" x14ac:dyDescent="0.25">
      <c r="A22" t="s">
        <v>261</v>
      </c>
      <c r="C22" s="46">
        <v>170922011</v>
      </c>
      <c r="E22">
        <v>1</v>
      </c>
      <c r="F22" s="3">
        <f>+'Data Entry'!D87</f>
        <v>55.76</v>
      </c>
      <c r="G22" s="3">
        <f t="shared" si="0"/>
        <v>55.76</v>
      </c>
    </row>
    <row r="23" spans="1:7" x14ac:dyDescent="0.25">
      <c r="A23" t="s">
        <v>262</v>
      </c>
      <c r="C23" s="46">
        <v>171406008</v>
      </c>
      <c r="E23">
        <v>1</v>
      </c>
      <c r="F23" s="3">
        <f>+'Data Entry'!D103</f>
        <v>4.6500000000000004</v>
      </c>
      <c r="G23" s="3">
        <f t="shared" si="0"/>
        <v>4.6500000000000004</v>
      </c>
    </row>
    <row r="24" spans="1:7" x14ac:dyDescent="0.25">
      <c r="A24" t="s">
        <v>263</v>
      </c>
      <c r="C24" s="46">
        <v>172205006</v>
      </c>
      <c r="E24">
        <v>1</v>
      </c>
      <c r="F24" s="3">
        <f>+'Data Entry'!D111</f>
        <v>27.28</v>
      </c>
      <c r="G24" s="3">
        <f t="shared" si="0"/>
        <v>27.28</v>
      </c>
    </row>
    <row r="25" spans="1:7" x14ac:dyDescent="0.25">
      <c r="A25" t="s">
        <v>264</v>
      </c>
      <c r="C25" s="46">
        <v>174605001</v>
      </c>
      <c r="E25">
        <v>1</v>
      </c>
      <c r="F25" s="3">
        <f>+'Data Entry'!D113</f>
        <v>3.77</v>
      </c>
      <c r="G25" s="3">
        <f t="shared" si="0"/>
        <v>3.77</v>
      </c>
    </row>
    <row r="26" spans="1:7" x14ac:dyDescent="0.25">
      <c r="A26" t="s">
        <v>265</v>
      </c>
      <c r="C26" s="46">
        <v>548800008</v>
      </c>
      <c r="E26">
        <v>1</v>
      </c>
      <c r="F26" s="3">
        <f>+'Data Entry'!D119</f>
        <v>1.35</v>
      </c>
      <c r="G26" s="51">
        <f t="shared" si="0"/>
        <v>1.35</v>
      </c>
    </row>
    <row r="27" spans="1:7" x14ac:dyDescent="0.25">
      <c r="G27" s="52">
        <f>SUM(G12:G26)</f>
        <v>102.6164</v>
      </c>
    </row>
    <row r="29" spans="1:7" ht="21" x14ac:dyDescent="0.4">
      <c r="B29" s="1" t="s">
        <v>266</v>
      </c>
      <c r="C29" s="53" t="s">
        <v>267</v>
      </c>
      <c r="D29" s="54" t="s">
        <v>268</v>
      </c>
      <c r="E29" s="1"/>
      <c r="F29" s="55" t="s">
        <v>269</v>
      </c>
      <c r="G29" s="1" t="s">
        <v>247</v>
      </c>
    </row>
    <row r="30" spans="1:7" x14ac:dyDescent="0.25">
      <c r="B30" s="32" t="s">
        <v>252</v>
      </c>
      <c r="C30" s="71" t="s">
        <v>270</v>
      </c>
      <c r="D30" s="32" t="s">
        <v>271</v>
      </c>
      <c r="E30" s="1"/>
      <c r="F30" s="1"/>
      <c r="G30" s="32" t="s">
        <v>272</v>
      </c>
    </row>
    <row r="31" spans="1:7" x14ac:dyDescent="0.25">
      <c r="B31" s="3">
        <f>+G27</f>
        <v>102.6164</v>
      </c>
      <c r="C31" s="3">
        <f>+B31*(+'Data Entry'!C21)</f>
        <v>6.1569839999999996</v>
      </c>
      <c r="D31" s="3">
        <f>+B31*(+'Data Entry'!C16)</f>
        <v>6.0954141599999998</v>
      </c>
      <c r="G31" s="3">
        <f>SUM(B31:F31)</f>
        <v>114.86879816</v>
      </c>
    </row>
    <row r="32" spans="1:7" x14ac:dyDescent="0.25">
      <c r="C32"/>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2"/>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963</v>
      </c>
    </row>
    <row r="2" spans="1:7" x14ac:dyDescent="0.25">
      <c r="A2" s="773" t="s">
        <v>923</v>
      </c>
    </row>
    <row r="4" spans="1:7" x14ac:dyDescent="0.25">
      <c r="A4" s="1" t="s">
        <v>242</v>
      </c>
      <c r="B4" s="1"/>
      <c r="C4" s="91"/>
      <c r="D4" s="1"/>
      <c r="E4" s="1"/>
      <c r="F4" s="1"/>
      <c r="G4" s="1"/>
    </row>
    <row r="5" spans="1:7" x14ac:dyDescent="0.25">
      <c r="A5" s="1" t="s">
        <v>280</v>
      </c>
      <c r="B5" s="1"/>
      <c r="C5" s="91"/>
      <c r="D5" s="1"/>
      <c r="E5" s="1"/>
      <c r="F5" s="1"/>
      <c r="G5" s="1"/>
    </row>
    <row r="6" spans="1:7" x14ac:dyDescent="0.25">
      <c r="A6" s="1" t="s">
        <v>274</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26" si="0">+E12*F12</f>
        <v>0.36</v>
      </c>
    </row>
    <row r="13" spans="1:7" x14ac:dyDescent="0.25">
      <c r="A13" t="s">
        <v>254</v>
      </c>
      <c r="C13" s="46">
        <v>110104001</v>
      </c>
      <c r="E13">
        <v>9</v>
      </c>
      <c r="F13" s="3">
        <f>+'Data Entry'!D30</f>
        <v>0.63</v>
      </c>
      <c r="G13" s="3">
        <f t="shared" si="0"/>
        <v>5.67</v>
      </c>
    </row>
    <row r="14" spans="1:7" x14ac:dyDescent="0.25">
      <c r="A14" t="s">
        <v>255</v>
      </c>
      <c r="C14" s="46">
        <v>112308003</v>
      </c>
      <c r="E14">
        <v>2</v>
      </c>
      <c r="F14" s="3">
        <f>+'Data Entry'!D31</f>
        <v>0.28999999999999998</v>
      </c>
      <c r="G14" s="3">
        <f t="shared" si="0"/>
        <v>0.57999999999999996</v>
      </c>
    </row>
    <row r="15" spans="1:7" x14ac:dyDescent="0.25">
      <c r="A15" t="s">
        <v>256</v>
      </c>
      <c r="C15" s="46">
        <v>120111001</v>
      </c>
      <c r="E15">
        <v>1</v>
      </c>
      <c r="F15" s="3">
        <f>+'Data Entry'!D35</f>
        <v>0.55000000000000004</v>
      </c>
      <c r="G15" s="3">
        <f t="shared" si="0"/>
        <v>0.55000000000000004</v>
      </c>
    </row>
    <row r="16" spans="1:7" x14ac:dyDescent="0.25">
      <c r="A16" t="s">
        <v>257</v>
      </c>
      <c r="C16" s="46">
        <v>140590001</v>
      </c>
      <c r="E16">
        <v>2</v>
      </c>
      <c r="F16" s="3">
        <f>+'Data Entry'!D40</f>
        <v>0.84</v>
      </c>
      <c r="G16" s="3">
        <f t="shared" si="0"/>
        <v>1.68</v>
      </c>
    </row>
    <row r="17" spans="1:7" x14ac:dyDescent="0.25">
      <c r="A17" t="s">
        <v>258</v>
      </c>
      <c r="C17" s="244">
        <v>142631007</v>
      </c>
      <c r="E17">
        <v>0.02</v>
      </c>
      <c r="F17" s="3">
        <f>+'Data Entry'!D42</f>
        <v>3.82</v>
      </c>
      <c r="G17" s="3">
        <f t="shared" si="0"/>
        <v>7.6399999999999996E-2</v>
      </c>
    </row>
    <row r="18" spans="1:7" x14ac:dyDescent="0.25">
      <c r="A18" t="s">
        <v>259</v>
      </c>
      <c r="C18" s="46">
        <v>144304003</v>
      </c>
      <c r="E18">
        <v>1</v>
      </c>
      <c r="F18" s="3">
        <f>+'Data Entry'!D43</f>
        <v>0.31</v>
      </c>
      <c r="G18" s="3">
        <f t="shared" si="0"/>
        <v>0.31</v>
      </c>
    </row>
    <row r="19" spans="1:7" x14ac:dyDescent="0.25">
      <c r="A19" t="s">
        <v>260</v>
      </c>
      <c r="C19" s="46">
        <v>145360004</v>
      </c>
      <c r="E19">
        <v>1</v>
      </c>
      <c r="F19" s="3">
        <f>+'Data Entry'!D46</f>
        <v>0.12</v>
      </c>
      <c r="G19" s="3">
        <f t="shared" si="0"/>
        <v>0.12</v>
      </c>
    </row>
    <row r="20" spans="1:7" x14ac:dyDescent="0.25">
      <c r="A20" t="s">
        <v>260</v>
      </c>
      <c r="C20" s="46">
        <v>145374005</v>
      </c>
      <c r="E20">
        <v>2</v>
      </c>
      <c r="F20" s="3">
        <f>+'Data Entry'!D49</f>
        <v>0.13</v>
      </c>
      <c r="G20" s="3">
        <f t="shared" si="0"/>
        <v>0.26</v>
      </c>
    </row>
    <row r="21" spans="1:7" x14ac:dyDescent="0.25">
      <c r="A21" t="s">
        <v>260</v>
      </c>
      <c r="C21" s="46">
        <v>145395002</v>
      </c>
      <c r="E21">
        <v>1</v>
      </c>
      <c r="F21" s="3">
        <f>+'Data Entry'!D51</f>
        <v>0.2</v>
      </c>
      <c r="G21" s="3">
        <f t="shared" si="0"/>
        <v>0.2</v>
      </c>
    </row>
    <row r="22" spans="1:7" x14ac:dyDescent="0.25">
      <c r="A22" t="s">
        <v>261</v>
      </c>
      <c r="C22" s="46">
        <v>170924013</v>
      </c>
      <c r="E22">
        <v>1</v>
      </c>
      <c r="F22" s="3">
        <f>+'Data Entry'!D91</f>
        <v>56.62</v>
      </c>
      <c r="G22" s="3">
        <f t="shared" si="0"/>
        <v>56.62</v>
      </c>
    </row>
    <row r="23" spans="1:7" x14ac:dyDescent="0.25">
      <c r="A23" t="s">
        <v>262</v>
      </c>
      <c r="C23" s="46">
        <v>171406008</v>
      </c>
      <c r="E23">
        <v>1</v>
      </c>
      <c r="F23" s="3">
        <f>+'Data Entry'!D103</f>
        <v>4.6500000000000004</v>
      </c>
      <c r="G23" s="3">
        <f t="shared" si="0"/>
        <v>4.6500000000000004</v>
      </c>
    </row>
    <row r="24" spans="1:7" x14ac:dyDescent="0.25">
      <c r="A24" t="s">
        <v>263</v>
      </c>
      <c r="C24" s="46">
        <v>172205006</v>
      </c>
      <c r="E24">
        <v>1</v>
      </c>
      <c r="F24" s="3">
        <f>+'Data Entry'!D111</f>
        <v>27.28</v>
      </c>
      <c r="G24" s="3">
        <f t="shared" si="0"/>
        <v>27.28</v>
      </c>
    </row>
    <row r="25" spans="1:7" x14ac:dyDescent="0.25">
      <c r="A25" t="s">
        <v>264</v>
      </c>
      <c r="C25" s="46">
        <v>174605001</v>
      </c>
      <c r="E25">
        <v>1</v>
      </c>
      <c r="F25" s="3">
        <f>+'Data Entry'!D113</f>
        <v>3.77</v>
      </c>
      <c r="G25" s="3">
        <f t="shared" si="0"/>
        <v>3.77</v>
      </c>
    </row>
    <row r="26" spans="1:7" x14ac:dyDescent="0.25">
      <c r="A26" t="s">
        <v>265</v>
      </c>
      <c r="C26" s="46">
        <v>548800008</v>
      </c>
      <c r="E26">
        <v>1</v>
      </c>
      <c r="F26" s="3">
        <f>+'Data Entry'!D119</f>
        <v>1.35</v>
      </c>
      <c r="G26" s="51">
        <f t="shared" si="0"/>
        <v>1.35</v>
      </c>
    </row>
    <row r="27" spans="1:7" x14ac:dyDescent="0.25">
      <c r="G27" s="52">
        <f>SUM(G12:G26)</f>
        <v>103.4764</v>
      </c>
    </row>
    <row r="29" spans="1:7" ht="21" x14ac:dyDescent="0.4">
      <c r="B29" s="1" t="s">
        <v>266</v>
      </c>
      <c r="C29" s="53" t="s">
        <v>267</v>
      </c>
      <c r="D29" s="54" t="s">
        <v>268</v>
      </c>
      <c r="E29" s="1"/>
      <c r="F29" s="55" t="s">
        <v>269</v>
      </c>
      <c r="G29" s="1" t="s">
        <v>247</v>
      </c>
    </row>
    <row r="30" spans="1:7" x14ac:dyDescent="0.25">
      <c r="B30" s="32" t="s">
        <v>252</v>
      </c>
      <c r="C30" s="71" t="s">
        <v>270</v>
      </c>
      <c r="D30" s="32" t="s">
        <v>271</v>
      </c>
      <c r="E30" s="1"/>
      <c r="F30" s="1"/>
      <c r="G30" s="32" t="s">
        <v>272</v>
      </c>
    </row>
    <row r="31" spans="1:7" x14ac:dyDescent="0.25">
      <c r="B31" s="3">
        <f>+G27</f>
        <v>103.4764</v>
      </c>
      <c r="C31" s="3">
        <f>+B31*(+'Data Entry'!C21)</f>
        <v>6.2085840000000001</v>
      </c>
      <c r="D31" s="3">
        <f>+B31*(+'Data Entry'!C16)</f>
        <v>6.1464981600000002</v>
      </c>
      <c r="G31" s="3">
        <f>SUM(B31:F31)</f>
        <v>115.83148216000001</v>
      </c>
    </row>
    <row r="32" spans="1:7" x14ac:dyDescent="0.25">
      <c r="C32"/>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43"/>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964</v>
      </c>
    </row>
    <row r="2" spans="1:7" x14ac:dyDescent="0.25">
      <c r="A2" s="773" t="s">
        <v>923</v>
      </c>
    </row>
    <row r="4" spans="1:7" x14ac:dyDescent="0.25">
      <c r="A4" s="1" t="s">
        <v>242</v>
      </c>
      <c r="B4" s="1"/>
      <c r="C4" s="91"/>
      <c r="D4" s="1"/>
      <c r="E4" s="1"/>
      <c r="F4" s="1"/>
      <c r="G4" s="1"/>
    </row>
    <row r="5" spans="1:7" x14ac:dyDescent="0.25">
      <c r="A5" s="1" t="s">
        <v>280</v>
      </c>
      <c r="B5" s="1"/>
      <c r="C5" s="91"/>
      <c r="D5" s="1"/>
      <c r="E5" s="1"/>
      <c r="F5" s="1"/>
      <c r="G5" s="1"/>
    </row>
    <row r="6" spans="1:7" x14ac:dyDescent="0.25">
      <c r="A6" s="1" t="s">
        <v>275</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261</v>
      </c>
      <c r="C12" s="46">
        <v>170863014</v>
      </c>
      <c r="E12">
        <v>1</v>
      </c>
      <c r="F12" s="3">
        <f>+'Data Entry'!D82</f>
        <v>98.65</v>
      </c>
      <c r="G12" s="3">
        <f>+E12*F12</f>
        <v>98.65</v>
      </c>
    </row>
    <row r="13" spans="1:7" x14ac:dyDescent="0.25">
      <c r="A13" t="s">
        <v>262</v>
      </c>
      <c r="C13" s="46">
        <v>171406008</v>
      </c>
      <c r="E13">
        <v>1</v>
      </c>
      <c r="F13" s="3">
        <f>+'Data Entry'!D103</f>
        <v>4.6500000000000004</v>
      </c>
      <c r="G13" s="3">
        <f>+E13*F13</f>
        <v>4.6500000000000004</v>
      </c>
    </row>
    <row r="14" spans="1:7" x14ac:dyDescent="0.25">
      <c r="A14" t="s">
        <v>264</v>
      </c>
      <c r="C14" s="46">
        <v>174605001</v>
      </c>
      <c r="E14">
        <v>1</v>
      </c>
      <c r="F14" s="3">
        <f>+'Data Entry'!D113</f>
        <v>3.77</v>
      </c>
      <c r="G14" s="3">
        <f>+E14*F14</f>
        <v>3.77</v>
      </c>
    </row>
    <row r="15" spans="1:7" x14ac:dyDescent="0.25">
      <c r="A15" t="s">
        <v>276</v>
      </c>
      <c r="C15" s="46">
        <v>522120000</v>
      </c>
      <c r="E15">
        <v>0.05</v>
      </c>
      <c r="F15" s="3">
        <f>+'Data Entry'!D117</f>
        <v>1.51</v>
      </c>
      <c r="G15" s="3">
        <f>+E15*F15</f>
        <v>7.5500000000000012E-2</v>
      </c>
    </row>
    <row r="16" spans="1:7" x14ac:dyDescent="0.25">
      <c r="A16" t="s">
        <v>265</v>
      </c>
      <c r="C16" s="46">
        <v>548800008</v>
      </c>
      <c r="E16">
        <v>1</v>
      </c>
      <c r="F16" s="3">
        <f>+'Data Entry'!D119</f>
        <v>1.35</v>
      </c>
      <c r="G16" s="3">
        <f>+E16*F16</f>
        <v>1.35</v>
      </c>
    </row>
    <row r="17" spans="1:7" x14ac:dyDescent="0.25">
      <c r="G17" s="52">
        <f>SUM(G12:G16)</f>
        <v>108.49550000000001</v>
      </c>
    </row>
    <row r="19" spans="1:7" ht="21" x14ac:dyDescent="0.4">
      <c r="B19" s="1" t="s">
        <v>266</v>
      </c>
      <c r="C19" s="53" t="s">
        <v>267</v>
      </c>
      <c r="D19" s="54" t="s">
        <v>268</v>
      </c>
      <c r="E19" s="1"/>
      <c r="F19" s="55" t="s">
        <v>269</v>
      </c>
      <c r="G19" s="1" t="s">
        <v>247</v>
      </c>
    </row>
    <row r="20" spans="1:7" x14ac:dyDescent="0.25">
      <c r="B20" s="32" t="s">
        <v>252</v>
      </c>
      <c r="C20" s="71" t="s">
        <v>270</v>
      </c>
      <c r="D20" s="32" t="s">
        <v>271</v>
      </c>
      <c r="E20" s="1"/>
      <c r="F20" s="1"/>
      <c r="G20" s="32" t="s">
        <v>272</v>
      </c>
    </row>
    <row r="21" spans="1:7" x14ac:dyDescent="0.25">
      <c r="B21" s="3">
        <f>+G17</f>
        <v>108.49550000000001</v>
      </c>
      <c r="C21" s="3">
        <f>+B21*(+'Data Entry'!C21)</f>
        <v>6.5097300000000002</v>
      </c>
      <c r="D21" s="3">
        <f>+B21*(+'Data Entry'!C16)</f>
        <v>6.4446327000000005</v>
      </c>
      <c r="G21" s="3">
        <f>SUM(B21:F21)</f>
        <v>121.44986270000001</v>
      </c>
    </row>
    <row r="22" spans="1:7" x14ac:dyDescent="0.25">
      <c r="C22"/>
    </row>
    <row r="25" spans="1:7" x14ac:dyDescent="0.25">
      <c r="A25" s="1" t="s">
        <v>242</v>
      </c>
      <c r="B25" s="1"/>
      <c r="C25" s="91"/>
      <c r="D25" s="1"/>
      <c r="E25" s="1"/>
      <c r="F25" s="1"/>
      <c r="G25" s="1"/>
    </row>
    <row r="26" spans="1:7" x14ac:dyDescent="0.25">
      <c r="A26" s="1" t="s">
        <v>280</v>
      </c>
      <c r="B26" s="1"/>
      <c r="C26" s="91"/>
      <c r="D26" s="1"/>
      <c r="E26" s="1"/>
      <c r="F26" s="1"/>
      <c r="G26" s="1"/>
    </row>
    <row r="27" spans="1:7" x14ac:dyDescent="0.25">
      <c r="A27" s="1" t="s">
        <v>277</v>
      </c>
      <c r="B27" s="1"/>
      <c r="C27" s="91"/>
      <c r="D27" s="1"/>
      <c r="E27" s="1"/>
      <c r="F27" s="1"/>
      <c r="G27" s="1"/>
    </row>
    <row r="28" spans="1:7" x14ac:dyDescent="0.25">
      <c r="A28" s="1"/>
      <c r="B28" s="1"/>
      <c r="C28" s="91"/>
      <c r="D28" s="1"/>
      <c r="E28" s="1"/>
      <c r="F28" s="1"/>
      <c r="G28" s="1"/>
    </row>
    <row r="29" spans="1:7" x14ac:dyDescent="0.25">
      <c r="A29" s="1"/>
      <c r="B29" s="1"/>
      <c r="C29" s="91"/>
      <c r="D29" s="1"/>
      <c r="E29" s="1"/>
      <c r="F29" s="1"/>
      <c r="G29" s="1"/>
    </row>
    <row r="30" spans="1:7" x14ac:dyDescent="0.25">
      <c r="A30" s="73" t="s">
        <v>244</v>
      </c>
      <c r="B30" s="73"/>
      <c r="C30" s="92"/>
      <c r="D30" s="93"/>
      <c r="E30" s="73" t="s">
        <v>245</v>
      </c>
      <c r="F30" s="73" t="s">
        <v>246</v>
      </c>
      <c r="G30" s="73" t="s">
        <v>247</v>
      </c>
    </row>
    <row r="31" spans="1:7" x14ac:dyDescent="0.25">
      <c r="A31" s="93" t="s">
        <v>248</v>
      </c>
      <c r="B31" s="73"/>
      <c r="C31" s="92" t="s">
        <v>249</v>
      </c>
      <c r="D31" s="93"/>
      <c r="E31" s="93" t="s">
        <v>250</v>
      </c>
      <c r="F31" s="93" t="s">
        <v>251</v>
      </c>
      <c r="G31" s="93" t="s">
        <v>252</v>
      </c>
    </row>
    <row r="32" spans="1:7" x14ac:dyDescent="0.25">
      <c r="A32" s="47"/>
      <c r="B32" s="47"/>
      <c r="C32" s="48"/>
      <c r="D32" s="47"/>
    </row>
    <row r="33" spans="1:7" x14ac:dyDescent="0.25">
      <c r="A33" t="s">
        <v>261</v>
      </c>
      <c r="C33" s="46">
        <v>170861011</v>
      </c>
      <c r="E33">
        <v>1</v>
      </c>
      <c r="F33" s="3">
        <f>+'Data Entry'!D79</f>
        <v>95.64</v>
      </c>
      <c r="G33" s="3">
        <f>+E33*F33</f>
        <v>95.64</v>
      </c>
    </row>
    <row r="34" spans="1:7" x14ac:dyDescent="0.25">
      <c r="A34" t="s">
        <v>262</v>
      </c>
      <c r="C34" s="46">
        <v>171406008</v>
      </c>
      <c r="E34">
        <v>1</v>
      </c>
      <c r="F34" s="3">
        <f>+'Data Entry'!D103</f>
        <v>4.6500000000000004</v>
      </c>
      <c r="G34" s="3">
        <f>+E34*F34</f>
        <v>4.6500000000000004</v>
      </c>
    </row>
    <row r="35" spans="1:7" x14ac:dyDescent="0.25">
      <c r="A35" t="s">
        <v>264</v>
      </c>
      <c r="C35" s="46">
        <v>174605001</v>
      </c>
      <c r="E35">
        <v>1</v>
      </c>
      <c r="F35" s="3">
        <f>+'Data Entry'!D113</f>
        <v>3.77</v>
      </c>
      <c r="G35" s="3">
        <f>+E35*F35</f>
        <v>3.77</v>
      </c>
    </row>
    <row r="36" spans="1:7" x14ac:dyDescent="0.25">
      <c r="A36" t="s">
        <v>276</v>
      </c>
      <c r="C36" s="46">
        <v>522120000</v>
      </c>
      <c r="E36">
        <v>0.05</v>
      </c>
      <c r="F36" s="3">
        <f>+'Data Entry'!D117</f>
        <v>1.51</v>
      </c>
      <c r="G36" s="3">
        <f>+E36*F36</f>
        <v>7.5500000000000012E-2</v>
      </c>
    </row>
    <row r="37" spans="1:7" x14ac:dyDescent="0.25">
      <c r="A37" t="s">
        <v>265</v>
      </c>
      <c r="C37" s="46">
        <v>548800008</v>
      </c>
      <c r="E37">
        <v>1</v>
      </c>
      <c r="F37" s="3">
        <f>+'Data Entry'!D119</f>
        <v>1.35</v>
      </c>
      <c r="G37" s="3">
        <f>+E37*F37</f>
        <v>1.35</v>
      </c>
    </row>
    <row r="38" spans="1:7" x14ac:dyDescent="0.25">
      <c r="G38" s="52">
        <f>SUM(G33:G37)</f>
        <v>105.4855</v>
      </c>
    </row>
    <row r="40" spans="1:7" ht="21" x14ac:dyDescent="0.4">
      <c r="B40" s="1" t="s">
        <v>266</v>
      </c>
      <c r="C40" s="53" t="s">
        <v>267</v>
      </c>
      <c r="D40" s="54" t="s">
        <v>268</v>
      </c>
      <c r="E40" s="1"/>
      <c r="F40" s="55" t="s">
        <v>269</v>
      </c>
      <c r="G40" s="1" t="s">
        <v>247</v>
      </c>
    </row>
    <row r="41" spans="1:7" x14ac:dyDescent="0.25">
      <c r="B41" s="32" t="s">
        <v>252</v>
      </c>
      <c r="C41" s="71" t="s">
        <v>270</v>
      </c>
      <c r="D41" s="32" t="s">
        <v>271</v>
      </c>
      <c r="E41" s="1"/>
      <c r="F41" s="1"/>
      <c r="G41" s="32" t="s">
        <v>272</v>
      </c>
    </row>
    <row r="42" spans="1:7" x14ac:dyDescent="0.25">
      <c r="B42" s="3">
        <f>+G38</f>
        <v>105.4855</v>
      </c>
      <c r="C42" s="3">
        <f>+B42*(+'Data Entry'!C21)</f>
        <v>6.3291300000000001</v>
      </c>
      <c r="D42" s="3">
        <f>+B42*(+'Data Entry'!C16)</f>
        <v>6.2658387000000006</v>
      </c>
      <c r="G42" s="3">
        <f>SUM(B42:F42)</f>
        <v>118.08046870000001</v>
      </c>
    </row>
    <row r="43" spans="1:7" x14ac:dyDescent="0.25">
      <c r="C43"/>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2"/>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965</v>
      </c>
    </row>
    <row r="2" spans="1:7" x14ac:dyDescent="0.25">
      <c r="A2" s="773" t="s">
        <v>923</v>
      </c>
    </row>
    <row r="4" spans="1:7" x14ac:dyDescent="0.25">
      <c r="A4" s="1" t="s">
        <v>242</v>
      </c>
      <c r="B4" s="1"/>
      <c r="C4" s="91"/>
      <c r="D4" s="1"/>
      <c r="E4" s="1"/>
      <c r="F4" s="1"/>
      <c r="G4" s="1"/>
    </row>
    <row r="5" spans="1:7" x14ac:dyDescent="0.25">
      <c r="A5" s="1" t="s">
        <v>281</v>
      </c>
      <c r="B5" s="1"/>
      <c r="C5" s="91"/>
      <c r="D5" s="1"/>
      <c r="E5" s="1"/>
      <c r="F5" s="1"/>
      <c r="G5" s="1"/>
    </row>
    <row r="6" spans="1:7" x14ac:dyDescent="0.25">
      <c r="A6" s="1" t="s">
        <v>129</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26" si="0">+E12*F12</f>
        <v>0.36</v>
      </c>
    </row>
    <row r="13" spans="1:7" x14ac:dyDescent="0.25">
      <c r="A13" t="s">
        <v>254</v>
      </c>
      <c r="C13" s="46">
        <v>110104001</v>
      </c>
      <c r="E13">
        <v>9</v>
      </c>
      <c r="F13" s="3">
        <f>+'Data Entry'!D30</f>
        <v>0.63</v>
      </c>
      <c r="G13" s="3">
        <f t="shared" si="0"/>
        <v>5.67</v>
      </c>
    </row>
    <row r="14" spans="1:7" x14ac:dyDescent="0.25">
      <c r="A14" t="s">
        <v>255</v>
      </c>
      <c r="C14" s="46">
        <v>112308003</v>
      </c>
      <c r="E14">
        <v>2</v>
      </c>
      <c r="F14" s="3">
        <f>+'Data Entry'!D31</f>
        <v>0.28999999999999998</v>
      </c>
      <c r="G14" s="3">
        <f t="shared" si="0"/>
        <v>0.57999999999999996</v>
      </c>
    </row>
    <row r="15" spans="1:7" x14ac:dyDescent="0.25">
      <c r="A15" t="s">
        <v>256</v>
      </c>
      <c r="C15" s="46">
        <v>120111001</v>
      </c>
      <c r="E15">
        <v>1</v>
      </c>
      <c r="F15" s="3">
        <f>+'Data Entry'!D35</f>
        <v>0.55000000000000004</v>
      </c>
      <c r="G15" s="3">
        <f t="shared" si="0"/>
        <v>0.55000000000000004</v>
      </c>
    </row>
    <row r="16" spans="1:7" x14ac:dyDescent="0.25">
      <c r="A16" t="s">
        <v>257</v>
      </c>
      <c r="C16" s="46">
        <v>140590001</v>
      </c>
      <c r="E16">
        <v>2</v>
      </c>
      <c r="F16" s="3">
        <f>+'Data Entry'!D40</f>
        <v>0.84</v>
      </c>
      <c r="G16" s="3">
        <f t="shared" si="0"/>
        <v>1.68</v>
      </c>
    </row>
    <row r="17" spans="1:7" x14ac:dyDescent="0.25">
      <c r="A17" t="s">
        <v>258</v>
      </c>
      <c r="C17" s="244">
        <v>142631007</v>
      </c>
      <c r="E17">
        <v>0.02</v>
      </c>
      <c r="F17" s="3">
        <f>+'Data Entry'!D42</f>
        <v>3.82</v>
      </c>
      <c r="G17" s="3">
        <f t="shared" si="0"/>
        <v>7.6399999999999996E-2</v>
      </c>
    </row>
    <row r="18" spans="1:7" x14ac:dyDescent="0.25">
      <c r="A18" t="s">
        <v>259</v>
      </c>
      <c r="C18" s="46">
        <v>144304003</v>
      </c>
      <c r="E18">
        <v>1</v>
      </c>
      <c r="F18" s="3">
        <f>+'Data Entry'!D43</f>
        <v>0.31</v>
      </c>
      <c r="G18" s="3">
        <f t="shared" si="0"/>
        <v>0.31</v>
      </c>
    </row>
    <row r="19" spans="1:7" x14ac:dyDescent="0.25">
      <c r="A19" t="s">
        <v>260</v>
      </c>
      <c r="C19" s="46">
        <v>145360004</v>
      </c>
      <c r="E19">
        <v>1</v>
      </c>
      <c r="F19" s="3">
        <f>+'Data Entry'!D46</f>
        <v>0.12</v>
      </c>
      <c r="G19" s="3">
        <f t="shared" si="0"/>
        <v>0.12</v>
      </c>
    </row>
    <row r="20" spans="1:7" x14ac:dyDescent="0.25">
      <c r="A20" t="s">
        <v>260</v>
      </c>
      <c r="C20" s="46">
        <v>145374005</v>
      </c>
      <c r="E20">
        <v>2</v>
      </c>
      <c r="F20" s="3">
        <f>+'Data Entry'!D49</f>
        <v>0.13</v>
      </c>
      <c r="G20" s="3">
        <f t="shared" si="0"/>
        <v>0.26</v>
      </c>
    </row>
    <row r="21" spans="1:7" x14ac:dyDescent="0.25">
      <c r="A21" t="s">
        <v>260</v>
      </c>
      <c r="C21" s="46">
        <v>145395002</v>
      </c>
      <c r="E21">
        <v>1</v>
      </c>
      <c r="F21" s="3">
        <f>+'Data Entry'!D51</f>
        <v>0.2</v>
      </c>
      <c r="G21" s="3">
        <f t="shared" si="0"/>
        <v>0.2</v>
      </c>
    </row>
    <row r="22" spans="1:7" x14ac:dyDescent="0.25">
      <c r="A22" t="s">
        <v>261</v>
      </c>
      <c r="C22" s="46">
        <v>170831023</v>
      </c>
      <c r="E22">
        <v>1</v>
      </c>
      <c r="F22" s="3">
        <f>+'Data Entry'!D74</f>
        <v>37.380000000000003</v>
      </c>
      <c r="G22" s="3">
        <f t="shared" si="0"/>
        <v>37.380000000000003</v>
      </c>
    </row>
    <row r="23" spans="1:7" x14ac:dyDescent="0.25">
      <c r="A23" t="s">
        <v>262</v>
      </c>
      <c r="C23" s="46">
        <v>171408001</v>
      </c>
      <c r="E23">
        <v>1</v>
      </c>
      <c r="F23" s="3">
        <f>+'Data Entry'!D106</f>
        <v>4.88</v>
      </c>
      <c r="G23" s="3">
        <f t="shared" si="0"/>
        <v>4.88</v>
      </c>
    </row>
    <row r="24" spans="1:7" x14ac:dyDescent="0.25">
      <c r="A24" t="s">
        <v>263</v>
      </c>
      <c r="C24" s="46">
        <v>172205006</v>
      </c>
      <c r="E24">
        <v>1</v>
      </c>
      <c r="F24" s="3">
        <f>+'Data Entry'!D111</f>
        <v>27.28</v>
      </c>
      <c r="G24" s="3">
        <f t="shared" si="0"/>
        <v>27.28</v>
      </c>
    </row>
    <row r="25" spans="1:7" x14ac:dyDescent="0.25">
      <c r="A25" t="s">
        <v>264</v>
      </c>
      <c r="C25" s="46">
        <v>174605001</v>
      </c>
      <c r="E25">
        <v>1</v>
      </c>
      <c r="F25" s="3">
        <f>+'Data Entry'!D113</f>
        <v>3.77</v>
      </c>
      <c r="G25" s="3">
        <f t="shared" si="0"/>
        <v>3.77</v>
      </c>
    </row>
    <row r="26" spans="1:7" x14ac:dyDescent="0.25">
      <c r="A26" t="s">
        <v>265</v>
      </c>
      <c r="C26" s="46">
        <v>548800008</v>
      </c>
      <c r="E26">
        <v>1</v>
      </c>
      <c r="F26" s="3">
        <f>+'Data Entry'!D119</f>
        <v>1.35</v>
      </c>
      <c r="G26" s="51">
        <f t="shared" si="0"/>
        <v>1.35</v>
      </c>
    </row>
    <row r="27" spans="1:7" x14ac:dyDescent="0.25">
      <c r="G27" s="52">
        <f>SUM(G12:G26)</f>
        <v>84.466399999999993</v>
      </c>
    </row>
    <row r="29" spans="1:7" ht="21" x14ac:dyDescent="0.4">
      <c r="B29" s="1" t="s">
        <v>266</v>
      </c>
      <c r="C29" s="53" t="s">
        <v>267</v>
      </c>
      <c r="D29" s="54" t="s">
        <v>268</v>
      </c>
      <c r="E29" s="1"/>
      <c r="F29" s="55" t="s">
        <v>269</v>
      </c>
      <c r="G29" s="1" t="s">
        <v>247</v>
      </c>
    </row>
    <row r="30" spans="1:7" x14ac:dyDescent="0.25">
      <c r="B30" s="32" t="s">
        <v>252</v>
      </c>
      <c r="C30" s="71" t="s">
        <v>270</v>
      </c>
      <c r="D30" s="32" t="s">
        <v>271</v>
      </c>
      <c r="E30" s="1"/>
      <c r="F30" s="1"/>
      <c r="G30" s="32" t="s">
        <v>272</v>
      </c>
    </row>
    <row r="31" spans="1:7" x14ac:dyDescent="0.25">
      <c r="B31" s="3">
        <f>+G27</f>
        <v>84.466399999999993</v>
      </c>
      <c r="C31" s="3">
        <f>+B31*(+'Data Entry'!C21)</f>
        <v>5.0679839999999992</v>
      </c>
      <c r="D31" s="3">
        <f>+B31*(+'Data Entry'!C16)</f>
        <v>5.0173041600000001</v>
      </c>
      <c r="G31" s="3">
        <f>SUM(B31:F31)</f>
        <v>94.551688159999983</v>
      </c>
    </row>
    <row r="32" spans="1:7" x14ac:dyDescent="0.25">
      <c r="C32"/>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2"/>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966</v>
      </c>
    </row>
    <row r="2" spans="1:7" x14ac:dyDescent="0.25">
      <c r="A2" s="773" t="s">
        <v>923</v>
      </c>
    </row>
    <row r="4" spans="1:7" x14ac:dyDescent="0.25">
      <c r="A4" s="1" t="s">
        <v>242</v>
      </c>
      <c r="B4" s="1"/>
      <c r="C4" s="91"/>
      <c r="D4" s="1"/>
      <c r="E4" s="1"/>
      <c r="F4" s="1"/>
      <c r="G4" s="1"/>
    </row>
    <row r="5" spans="1:7" x14ac:dyDescent="0.25">
      <c r="A5" s="1" t="s">
        <v>281</v>
      </c>
      <c r="B5" s="1"/>
      <c r="C5" s="91"/>
      <c r="D5" s="1"/>
      <c r="E5" s="1"/>
      <c r="F5" s="1"/>
      <c r="G5" s="1"/>
    </row>
    <row r="6" spans="1:7" x14ac:dyDescent="0.25">
      <c r="A6" s="1" t="s">
        <v>273</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26" si="0">+E12*F12</f>
        <v>0.36</v>
      </c>
    </row>
    <row r="13" spans="1:7" x14ac:dyDescent="0.25">
      <c r="A13" t="s">
        <v>254</v>
      </c>
      <c r="C13" s="46">
        <v>110104001</v>
      </c>
      <c r="E13">
        <v>9</v>
      </c>
      <c r="F13" s="3">
        <f>+'Data Entry'!D30</f>
        <v>0.63</v>
      </c>
      <c r="G13" s="3">
        <f t="shared" si="0"/>
        <v>5.67</v>
      </c>
    </row>
    <row r="14" spans="1:7" x14ac:dyDescent="0.25">
      <c r="A14" t="s">
        <v>255</v>
      </c>
      <c r="C14" s="46">
        <v>112308003</v>
      </c>
      <c r="E14">
        <v>2</v>
      </c>
      <c r="F14" s="3">
        <f>+'Data Entry'!D31</f>
        <v>0.28999999999999998</v>
      </c>
      <c r="G14" s="3">
        <f t="shared" si="0"/>
        <v>0.57999999999999996</v>
      </c>
    </row>
    <row r="15" spans="1:7" x14ac:dyDescent="0.25">
      <c r="A15" t="s">
        <v>256</v>
      </c>
      <c r="C15" s="46">
        <v>120111001</v>
      </c>
      <c r="E15">
        <v>1</v>
      </c>
      <c r="F15" s="3">
        <f>+'Data Entry'!D35</f>
        <v>0.55000000000000004</v>
      </c>
      <c r="G15" s="3">
        <f t="shared" si="0"/>
        <v>0.55000000000000004</v>
      </c>
    </row>
    <row r="16" spans="1:7" x14ac:dyDescent="0.25">
      <c r="A16" t="s">
        <v>257</v>
      </c>
      <c r="C16" s="46">
        <v>140590001</v>
      </c>
      <c r="E16">
        <v>2</v>
      </c>
      <c r="F16" s="3">
        <f>+'Data Entry'!D40</f>
        <v>0.84</v>
      </c>
      <c r="G16" s="3">
        <f t="shared" si="0"/>
        <v>1.68</v>
      </c>
    </row>
    <row r="17" spans="1:7" x14ac:dyDescent="0.25">
      <c r="A17" t="s">
        <v>258</v>
      </c>
      <c r="C17" s="244">
        <v>142631007</v>
      </c>
      <c r="E17">
        <v>0.02</v>
      </c>
      <c r="F17" s="3">
        <f>+'Data Entry'!D42</f>
        <v>3.82</v>
      </c>
      <c r="G17" s="3">
        <f t="shared" si="0"/>
        <v>7.6399999999999996E-2</v>
      </c>
    </row>
    <row r="18" spans="1:7" x14ac:dyDescent="0.25">
      <c r="A18" t="s">
        <v>259</v>
      </c>
      <c r="C18" s="46">
        <v>144304003</v>
      </c>
      <c r="E18">
        <v>1</v>
      </c>
      <c r="F18" s="3">
        <f>+'Data Entry'!D43</f>
        <v>0.31</v>
      </c>
      <c r="G18" s="3">
        <f t="shared" si="0"/>
        <v>0.31</v>
      </c>
    </row>
    <row r="19" spans="1:7" x14ac:dyDescent="0.25">
      <c r="A19" t="s">
        <v>260</v>
      </c>
      <c r="C19" s="46">
        <v>145360004</v>
      </c>
      <c r="E19">
        <v>1</v>
      </c>
      <c r="F19" s="3">
        <f>+'Data Entry'!D46</f>
        <v>0.12</v>
      </c>
      <c r="G19" s="3">
        <f t="shared" si="0"/>
        <v>0.12</v>
      </c>
    </row>
    <row r="20" spans="1:7" x14ac:dyDescent="0.25">
      <c r="A20" t="s">
        <v>260</v>
      </c>
      <c r="C20" s="46">
        <v>145374005</v>
      </c>
      <c r="E20">
        <v>2</v>
      </c>
      <c r="F20" s="3">
        <f>+'Data Entry'!D49</f>
        <v>0.13</v>
      </c>
      <c r="G20" s="3">
        <f t="shared" si="0"/>
        <v>0.26</v>
      </c>
    </row>
    <row r="21" spans="1:7" x14ac:dyDescent="0.25">
      <c r="A21" t="s">
        <v>260</v>
      </c>
      <c r="C21" s="46">
        <v>145395002</v>
      </c>
      <c r="E21">
        <v>1</v>
      </c>
      <c r="F21" s="3">
        <f>+'Data Entry'!D51</f>
        <v>0.2</v>
      </c>
      <c r="G21" s="3">
        <f t="shared" si="0"/>
        <v>0.2</v>
      </c>
    </row>
    <row r="22" spans="1:7" x14ac:dyDescent="0.25">
      <c r="A22" t="s">
        <v>261</v>
      </c>
      <c r="C22" s="46">
        <v>170922029</v>
      </c>
      <c r="E22">
        <v>1</v>
      </c>
      <c r="F22" s="3">
        <f>+'Data Entry'!D88</f>
        <v>57.16</v>
      </c>
      <c r="G22" s="3">
        <f t="shared" si="0"/>
        <v>57.16</v>
      </c>
    </row>
    <row r="23" spans="1:7" x14ac:dyDescent="0.25">
      <c r="A23" t="s">
        <v>262</v>
      </c>
      <c r="C23" s="46">
        <v>171408001</v>
      </c>
      <c r="E23">
        <v>1</v>
      </c>
      <c r="F23" s="3">
        <f>+'Data Entry'!D106</f>
        <v>4.88</v>
      </c>
      <c r="G23" s="3">
        <f t="shared" si="0"/>
        <v>4.88</v>
      </c>
    </row>
    <row r="24" spans="1:7" x14ac:dyDescent="0.25">
      <c r="A24" t="s">
        <v>263</v>
      </c>
      <c r="C24" s="46">
        <v>172205006</v>
      </c>
      <c r="E24">
        <v>1</v>
      </c>
      <c r="F24" s="3">
        <f>+'Data Entry'!D111</f>
        <v>27.28</v>
      </c>
      <c r="G24" s="3">
        <f t="shared" si="0"/>
        <v>27.28</v>
      </c>
    </row>
    <row r="25" spans="1:7" x14ac:dyDescent="0.25">
      <c r="A25" t="s">
        <v>264</v>
      </c>
      <c r="C25" s="46">
        <v>174605001</v>
      </c>
      <c r="E25">
        <v>1</v>
      </c>
      <c r="F25" s="3">
        <f>+'Data Entry'!D113</f>
        <v>3.77</v>
      </c>
      <c r="G25" s="3">
        <f t="shared" si="0"/>
        <v>3.77</v>
      </c>
    </row>
    <row r="26" spans="1:7" x14ac:dyDescent="0.25">
      <c r="A26" t="s">
        <v>265</v>
      </c>
      <c r="C26" s="46">
        <v>548800008</v>
      </c>
      <c r="E26">
        <v>1</v>
      </c>
      <c r="F26" s="3">
        <f>+'Data Entry'!D119</f>
        <v>1.35</v>
      </c>
      <c r="G26" s="51">
        <f t="shared" si="0"/>
        <v>1.35</v>
      </c>
    </row>
    <row r="27" spans="1:7" x14ac:dyDescent="0.25">
      <c r="G27" s="52">
        <f>SUM(G12:G26)</f>
        <v>104.24639999999998</v>
      </c>
    </row>
    <row r="29" spans="1:7" ht="21" x14ac:dyDescent="0.4">
      <c r="B29" s="1" t="s">
        <v>266</v>
      </c>
      <c r="C29" s="53" t="s">
        <v>267</v>
      </c>
      <c r="D29" s="54" t="s">
        <v>268</v>
      </c>
      <c r="E29" s="1"/>
      <c r="F29" s="55" t="s">
        <v>269</v>
      </c>
      <c r="G29" s="1" t="s">
        <v>247</v>
      </c>
    </row>
    <row r="30" spans="1:7" x14ac:dyDescent="0.25">
      <c r="B30" s="32" t="s">
        <v>252</v>
      </c>
      <c r="C30" s="71" t="s">
        <v>270</v>
      </c>
      <c r="D30" s="32" t="s">
        <v>271</v>
      </c>
      <c r="E30" s="1"/>
      <c r="F30" s="1"/>
      <c r="G30" s="32" t="s">
        <v>272</v>
      </c>
    </row>
    <row r="31" spans="1:7" x14ac:dyDescent="0.25">
      <c r="B31" s="3">
        <f>+G27</f>
        <v>104.24639999999998</v>
      </c>
      <c r="C31" s="3">
        <f>+B31*(+'Data Entry'!C21)</f>
        <v>6.2547839999999981</v>
      </c>
      <c r="D31" s="3">
        <f>+B31*(+'Data Entry'!C16)</f>
        <v>6.1922361599999993</v>
      </c>
      <c r="G31" s="3">
        <f>SUM(B31:F31)</f>
        <v>116.69342015999997</v>
      </c>
    </row>
    <row r="32" spans="1:7" x14ac:dyDescent="0.25">
      <c r="C32"/>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2"/>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967</v>
      </c>
    </row>
    <row r="2" spans="1:7" x14ac:dyDescent="0.25">
      <c r="A2" s="773" t="s">
        <v>923</v>
      </c>
    </row>
    <row r="4" spans="1:7" x14ac:dyDescent="0.25">
      <c r="A4" s="1" t="s">
        <v>242</v>
      </c>
      <c r="B4" s="1"/>
      <c r="C4" s="91"/>
      <c r="D4" s="1"/>
      <c r="E4" s="1"/>
      <c r="F4" s="1"/>
      <c r="G4" s="1"/>
    </row>
    <row r="5" spans="1:7" x14ac:dyDescent="0.25">
      <c r="A5" s="1" t="s">
        <v>281</v>
      </c>
      <c r="B5" s="1"/>
      <c r="C5" s="91"/>
      <c r="D5" s="1"/>
      <c r="E5" s="1"/>
      <c r="F5" s="1"/>
      <c r="G5" s="1"/>
    </row>
    <row r="6" spans="1:7" x14ac:dyDescent="0.25">
      <c r="A6" s="1" t="s">
        <v>274</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26" si="0">+E12*F12</f>
        <v>0.36</v>
      </c>
    </row>
    <row r="13" spans="1:7" x14ac:dyDescent="0.25">
      <c r="A13" t="s">
        <v>254</v>
      </c>
      <c r="C13" s="46">
        <v>110104001</v>
      </c>
      <c r="E13">
        <v>9</v>
      </c>
      <c r="F13" s="3">
        <f>+'Data Entry'!D30</f>
        <v>0.63</v>
      </c>
      <c r="G13" s="3">
        <f t="shared" si="0"/>
        <v>5.67</v>
      </c>
    </row>
    <row r="14" spans="1:7" x14ac:dyDescent="0.25">
      <c r="A14" t="s">
        <v>255</v>
      </c>
      <c r="C14" s="46">
        <v>112308003</v>
      </c>
      <c r="E14">
        <v>2</v>
      </c>
      <c r="F14" s="3">
        <f>+'Data Entry'!D31</f>
        <v>0.28999999999999998</v>
      </c>
      <c r="G14" s="3">
        <f t="shared" si="0"/>
        <v>0.57999999999999996</v>
      </c>
    </row>
    <row r="15" spans="1:7" x14ac:dyDescent="0.25">
      <c r="A15" t="s">
        <v>256</v>
      </c>
      <c r="C15" s="46">
        <v>120111001</v>
      </c>
      <c r="E15">
        <v>1</v>
      </c>
      <c r="F15" s="3">
        <f>+'Data Entry'!D35</f>
        <v>0.55000000000000004</v>
      </c>
      <c r="G15" s="3">
        <f t="shared" si="0"/>
        <v>0.55000000000000004</v>
      </c>
    </row>
    <row r="16" spans="1:7" x14ac:dyDescent="0.25">
      <c r="A16" t="s">
        <v>257</v>
      </c>
      <c r="C16" s="46">
        <v>140590001</v>
      </c>
      <c r="E16">
        <v>2</v>
      </c>
      <c r="F16" s="3">
        <f>+'Data Entry'!D40</f>
        <v>0.84</v>
      </c>
      <c r="G16" s="3">
        <f t="shared" si="0"/>
        <v>1.68</v>
      </c>
    </row>
    <row r="17" spans="1:7" x14ac:dyDescent="0.25">
      <c r="A17" t="s">
        <v>258</v>
      </c>
      <c r="C17" s="244">
        <v>142631007</v>
      </c>
      <c r="E17">
        <v>0.02</v>
      </c>
      <c r="F17" s="3">
        <f>+'Data Entry'!D42</f>
        <v>3.82</v>
      </c>
      <c r="G17" s="3">
        <f t="shared" si="0"/>
        <v>7.6399999999999996E-2</v>
      </c>
    </row>
    <row r="18" spans="1:7" x14ac:dyDescent="0.25">
      <c r="A18" t="s">
        <v>259</v>
      </c>
      <c r="C18" s="46">
        <v>144304003</v>
      </c>
      <c r="E18">
        <v>1</v>
      </c>
      <c r="F18" s="3">
        <f>+'Data Entry'!D43</f>
        <v>0.31</v>
      </c>
      <c r="G18" s="3">
        <f t="shared" si="0"/>
        <v>0.31</v>
      </c>
    </row>
    <row r="19" spans="1:7" x14ac:dyDescent="0.25">
      <c r="A19" t="s">
        <v>260</v>
      </c>
      <c r="C19" s="46">
        <v>145360004</v>
      </c>
      <c r="E19">
        <v>1</v>
      </c>
      <c r="F19" s="3">
        <f>+'Data Entry'!D46</f>
        <v>0.12</v>
      </c>
      <c r="G19" s="3">
        <f t="shared" si="0"/>
        <v>0.12</v>
      </c>
    </row>
    <row r="20" spans="1:7" x14ac:dyDescent="0.25">
      <c r="A20" t="s">
        <v>260</v>
      </c>
      <c r="C20" s="46">
        <v>145374005</v>
      </c>
      <c r="E20">
        <v>2</v>
      </c>
      <c r="F20" s="3">
        <f>+'Data Entry'!D49</f>
        <v>0.13</v>
      </c>
      <c r="G20" s="3">
        <f t="shared" si="0"/>
        <v>0.26</v>
      </c>
    </row>
    <row r="21" spans="1:7" x14ac:dyDescent="0.25">
      <c r="A21" t="s">
        <v>260</v>
      </c>
      <c r="C21" s="46">
        <v>145395002</v>
      </c>
      <c r="E21">
        <v>1</v>
      </c>
      <c r="F21" s="3">
        <f>+'Data Entry'!D51</f>
        <v>0.2</v>
      </c>
      <c r="G21" s="3">
        <f t="shared" si="0"/>
        <v>0.2</v>
      </c>
    </row>
    <row r="22" spans="1:7" x14ac:dyDescent="0.25">
      <c r="A22" t="s">
        <v>261</v>
      </c>
      <c r="C22" s="46">
        <v>170924021</v>
      </c>
      <c r="E22">
        <v>1</v>
      </c>
      <c r="F22" s="3">
        <f>+'Data Entry'!D92</f>
        <v>57.98</v>
      </c>
      <c r="G22" s="3">
        <f t="shared" si="0"/>
        <v>57.98</v>
      </c>
    </row>
    <row r="23" spans="1:7" x14ac:dyDescent="0.25">
      <c r="A23" t="s">
        <v>262</v>
      </c>
      <c r="C23" s="46">
        <v>171408001</v>
      </c>
      <c r="E23">
        <v>1</v>
      </c>
      <c r="F23" s="3">
        <f>+'Data Entry'!D106</f>
        <v>4.88</v>
      </c>
      <c r="G23" s="3">
        <f t="shared" si="0"/>
        <v>4.88</v>
      </c>
    </row>
    <row r="24" spans="1:7" x14ac:dyDescent="0.25">
      <c r="A24" t="s">
        <v>263</v>
      </c>
      <c r="C24" s="46">
        <v>172205006</v>
      </c>
      <c r="E24">
        <v>1</v>
      </c>
      <c r="F24" s="3">
        <f>+'Data Entry'!D111</f>
        <v>27.28</v>
      </c>
      <c r="G24" s="3">
        <f t="shared" si="0"/>
        <v>27.28</v>
      </c>
    </row>
    <row r="25" spans="1:7" x14ac:dyDescent="0.25">
      <c r="A25" t="s">
        <v>264</v>
      </c>
      <c r="C25" s="46">
        <v>174605001</v>
      </c>
      <c r="E25">
        <v>1</v>
      </c>
      <c r="F25" s="3">
        <f>+'Data Entry'!D113</f>
        <v>3.77</v>
      </c>
      <c r="G25" s="3">
        <f t="shared" si="0"/>
        <v>3.77</v>
      </c>
    </row>
    <row r="26" spans="1:7" x14ac:dyDescent="0.25">
      <c r="A26" t="s">
        <v>265</v>
      </c>
      <c r="C26" s="46">
        <v>548800008</v>
      </c>
      <c r="E26">
        <v>1</v>
      </c>
      <c r="F26" s="3">
        <f>+'Data Entry'!D119</f>
        <v>1.35</v>
      </c>
      <c r="G26" s="51">
        <f t="shared" si="0"/>
        <v>1.35</v>
      </c>
    </row>
    <row r="27" spans="1:7" x14ac:dyDescent="0.25">
      <c r="G27" s="52">
        <f>SUM(G12:G26)</f>
        <v>105.06639999999999</v>
      </c>
    </row>
    <row r="29" spans="1:7" ht="21" x14ac:dyDescent="0.4">
      <c r="B29" s="1" t="s">
        <v>266</v>
      </c>
      <c r="C29" s="53" t="s">
        <v>267</v>
      </c>
      <c r="D29" s="54" t="s">
        <v>268</v>
      </c>
      <c r="E29" s="1"/>
      <c r="F29" s="55" t="s">
        <v>269</v>
      </c>
      <c r="G29" s="1" t="s">
        <v>247</v>
      </c>
    </row>
    <row r="30" spans="1:7" x14ac:dyDescent="0.25">
      <c r="B30" s="32" t="s">
        <v>252</v>
      </c>
      <c r="C30" s="71" t="s">
        <v>270</v>
      </c>
      <c r="D30" s="32" t="s">
        <v>271</v>
      </c>
      <c r="E30" s="1"/>
      <c r="F30" s="1"/>
      <c r="G30" s="32" t="s">
        <v>272</v>
      </c>
    </row>
    <row r="31" spans="1:7" x14ac:dyDescent="0.25">
      <c r="B31" s="3">
        <f>+G27</f>
        <v>105.06639999999999</v>
      </c>
      <c r="C31" s="3">
        <f>+B31*(+'Data Entry'!C21)</f>
        <v>6.3039839999999989</v>
      </c>
      <c r="D31" s="3">
        <f>+B31*(+'Data Entry'!C16)</f>
        <v>6.2409441599999997</v>
      </c>
      <c r="G31" s="3">
        <f>SUM(B31:F31)</f>
        <v>117.61132815999999</v>
      </c>
    </row>
    <row r="32" spans="1:7" x14ac:dyDescent="0.25">
      <c r="C32"/>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43"/>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968</v>
      </c>
    </row>
    <row r="2" spans="1:7" x14ac:dyDescent="0.25">
      <c r="A2" s="773" t="s">
        <v>923</v>
      </c>
    </row>
    <row r="4" spans="1:7" x14ac:dyDescent="0.25">
      <c r="A4" s="1" t="s">
        <v>242</v>
      </c>
      <c r="B4" s="1"/>
      <c r="C4" s="91"/>
      <c r="D4" s="1"/>
      <c r="E4" s="1"/>
      <c r="F4" s="1"/>
      <c r="G4" s="1"/>
    </row>
    <row r="5" spans="1:7" x14ac:dyDescent="0.25">
      <c r="A5" s="1" t="s">
        <v>281</v>
      </c>
      <c r="B5" s="1"/>
      <c r="C5" s="91"/>
      <c r="D5" s="1"/>
      <c r="E5" s="1"/>
      <c r="F5" s="1"/>
      <c r="G5" s="1"/>
    </row>
    <row r="6" spans="1:7" x14ac:dyDescent="0.25">
      <c r="A6" s="1" t="s">
        <v>275</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261</v>
      </c>
      <c r="C12" s="46">
        <v>170863022</v>
      </c>
      <c r="E12">
        <v>1</v>
      </c>
      <c r="F12" s="3">
        <f>+'Data Entry'!D83</f>
        <v>95.21</v>
      </c>
      <c r="G12" s="3">
        <f>+E12*F12</f>
        <v>95.21</v>
      </c>
    </row>
    <row r="13" spans="1:7" x14ac:dyDescent="0.25">
      <c r="A13" t="s">
        <v>262</v>
      </c>
      <c r="C13" s="46">
        <v>171408001</v>
      </c>
      <c r="E13">
        <v>1</v>
      </c>
      <c r="F13" s="3">
        <f>+'Data Entry'!D106</f>
        <v>4.88</v>
      </c>
      <c r="G13" s="3">
        <f>+E13*F13</f>
        <v>4.88</v>
      </c>
    </row>
    <row r="14" spans="1:7" x14ac:dyDescent="0.25">
      <c r="A14" t="s">
        <v>264</v>
      </c>
      <c r="C14" s="46">
        <v>174605001</v>
      </c>
      <c r="E14">
        <v>1</v>
      </c>
      <c r="F14" s="3">
        <f>+'Data Entry'!D113</f>
        <v>3.77</v>
      </c>
      <c r="G14" s="3">
        <f>+E14*F14</f>
        <v>3.77</v>
      </c>
    </row>
    <row r="15" spans="1:7" x14ac:dyDescent="0.25">
      <c r="A15" t="s">
        <v>276</v>
      </c>
      <c r="C15" s="46">
        <v>522120000</v>
      </c>
      <c r="E15">
        <v>0.05</v>
      </c>
      <c r="F15" s="3">
        <f>+'Data Entry'!D117</f>
        <v>1.51</v>
      </c>
      <c r="G15" s="3">
        <f>+E15*F15</f>
        <v>7.5500000000000012E-2</v>
      </c>
    </row>
    <row r="16" spans="1:7" x14ac:dyDescent="0.25">
      <c r="A16" t="s">
        <v>265</v>
      </c>
      <c r="C16" s="244">
        <v>548800008</v>
      </c>
      <c r="E16">
        <v>1</v>
      </c>
      <c r="F16" s="3">
        <f>+'Data Entry'!D119</f>
        <v>1.35</v>
      </c>
      <c r="G16" s="3">
        <f>+E16*F16</f>
        <v>1.35</v>
      </c>
    </row>
    <row r="17" spans="1:7" x14ac:dyDescent="0.25">
      <c r="G17" s="52">
        <f>SUM(G12:G16)</f>
        <v>105.28549999999998</v>
      </c>
    </row>
    <row r="19" spans="1:7" ht="21" x14ac:dyDescent="0.4">
      <c r="B19" s="1" t="s">
        <v>266</v>
      </c>
      <c r="C19" s="53" t="s">
        <v>267</v>
      </c>
      <c r="D19" s="54" t="s">
        <v>268</v>
      </c>
      <c r="E19" s="1"/>
      <c r="F19" s="55" t="s">
        <v>269</v>
      </c>
      <c r="G19" s="1" t="s">
        <v>247</v>
      </c>
    </row>
    <row r="20" spans="1:7" x14ac:dyDescent="0.25">
      <c r="B20" s="32" t="s">
        <v>252</v>
      </c>
      <c r="C20" s="71" t="s">
        <v>270</v>
      </c>
      <c r="D20" s="32" t="s">
        <v>271</v>
      </c>
      <c r="E20" s="1"/>
      <c r="F20" s="1"/>
      <c r="G20" s="32" t="s">
        <v>272</v>
      </c>
    </row>
    <row r="21" spans="1:7" x14ac:dyDescent="0.25">
      <c r="B21" s="3">
        <f>+G17</f>
        <v>105.28549999999998</v>
      </c>
      <c r="C21" s="3">
        <f>+B21*(+'Data Entry'!C21)</f>
        <v>6.3171299999999988</v>
      </c>
      <c r="D21" s="3">
        <f>+B21*(+'Data Entry'!C16)</f>
        <v>6.2539586999999992</v>
      </c>
      <c r="G21" s="3">
        <f>SUM(B21:F21)</f>
        <v>117.85658869999997</v>
      </c>
    </row>
    <row r="22" spans="1:7" x14ac:dyDescent="0.25">
      <c r="C22"/>
    </row>
    <row r="25" spans="1:7" x14ac:dyDescent="0.25">
      <c r="A25" s="1" t="s">
        <v>242</v>
      </c>
      <c r="B25" s="1"/>
      <c r="C25" s="91"/>
      <c r="D25" s="1"/>
      <c r="E25" s="1"/>
      <c r="F25" s="1"/>
      <c r="G25" s="1"/>
    </row>
    <row r="26" spans="1:7" x14ac:dyDescent="0.25">
      <c r="A26" s="1" t="s">
        <v>281</v>
      </c>
      <c r="B26" s="1"/>
      <c r="C26" s="91"/>
      <c r="D26" s="1"/>
      <c r="E26" s="1"/>
      <c r="F26" s="1"/>
      <c r="G26" s="1"/>
    </row>
    <row r="27" spans="1:7" x14ac:dyDescent="0.25">
      <c r="A27" s="1" t="s">
        <v>277</v>
      </c>
      <c r="B27" s="1"/>
      <c r="C27" s="91"/>
      <c r="D27" s="1"/>
      <c r="E27" s="1"/>
      <c r="F27" s="1"/>
      <c r="G27" s="1"/>
    </row>
    <row r="28" spans="1:7" x14ac:dyDescent="0.25">
      <c r="A28" s="1"/>
      <c r="B28" s="1"/>
      <c r="C28" s="91"/>
      <c r="D28" s="1"/>
      <c r="E28" s="1"/>
      <c r="F28" s="1"/>
      <c r="G28" s="1"/>
    </row>
    <row r="29" spans="1:7" x14ac:dyDescent="0.25">
      <c r="A29" s="1"/>
      <c r="B29" s="1"/>
      <c r="C29" s="91"/>
      <c r="D29" s="1"/>
      <c r="E29" s="1"/>
      <c r="F29" s="1"/>
      <c r="G29" s="1"/>
    </row>
    <row r="30" spans="1:7" x14ac:dyDescent="0.25">
      <c r="A30" s="73" t="s">
        <v>244</v>
      </c>
      <c r="B30" s="73"/>
      <c r="C30" s="92"/>
      <c r="D30" s="93"/>
      <c r="E30" s="73" t="s">
        <v>245</v>
      </c>
      <c r="F30" s="73" t="s">
        <v>246</v>
      </c>
      <c r="G30" s="73" t="s">
        <v>247</v>
      </c>
    </row>
    <row r="31" spans="1:7" x14ac:dyDescent="0.25">
      <c r="A31" s="93" t="s">
        <v>248</v>
      </c>
      <c r="B31" s="73"/>
      <c r="C31" s="92" t="s">
        <v>249</v>
      </c>
      <c r="D31" s="93"/>
      <c r="E31" s="93" t="s">
        <v>250</v>
      </c>
      <c r="F31" s="93" t="s">
        <v>251</v>
      </c>
      <c r="G31" s="93" t="s">
        <v>252</v>
      </c>
    </row>
    <row r="32" spans="1:7" x14ac:dyDescent="0.25">
      <c r="A32" s="47"/>
      <c r="B32" s="47"/>
      <c r="C32" s="48"/>
      <c r="D32" s="47"/>
    </row>
    <row r="33" spans="1:7" x14ac:dyDescent="0.25">
      <c r="A33" t="s">
        <v>261</v>
      </c>
      <c r="C33" s="46">
        <v>170861020</v>
      </c>
      <c r="E33">
        <v>1</v>
      </c>
      <c r="F33" s="3">
        <f>+'Data Entry'!D80</f>
        <v>95.32</v>
      </c>
      <c r="G33" s="3">
        <f>+E33*F33</f>
        <v>95.32</v>
      </c>
    </row>
    <row r="34" spans="1:7" x14ac:dyDescent="0.25">
      <c r="A34" t="s">
        <v>262</v>
      </c>
      <c r="C34" s="46">
        <v>171408001</v>
      </c>
      <c r="E34">
        <v>1</v>
      </c>
      <c r="F34" s="3">
        <f>+'Data Entry'!D106</f>
        <v>4.88</v>
      </c>
      <c r="G34" s="3">
        <f>+E34*F34</f>
        <v>4.88</v>
      </c>
    </row>
    <row r="35" spans="1:7" x14ac:dyDescent="0.25">
      <c r="A35" t="s">
        <v>264</v>
      </c>
      <c r="C35" s="46">
        <v>174605001</v>
      </c>
      <c r="E35">
        <v>1</v>
      </c>
      <c r="F35" s="3">
        <f>+'Data Entry'!D113</f>
        <v>3.77</v>
      </c>
      <c r="G35" s="3">
        <f>+E35*F35</f>
        <v>3.77</v>
      </c>
    </row>
    <row r="36" spans="1:7" x14ac:dyDescent="0.25">
      <c r="A36" t="s">
        <v>276</v>
      </c>
      <c r="C36" s="46">
        <v>522120000</v>
      </c>
      <c r="E36">
        <v>0.05</v>
      </c>
      <c r="F36" s="3">
        <f>+'Data Entry'!D117</f>
        <v>1.51</v>
      </c>
      <c r="G36" s="3">
        <f>+E36*F36</f>
        <v>7.5500000000000012E-2</v>
      </c>
    </row>
    <row r="37" spans="1:7" x14ac:dyDescent="0.25">
      <c r="A37" t="s">
        <v>265</v>
      </c>
      <c r="C37" s="46">
        <v>548800008</v>
      </c>
      <c r="E37">
        <v>1</v>
      </c>
      <c r="F37" s="3">
        <f>+'Data Entry'!D119</f>
        <v>1.35</v>
      </c>
      <c r="G37" s="3">
        <f>+E37*F37</f>
        <v>1.35</v>
      </c>
    </row>
    <row r="38" spans="1:7" x14ac:dyDescent="0.25">
      <c r="G38" s="52">
        <f>SUM(G33:G37)</f>
        <v>105.39549999999998</v>
      </c>
    </row>
    <row r="40" spans="1:7" ht="21" x14ac:dyDescent="0.4">
      <c r="B40" s="1" t="s">
        <v>266</v>
      </c>
      <c r="C40" s="53" t="s">
        <v>267</v>
      </c>
      <c r="D40" s="54" t="s">
        <v>268</v>
      </c>
      <c r="E40" s="1"/>
      <c r="F40" s="55" t="s">
        <v>269</v>
      </c>
      <c r="G40" s="1" t="s">
        <v>247</v>
      </c>
    </row>
    <row r="41" spans="1:7" x14ac:dyDescent="0.25">
      <c r="B41" s="32" t="s">
        <v>252</v>
      </c>
      <c r="C41" s="71" t="s">
        <v>270</v>
      </c>
      <c r="D41" s="32" t="s">
        <v>271</v>
      </c>
      <c r="E41" s="1"/>
      <c r="F41" s="1"/>
      <c r="G41" s="32" t="s">
        <v>272</v>
      </c>
    </row>
    <row r="42" spans="1:7" x14ac:dyDescent="0.25">
      <c r="B42" s="3">
        <f>+G38</f>
        <v>105.39549999999998</v>
      </c>
      <c r="C42" s="3">
        <f>+B42*(+'Data Entry'!C21)</f>
        <v>6.3237299999999985</v>
      </c>
      <c r="D42" s="3">
        <f>+B42*(+'Data Entry'!C16)</f>
        <v>6.2604926999999995</v>
      </c>
      <c r="G42" s="3">
        <f>SUM(B42:F42)</f>
        <v>117.97972269999998</v>
      </c>
    </row>
    <row r="43" spans="1:7" x14ac:dyDescent="0.25">
      <c r="C43"/>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3"/>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969</v>
      </c>
    </row>
    <row r="2" spans="1:7" x14ac:dyDescent="0.25">
      <c r="A2" s="773" t="s">
        <v>923</v>
      </c>
    </row>
    <row r="4" spans="1:7" x14ac:dyDescent="0.25">
      <c r="A4" s="1" t="s">
        <v>242</v>
      </c>
      <c r="B4" s="1"/>
      <c r="C4" s="91"/>
      <c r="D4" s="1"/>
      <c r="E4" s="1"/>
      <c r="F4" s="1"/>
      <c r="G4" s="1"/>
    </row>
    <row r="5" spans="1:7" x14ac:dyDescent="0.25">
      <c r="A5" s="1" t="s">
        <v>282</v>
      </c>
      <c r="B5" s="1"/>
      <c r="C5" s="91"/>
      <c r="D5" s="1"/>
      <c r="E5" s="1"/>
      <c r="F5" s="1"/>
      <c r="G5" s="1"/>
    </row>
    <row r="6" spans="1:7" x14ac:dyDescent="0.25">
      <c r="A6" s="1" t="s">
        <v>273</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27" si="0">+E12*F12</f>
        <v>0.36</v>
      </c>
    </row>
    <row r="13" spans="1:7" x14ac:dyDescent="0.25">
      <c r="A13" t="s">
        <v>254</v>
      </c>
      <c r="C13" s="46">
        <v>110104001</v>
      </c>
      <c r="E13">
        <v>11</v>
      </c>
      <c r="F13" s="3">
        <f>+'Data Entry'!D30</f>
        <v>0.63</v>
      </c>
      <c r="G13" s="3">
        <f t="shared" si="0"/>
        <v>6.93</v>
      </c>
    </row>
    <row r="14" spans="1:7" x14ac:dyDescent="0.25">
      <c r="A14" t="s">
        <v>255</v>
      </c>
      <c r="C14" s="46">
        <v>112308003</v>
      </c>
      <c r="E14">
        <v>2</v>
      </c>
      <c r="F14" s="3">
        <f>+'Data Entry'!D31</f>
        <v>0.28999999999999998</v>
      </c>
      <c r="G14" s="3">
        <f t="shared" si="0"/>
        <v>0.57999999999999996</v>
      </c>
    </row>
    <row r="15" spans="1:7" x14ac:dyDescent="0.25">
      <c r="A15" t="s">
        <v>256</v>
      </c>
      <c r="C15" s="46">
        <v>120111001</v>
      </c>
      <c r="E15">
        <v>1</v>
      </c>
      <c r="F15" s="3">
        <f>+'Data Entry'!D35</f>
        <v>0.55000000000000004</v>
      </c>
      <c r="G15" s="3">
        <f t="shared" si="0"/>
        <v>0.55000000000000004</v>
      </c>
    </row>
    <row r="16" spans="1:7" x14ac:dyDescent="0.25">
      <c r="A16" t="s">
        <v>257</v>
      </c>
      <c r="C16" s="46">
        <v>140590001</v>
      </c>
      <c r="E16">
        <v>2</v>
      </c>
      <c r="F16" s="3">
        <f>+'Data Entry'!D40</f>
        <v>0.84</v>
      </c>
      <c r="G16" s="3">
        <f t="shared" si="0"/>
        <v>1.68</v>
      </c>
    </row>
    <row r="17" spans="1:7" x14ac:dyDescent="0.25">
      <c r="A17" t="s">
        <v>258</v>
      </c>
      <c r="C17" s="244">
        <v>142631007</v>
      </c>
      <c r="E17">
        <v>0.02</v>
      </c>
      <c r="F17" s="3">
        <f>+'Data Entry'!D42</f>
        <v>3.82</v>
      </c>
      <c r="G17" s="3">
        <f t="shared" si="0"/>
        <v>7.6399999999999996E-2</v>
      </c>
    </row>
    <row r="18" spans="1:7" x14ac:dyDescent="0.25">
      <c r="A18" t="s">
        <v>259</v>
      </c>
      <c r="C18" s="46">
        <v>144304003</v>
      </c>
      <c r="E18">
        <v>1</v>
      </c>
      <c r="F18" s="3">
        <f>+'Data Entry'!D43</f>
        <v>0.31</v>
      </c>
      <c r="G18" s="3">
        <f t="shared" si="0"/>
        <v>0.31</v>
      </c>
    </row>
    <row r="19" spans="1:7" x14ac:dyDescent="0.25">
      <c r="A19" t="s">
        <v>260</v>
      </c>
      <c r="C19" s="46">
        <v>145360004</v>
      </c>
      <c r="E19">
        <v>2</v>
      </c>
      <c r="F19" s="3">
        <f>+'Data Entry'!D46</f>
        <v>0.12</v>
      </c>
      <c r="G19" s="3">
        <f t="shared" si="0"/>
        <v>0.24</v>
      </c>
    </row>
    <row r="20" spans="1:7" x14ac:dyDescent="0.25">
      <c r="A20" t="s">
        <v>260</v>
      </c>
      <c r="C20" s="46">
        <v>145361001</v>
      </c>
      <c r="E20">
        <v>1</v>
      </c>
      <c r="F20" s="3">
        <f>+'Data Entry'!D47</f>
        <v>0.06</v>
      </c>
      <c r="G20" s="3">
        <f t="shared" si="0"/>
        <v>0.06</v>
      </c>
    </row>
    <row r="21" spans="1:7" x14ac:dyDescent="0.25">
      <c r="A21" t="s">
        <v>260</v>
      </c>
      <c r="C21" s="46">
        <v>145374005</v>
      </c>
      <c r="E21">
        <v>2</v>
      </c>
      <c r="F21" s="3">
        <f>+'Data Entry'!D49</f>
        <v>0.13</v>
      </c>
      <c r="G21" s="3">
        <f t="shared" si="0"/>
        <v>0.26</v>
      </c>
    </row>
    <row r="22" spans="1:7" x14ac:dyDescent="0.25">
      <c r="A22" t="s">
        <v>260</v>
      </c>
      <c r="C22" s="46">
        <v>145395002</v>
      </c>
      <c r="E22">
        <v>2</v>
      </c>
      <c r="F22" s="3">
        <f>+'Data Entry'!D51</f>
        <v>0.2</v>
      </c>
      <c r="G22" s="3">
        <f t="shared" si="0"/>
        <v>0.4</v>
      </c>
    </row>
    <row r="23" spans="1:7" x14ac:dyDescent="0.25">
      <c r="A23" t="s">
        <v>261</v>
      </c>
      <c r="C23" s="46">
        <v>170910004</v>
      </c>
      <c r="E23">
        <v>1</v>
      </c>
      <c r="F23" s="3">
        <f>+'Data Entry'!D85</f>
        <v>102.14</v>
      </c>
      <c r="G23" s="3">
        <f t="shared" si="0"/>
        <v>102.14</v>
      </c>
    </row>
    <row r="24" spans="1:7" x14ac:dyDescent="0.25">
      <c r="A24" t="s">
        <v>262</v>
      </c>
      <c r="C24" s="46">
        <v>171407021</v>
      </c>
      <c r="E24">
        <v>1</v>
      </c>
      <c r="F24" s="3">
        <f>+'Data Entry'!D105</f>
        <v>5.0999999999999996</v>
      </c>
      <c r="G24" s="3">
        <f t="shared" si="0"/>
        <v>5.0999999999999996</v>
      </c>
    </row>
    <row r="25" spans="1:7" x14ac:dyDescent="0.25">
      <c r="A25" t="s">
        <v>263</v>
      </c>
      <c r="C25" s="46">
        <v>172257006</v>
      </c>
      <c r="E25">
        <v>1</v>
      </c>
      <c r="F25" s="3">
        <f>+'Data Entry'!D112</f>
        <v>101.47</v>
      </c>
      <c r="G25" s="3">
        <f t="shared" si="0"/>
        <v>101.47</v>
      </c>
    </row>
    <row r="26" spans="1:7" x14ac:dyDescent="0.25">
      <c r="A26" t="s">
        <v>264</v>
      </c>
      <c r="C26" s="46">
        <v>174605001</v>
      </c>
      <c r="E26">
        <v>1</v>
      </c>
      <c r="F26" s="3">
        <f>+'Data Entry'!D113</f>
        <v>3.77</v>
      </c>
      <c r="G26" s="3">
        <f t="shared" si="0"/>
        <v>3.77</v>
      </c>
    </row>
    <row r="27" spans="1:7" x14ac:dyDescent="0.25">
      <c r="A27" t="s">
        <v>265</v>
      </c>
      <c r="C27" s="46">
        <v>548800008</v>
      </c>
      <c r="E27">
        <v>1</v>
      </c>
      <c r="F27" s="3">
        <f>+'Data Entry'!D119</f>
        <v>1.35</v>
      </c>
      <c r="G27" s="51">
        <f t="shared" si="0"/>
        <v>1.35</v>
      </c>
    </row>
    <row r="28" spans="1:7" x14ac:dyDescent="0.25">
      <c r="G28" s="52">
        <f>SUM(G12:G27)</f>
        <v>225.2764</v>
      </c>
    </row>
    <row r="30" spans="1:7" ht="21" x14ac:dyDescent="0.4">
      <c r="B30" s="1" t="s">
        <v>266</v>
      </c>
      <c r="C30" s="53" t="s">
        <v>267</v>
      </c>
      <c r="D30" s="54" t="s">
        <v>268</v>
      </c>
      <c r="E30" s="1"/>
      <c r="F30" s="55" t="s">
        <v>269</v>
      </c>
      <c r="G30" s="1" t="s">
        <v>247</v>
      </c>
    </row>
    <row r="31" spans="1:7" x14ac:dyDescent="0.25">
      <c r="B31" s="32" t="s">
        <v>252</v>
      </c>
      <c r="C31" s="71" t="s">
        <v>270</v>
      </c>
      <c r="D31" s="32" t="s">
        <v>271</v>
      </c>
      <c r="E31" s="1"/>
      <c r="F31" s="1"/>
      <c r="G31" s="32" t="s">
        <v>272</v>
      </c>
    </row>
    <row r="32" spans="1:7" x14ac:dyDescent="0.25">
      <c r="B32" s="3">
        <f>+G28</f>
        <v>225.2764</v>
      </c>
      <c r="C32" s="3">
        <f>+B32*(+'Data Entry'!C21)</f>
        <v>13.516584</v>
      </c>
      <c r="D32" s="3">
        <f>+B32*(+'Data Entry'!C16)</f>
        <v>13.381418160000001</v>
      </c>
      <c r="G32" s="3">
        <f>SUM(B32:F32)</f>
        <v>252.17440216</v>
      </c>
    </row>
    <row r="33" spans="3:3" x14ac:dyDescent="0.25">
      <c r="C33"/>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3"/>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970</v>
      </c>
    </row>
    <row r="2" spans="1:7" x14ac:dyDescent="0.25">
      <c r="A2" s="773" t="s">
        <v>923</v>
      </c>
    </row>
    <row r="4" spans="1:7" x14ac:dyDescent="0.25">
      <c r="A4" s="1" t="s">
        <v>242</v>
      </c>
      <c r="B4" s="1"/>
      <c r="C4" s="91"/>
      <c r="D4" s="1"/>
      <c r="E4" s="1"/>
      <c r="F4" s="1"/>
      <c r="G4" s="1"/>
    </row>
    <row r="5" spans="1:7" x14ac:dyDescent="0.25">
      <c r="A5" s="1" t="s">
        <v>282</v>
      </c>
      <c r="B5" s="1"/>
      <c r="C5" s="91"/>
      <c r="D5" s="1"/>
      <c r="E5" s="1"/>
      <c r="F5" s="1"/>
      <c r="G5" s="1"/>
    </row>
    <row r="6" spans="1:7" x14ac:dyDescent="0.25">
      <c r="A6" s="1" t="s">
        <v>274</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27" si="0">+E12*F12</f>
        <v>0.36</v>
      </c>
    </row>
    <row r="13" spans="1:7" x14ac:dyDescent="0.25">
      <c r="A13" t="s">
        <v>254</v>
      </c>
      <c r="C13" s="46">
        <v>110104001</v>
      </c>
      <c r="E13">
        <v>11</v>
      </c>
      <c r="F13" s="3">
        <f>+'Data Entry'!D30</f>
        <v>0.63</v>
      </c>
      <c r="G13" s="3">
        <f t="shared" si="0"/>
        <v>6.93</v>
      </c>
    </row>
    <row r="14" spans="1:7" x14ac:dyDescent="0.25">
      <c r="A14" t="s">
        <v>255</v>
      </c>
      <c r="C14" s="46">
        <v>112308003</v>
      </c>
      <c r="E14">
        <v>2</v>
      </c>
      <c r="F14" s="3">
        <f>+'Data Entry'!D31</f>
        <v>0.28999999999999998</v>
      </c>
      <c r="G14" s="3">
        <f t="shared" si="0"/>
        <v>0.57999999999999996</v>
      </c>
    </row>
    <row r="15" spans="1:7" x14ac:dyDescent="0.25">
      <c r="A15" t="s">
        <v>256</v>
      </c>
      <c r="C15" s="46">
        <v>120111001</v>
      </c>
      <c r="E15">
        <v>1</v>
      </c>
      <c r="F15" s="3">
        <f>+'Data Entry'!D35</f>
        <v>0.55000000000000004</v>
      </c>
      <c r="G15" s="3">
        <f t="shared" si="0"/>
        <v>0.55000000000000004</v>
      </c>
    </row>
    <row r="16" spans="1:7" x14ac:dyDescent="0.25">
      <c r="A16" t="s">
        <v>257</v>
      </c>
      <c r="C16" s="46">
        <v>140590001</v>
      </c>
      <c r="E16">
        <v>2</v>
      </c>
      <c r="F16" s="3">
        <f>+'Data Entry'!D40</f>
        <v>0.84</v>
      </c>
      <c r="G16" s="3">
        <f t="shared" si="0"/>
        <v>1.68</v>
      </c>
    </row>
    <row r="17" spans="1:7" x14ac:dyDescent="0.25">
      <c r="A17" t="s">
        <v>258</v>
      </c>
      <c r="C17" s="244">
        <v>142631007</v>
      </c>
      <c r="E17">
        <v>0.02</v>
      </c>
      <c r="F17" s="3">
        <f>+'Data Entry'!D42</f>
        <v>3.82</v>
      </c>
      <c r="G17" s="3">
        <f t="shared" si="0"/>
        <v>7.6399999999999996E-2</v>
      </c>
    </row>
    <row r="18" spans="1:7" x14ac:dyDescent="0.25">
      <c r="A18" t="s">
        <v>259</v>
      </c>
      <c r="C18" s="46">
        <v>144304003</v>
      </c>
      <c r="E18">
        <v>1</v>
      </c>
      <c r="F18" s="3">
        <f>+'Data Entry'!D43</f>
        <v>0.31</v>
      </c>
      <c r="G18" s="3">
        <f t="shared" si="0"/>
        <v>0.31</v>
      </c>
    </row>
    <row r="19" spans="1:7" x14ac:dyDescent="0.25">
      <c r="A19" t="s">
        <v>260</v>
      </c>
      <c r="C19" s="46">
        <v>145360004</v>
      </c>
      <c r="E19">
        <v>2</v>
      </c>
      <c r="F19" s="3">
        <f>+'Data Entry'!D46</f>
        <v>0.12</v>
      </c>
      <c r="G19" s="3">
        <f t="shared" si="0"/>
        <v>0.24</v>
      </c>
    </row>
    <row r="20" spans="1:7" x14ac:dyDescent="0.25">
      <c r="A20" t="s">
        <v>260</v>
      </c>
      <c r="C20" s="46">
        <v>145361001</v>
      </c>
      <c r="E20">
        <v>1</v>
      </c>
      <c r="F20" s="3">
        <f>+'Data Entry'!D47</f>
        <v>0.06</v>
      </c>
      <c r="G20" s="3">
        <f t="shared" si="0"/>
        <v>0.06</v>
      </c>
    </row>
    <row r="21" spans="1:7" x14ac:dyDescent="0.25">
      <c r="A21" t="s">
        <v>260</v>
      </c>
      <c r="C21" s="46">
        <v>145374005</v>
      </c>
      <c r="E21">
        <v>2</v>
      </c>
      <c r="F21" s="3">
        <f>+'Data Entry'!D49</f>
        <v>0.13</v>
      </c>
      <c r="G21" s="3">
        <f t="shared" si="0"/>
        <v>0.26</v>
      </c>
    </row>
    <row r="22" spans="1:7" x14ac:dyDescent="0.25">
      <c r="A22" t="s">
        <v>260</v>
      </c>
      <c r="C22" s="46">
        <v>145395002</v>
      </c>
      <c r="E22">
        <v>2</v>
      </c>
      <c r="F22" s="3">
        <f>+'Data Entry'!D51</f>
        <v>0.2</v>
      </c>
      <c r="G22" s="3">
        <f t="shared" si="0"/>
        <v>0.4</v>
      </c>
    </row>
    <row r="23" spans="1:7" x14ac:dyDescent="0.25">
      <c r="A23" t="s">
        <v>261</v>
      </c>
      <c r="C23" s="46">
        <v>170960001</v>
      </c>
      <c r="E23">
        <v>1</v>
      </c>
      <c r="F23" s="3">
        <f>+'Data Entry'!D95</f>
        <v>101.16</v>
      </c>
      <c r="G23" s="3">
        <f t="shared" si="0"/>
        <v>101.16</v>
      </c>
    </row>
    <row r="24" spans="1:7" x14ac:dyDescent="0.25">
      <c r="A24" t="s">
        <v>262</v>
      </c>
      <c r="C24" s="46">
        <v>171407021</v>
      </c>
      <c r="E24">
        <v>1</v>
      </c>
      <c r="F24" s="3">
        <f>+'Data Entry'!D105</f>
        <v>5.0999999999999996</v>
      </c>
      <c r="G24" s="3">
        <f t="shared" si="0"/>
        <v>5.0999999999999996</v>
      </c>
    </row>
    <row r="25" spans="1:7" x14ac:dyDescent="0.25">
      <c r="A25" t="s">
        <v>263</v>
      </c>
      <c r="C25" s="46">
        <v>172257006</v>
      </c>
      <c r="E25">
        <v>1</v>
      </c>
      <c r="F25" s="3">
        <f>+'Data Entry'!D112</f>
        <v>101.47</v>
      </c>
      <c r="G25" s="3">
        <f t="shared" si="0"/>
        <v>101.47</v>
      </c>
    </row>
    <row r="26" spans="1:7" x14ac:dyDescent="0.25">
      <c r="A26" t="s">
        <v>264</v>
      </c>
      <c r="C26" s="46">
        <v>174605001</v>
      </c>
      <c r="E26">
        <v>1</v>
      </c>
      <c r="F26" s="3">
        <f>+'Data Entry'!D113</f>
        <v>3.77</v>
      </c>
      <c r="G26" s="3">
        <f t="shared" si="0"/>
        <v>3.77</v>
      </c>
    </row>
    <row r="27" spans="1:7" x14ac:dyDescent="0.25">
      <c r="A27" t="s">
        <v>265</v>
      </c>
      <c r="C27" s="46">
        <v>548800008</v>
      </c>
      <c r="E27">
        <v>1</v>
      </c>
      <c r="F27" s="3">
        <f>+'Data Entry'!D119</f>
        <v>1.35</v>
      </c>
      <c r="G27" s="51">
        <f t="shared" si="0"/>
        <v>1.35</v>
      </c>
    </row>
    <row r="28" spans="1:7" x14ac:dyDescent="0.25">
      <c r="G28" s="52">
        <f>SUM(G12:G27)</f>
        <v>224.29640000000001</v>
      </c>
    </row>
    <row r="30" spans="1:7" ht="21" x14ac:dyDescent="0.4">
      <c r="B30" s="1" t="s">
        <v>266</v>
      </c>
      <c r="C30" s="53" t="s">
        <v>267</v>
      </c>
      <c r="D30" s="54" t="s">
        <v>268</v>
      </c>
      <c r="E30" s="1"/>
      <c r="F30" s="55" t="s">
        <v>269</v>
      </c>
      <c r="G30" s="1" t="s">
        <v>247</v>
      </c>
    </row>
    <row r="31" spans="1:7" x14ac:dyDescent="0.25">
      <c r="B31" s="32" t="s">
        <v>252</v>
      </c>
      <c r="C31" s="71" t="s">
        <v>270</v>
      </c>
      <c r="D31" s="32" t="s">
        <v>271</v>
      </c>
      <c r="E31" s="1"/>
      <c r="F31" s="1"/>
      <c r="G31" s="32" t="s">
        <v>272</v>
      </c>
    </row>
    <row r="32" spans="1:7" x14ac:dyDescent="0.25">
      <c r="B32" s="3">
        <f>+G28</f>
        <v>224.29640000000001</v>
      </c>
      <c r="C32" s="3">
        <f>+B32*(+'Data Entry'!C21)</f>
        <v>13.457784</v>
      </c>
      <c r="D32" s="3">
        <f>+B32*(+'Data Entry'!C16)</f>
        <v>13.32320616</v>
      </c>
      <c r="G32" s="3">
        <f>SUM(B32:F32)</f>
        <v>251.07739016000002</v>
      </c>
    </row>
    <row r="33" spans="3:3" x14ac:dyDescent="0.25">
      <c r="C33"/>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4"/>
  <sheetViews>
    <sheetView workbookViewId="0">
      <selection activeCell="A2" sqref="A1:A2"/>
    </sheetView>
  </sheetViews>
  <sheetFormatPr defaultRowHeight="13.2" x14ac:dyDescent="0.25"/>
  <cols>
    <col min="1" max="1" width="11.21875" customWidth="1"/>
    <col min="2" max="2" width="52.6640625" customWidth="1"/>
    <col min="3" max="3" width="0.109375" customWidth="1"/>
    <col min="4" max="4" width="11.44140625" customWidth="1"/>
    <col min="5" max="5" width="75.109375" style="251" customWidth="1"/>
    <col min="6" max="7" width="10.109375" bestFit="1" customWidth="1"/>
  </cols>
  <sheetData>
    <row r="1" spans="1:7" x14ac:dyDescent="0.25">
      <c r="A1" s="773" t="s">
        <v>927</v>
      </c>
    </row>
    <row r="2" spans="1:7" x14ac:dyDescent="0.25">
      <c r="A2" s="773" t="s">
        <v>923</v>
      </c>
    </row>
    <row r="4" spans="1:7" ht="17.399999999999999" x14ac:dyDescent="0.3">
      <c r="B4" s="732" t="s">
        <v>810</v>
      </c>
      <c r="C4" s="732"/>
      <c r="D4" s="732"/>
      <c r="E4" s="732"/>
    </row>
    <row r="5" spans="1:7" ht="17.399999999999999" x14ac:dyDescent="0.3">
      <c r="B5" s="732" t="s">
        <v>814</v>
      </c>
      <c r="C5" s="732"/>
      <c r="D5" s="732"/>
      <c r="E5" s="732"/>
    </row>
    <row r="6" spans="1:7" ht="18" thickBot="1" x14ac:dyDescent="0.35">
      <c r="B6" s="2"/>
      <c r="C6" s="2"/>
    </row>
    <row r="7" spans="1:7" ht="15.6" x14ac:dyDescent="0.3">
      <c r="A7" s="532"/>
      <c r="B7" s="532"/>
      <c r="C7" s="533" t="s">
        <v>815</v>
      </c>
      <c r="D7" s="534">
        <v>2012</v>
      </c>
      <c r="E7" s="535"/>
    </row>
    <row r="8" spans="1:7" ht="15.6" x14ac:dyDescent="0.3">
      <c r="A8" s="536" t="s">
        <v>816</v>
      </c>
      <c r="B8" s="536" t="s">
        <v>817</v>
      </c>
      <c r="C8" s="537" t="s">
        <v>818</v>
      </c>
      <c r="D8" s="536" t="s">
        <v>818</v>
      </c>
      <c r="E8" s="538" t="s">
        <v>819</v>
      </c>
      <c r="F8" s="539" t="s">
        <v>820</v>
      </c>
      <c r="G8" s="540">
        <v>42307</v>
      </c>
    </row>
    <row r="9" spans="1:7" ht="6" customHeight="1" x14ac:dyDescent="0.25">
      <c r="A9" s="541"/>
      <c r="B9" s="541"/>
      <c r="C9" s="541"/>
      <c r="D9" s="541"/>
      <c r="E9" s="542"/>
    </row>
    <row r="10" spans="1:7" ht="26.4" x14ac:dyDescent="0.25">
      <c r="A10" s="543">
        <v>1</v>
      </c>
      <c r="B10" s="544" t="s">
        <v>821</v>
      </c>
      <c r="C10" s="545">
        <v>0.18991</v>
      </c>
      <c r="D10" s="546">
        <f>CARRYING_CHARGE!B15</f>
        <v>0.15265000000000001</v>
      </c>
      <c r="E10" s="547" t="str">
        <f>CARRYING_CHARGE!C11</f>
        <v>The Pretax Cost of Capital as of 09/30/2015, based on a 13-month average with 10.50% after tax common equity cost rate (mid-point last allowed), is 9.392%. Per Amy Zamora</v>
      </c>
    </row>
    <row r="11" spans="1:7" ht="26.4" x14ac:dyDescent="0.25">
      <c r="A11" s="548"/>
      <c r="B11" s="549"/>
      <c r="C11" s="550"/>
      <c r="D11" s="551"/>
      <c r="E11" s="552" t="str">
        <f>CARRYING_CHARGE!C12</f>
        <v>The current approved depreciation rate for account 373 (Street Lighting and Signal Systems) -  provided by Don Moss in Accounting</v>
      </c>
    </row>
    <row r="12" spans="1:7" ht="15" x14ac:dyDescent="0.25">
      <c r="A12" s="548"/>
      <c r="B12" s="549"/>
      <c r="C12" s="550"/>
      <c r="D12" s="551"/>
      <c r="E12" s="552" t="s">
        <v>822</v>
      </c>
    </row>
    <row r="13" spans="1:7" ht="15" x14ac:dyDescent="0.25">
      <c r="A13" s="553"/>
      <c r="B13" s="554"/>
      <c r="C13" s="555"/>
      <c r="D13" s="556"/>
      <c r="E13" s="557" t="s">
        <v>823</v>
      </c>
    </row>
    <row r="14" spans="1:7" ht="39.6" x14ac:dyDescent="0.25">
      <c r="A14" s="543">
        <v>2</v>
      </c>
      <c r="B14" s="544" t="s">
        <v>824</v>
      </c>
      <c r="C14" s="545">
        <v>0.19091</v>
      </c>
      <c r="D14" s="546">
        <f>CARRYING_CHARGE!B26</f>
        <v>0.15265000000000001</v>
      </c>
      <c r="E14" s="547" t="str">
        <f>CARRYING_CHARGE!C22</f>
        <v>The Pretax cost of Capital as of 10/31/2011 based on a 13 month average with 10.00% after tax common equity cost rate (mid-point last allowed)  is 9.416 - provided by Don Moss in accounting</v>
      </c>
    </row>
    <row r="15" spans="1:7" ht="26.4" x14ac:dyDescent="0.25">
      <c r="A15" s="548"/>
      <c r="B15" s="549"/>
      <c r="C15" s="550"/>
      <c r="D15" s="551"/>
      <c r="E15" s="552" t="str">
        <f>CARRYING_CHARGE!C23</f>
        <v>Current approved depreciation rate for account 371 (Installation on Customer Premises) -  provided by Don Moss in Accounting</v>
      </c>
    </row>
    <row r="16" spans="1:7" ht="15" x14ac:dyDescent="0.25">
      <c r="A16" s="548"/>
      <c r="B16" s="549"/>
      <c r="C16" s="550"/>
      <c r="D16" s="551"/>
      <c r="E16" s="552" t="str">
        <f>CARRYING_CHARGE!C24</f>
        <v>Finance Dept. - Economic Evaluation Book</v>
      </c>
    </row>
    <row r="17" spans="1:6" ht="15" x14ac:dyDescent="0.25">
      <c r="A17" s="553"/>
      <c r="B17" s="554"/>
      <c r="C17" s="555"/>
      <c r="D17" s="556"/>
      <c r="E17" s="558" t="str">
        <f>CARRYING_CHARGE!C25</f>
        <v>Finance Dept. - Economic Evaluation Book</v>
      </c>
    </row>
    <row r="18" spans="1:6" ht="15" x14ac:dyDescent="0.25">
      <c r="A18" s="559">
        <v>3</v>
      </c>
      <c r="B18" s="560" t="s">
        <v>3</v>
      </c>
      <c r="C18" s="561">
        <v>1.0007205187735171</v>
      </c>
      <c r="D18" s="562">
        <f>1/(1-0.00072)</f>
        <v>1.0007205187735171</v>
      </c>
      <c r="E18" s="563" t="s">
        <v>825</v>
      </c>
    </row>
    <row r="19" spans="1:6" ht="15" x14ac:dyDescent="0.25">
      <c r="A19" s="559">
        <v>4</v>
      </c>
      <c r="B19" s="564" t="s">
        <v>826</v>
      </c>
      <c r="C19" s="565">
        <v>5.3909878581299447E-2</v>
      </c>
      <c r="D19" s="566">
        <f>'Maint Factor Summary '!C14</f>
        <v>4.36E-2</v>
      </c>
      <c r="E19" s="567" t="s">
        <v>827</v>
      </c>
      <c r="F19" s="540">
        <v>42296</v>
      </c>
    </row>
    <row r="20" spans="1:6" ht="15" x14ac:dyDescent="0.25">
      <c r="A20" s="559">
        <v>5</v>
      </c>
      <c r="B20" s="564" t="s">
        <v>828</v>
      </c>
      <c r="C20" s="565">
        <v>6.2495544426345126E-2</v>
      </c>
      <c r="D20" s="566">
        <f>'Maint Factor Summary '!D14</f>
        <v>3.9780000000000003E-2</v>
      </c>
      <c r="E20" s="567" t="s">
        <v>827</v>
      </c>
      <c r="F20" s="540">
        <v>42296</v>
      </c>
    </row>
    <row r="21" spans="1:6" ht="15" x14ac:dyDescent="0.25">
      <c r="A21" s="559">
        <v>6</v>
      </c>
      <c r="B21" s="560" t="s">
        <v>829</v>
      </c>
      <c r="C21" s="568">
        <v>2.2349999999999998E-2</v>
      </c>
      <c r="D21" s="569">
        <v>2.6519999999999998E-2</v>
      </c>
      <c r="E21" s="570" t="s">
        <v>830</v>
      </c>
    </row>
    <row r="22" spans="1:6" ht="15" x14ac:dyDescent="0.25">
      <c r="A22" s="559">
        <v>7</v>
      </c>
      <c r="B22" s="560" t="s">
        <v>831</v>
      </c>
      <c r="C22" s="568">
        <v>2.2380000000000001E-2</v>
      </c>
      <c r="D22" s="569">
        <v>2.6759999999999999E-2</v>
      </c>
      <c r="E22" s="570" t="s">
        <v>832</v>
      </c>
    </row>
    <row r="23" spans="1:6" ht="52.8" x14ac:dyDescent="0.25">
      <c r="A23" s="559">
        <v>8</v>
      </c>
      <c r="B23" s="560" t="s">
        <v>8</v>
      </c>
      <c r="C23" s="571">
        <v>0.31969999999999998</v>
      </c>
      <c r="D23" s="572">
        <v>0.25419999999999998</v>
      </c>
      <c r="E23" s="570" t="s">
        <v>833</v>
      </c>
    </row>
    <row r="24" spans="1:6" ht="26.4" x14ac:dyDescent="0.25">
      <c r="A24" s="559">
        <v>9</v>
      </c>
      <c r="B24" s="560" t="s">
        <v>14</v>
      </c>
      <c r="C24" s="571">
        <v>8.2000000000000003E-2</v>
      </c>
      <c r="D24" s="572">
        <v>5.4000000000000003E-3</v>
      </c>
      <c r="E24" s="567" t="s">
        <v>834</v>
      </c>
    </row>
    <row r="25" spans="1:6" ht="26.4" x14ac:dyDescent="0.25">
      <c r="A25" s="548">
        <v>10</v>
      </c>
      <c r="B25" s="560" t="s">
        <v>17</v>
      </c>
      <c r="C25" s="571">
        <v>4.1000000000000002E-2</v>
      </c>
      <c r="D25" s="572">
        <v>3.09E-2</v>
      </c>
      <c r="E25" s="567" t="s">
        <v>835</v>
      </c>
    </row>
    <row r="26" spans="1:6" ht="15.6" thickBot="1" x14ac:dyDescent="0.3">
      <c r="A26" s="573">
        <v>11</v>
      </c>
      <c r="B26" s="574" t="s">
        <v>18</v>
      </c>
      <c r="C26" s="575">
        <v>0.06</v>
      </c>
      <c r="D26" s="576">
        <v>0.06</v>
      </c>
      <c r="E26" s="577" t="s">
        <v>518</v>
      </c>
    </row>
    <row r="28" spans="1:6" ht="13.8" thickBot="1" x14ac:dyDescent="0.3"/>
    <row r="29" spans="1:6" ht="15" x14ac:dyDescent="0.25">
      <c r="A29" s="578">
        <v>12</v>
      </c>
      <c r="B29" s="579" t="s">
        <v>9</v>
      </c>
      <c r="C29" s="580">
        <v>0</v>
      </c>
      <c r="D29" s="581">
        <v>5.9400000000000001E-2</v>
      </c>
      <c r="E29" s="582" t="s">
        <v>836</v>
      </c>
    </row>
    <row r="30" spans="1:6" ht="26.4" x14ac:dyDescent="0.25">
      <c r="A30" s="559">
        <v>13</v>
      </c>
      <c r="B30" s="564" t="s">
        <v>837</v>
      </c>
      <c r="C30" s="583">
        <v>58.9</v>
      </c>
      <c r="D30" s="584">
        <v>97</v>
      </c>
      <c r="E30" s="585" t="s">
        <v>838</v>
      </c>
    </row>
    <row r="31" spans="1:6" ht="26.4" x14ac:dyDescent="0.25">
      <c r="A31" s="559">
        <v>14</v>
      </c>
      <c r="B31" s="564" t="s">
        <v>839</v>
      </c>
      <c r="C31" s="586">
        <v>57.9</v>
      </c>
      <c r="D31" s="584">
        <v>111</v>
      </c>
      <c r="E31" s="587" t="s">
        <v>838</v>
      </c>
    </row>
    <row r="32" spans="1:6" ht="15" x14ac:dyDescent="0.25">
      <c r="A32" s="559">
        <v>15</v>
      </c>
      <c r="B32" s="564" t="s">
        <v>12</v>
      </c>
      <c r="C32" s="586">
        <v>58.9</v>
      </c>
      <c r="D32" s="584">
        <f>D30</f>
        <v>97</v>
      </c>
      <c r="E32" s="587" t="s">
        <v>516</v>
      </c>
    </row>
    <row r="33" spans="1:5" ht="15" x14ac:dyDescent="0.25">
      <c r="A33" s="559">
        <v>16</v>
      </c>
      <c r="B33" s="560" t="s">
        <v>526</v>
      </c>
      <c r="C33" s="588">
        <v>0.25</v>
      </c>
      <c r="D33" s="589">
        <v>0</v>
      </c>
      <c r="E33" s="590" t="s">
        <v>840</v>
      </c>
    </row>
    <row r="34" spans="1:5" ht="15.6" thickBot="1" x14ac:dyDescent="0.3">
      <c r="A34" s="573">
        <v>17</v>
      </c>
      <c r="B34" s="591" t="s">
        <v>525</v>
      </c>
      <c r="C34" s="592">
        <v>0.25</v>
      </c>
      <c r="D34" s="589">
        <v>4.8000000000000001E-2</v>
      </c>
      <c r="E34" s="593" t="s">
        <v>517</v>
      </c>
    </row>
  </sheetData>
  <mergeCells count="2">
    <mergeCell ref="B4:E4"/>
    <mergeCell ref="B5:E5"/>
  </mergeCells>
  <pageMargins left="0.17" right="0.18" top="0.7" bottom="0.82" header="0.5" footer="0.5"/>
  <pageSetup scale="84" orientation="landscape" r:id="rId1"/>
  <headerFooter alignWithMargins="0">
    <oddFooter>&amp;F</oddFooter>
  </headerFooter>
  <drawing r:id="rId2"/>
  <legacyDrawing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43"/>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971</v>
      </c>
    </row>
    <row r="2" spans="1:7" x14ac:dyDescent="0.25">
      <c r="A2" s="773" t="s">
        <v>923</v>
      </c>
    </row>
    <row r="4" spans="1:7" x14ac:dyDescent="0.25">
      <c r="A4" s="1" t="s">
        <v>242</v>
      </c>
      <c r="B4" s="1"/>
      <c r="C4" s="91"/>
      <c r="D4" s="1"/>
      <c r="E4" s="1"/>
      <c r="F4" s="1"/>
      <c r="G4" s="1"/>
    </row>
    <row r="5" spans="1:7" x14ac:dyDescent="0.25">
      <c r="A5" s="1" t="s">
        <v>282</v>
      </c>
      <c r="B5" s="1"/>
      <c r="C5" s="91"/>
      <c r="D5" s="1"/>
      <c r="E5" s="1"/>
      <c r="F5" s="1"/>
      <c r="G5" s="1"/>
    </row>
    <row r="6" spans="1:7" x14ac:dyDescent="0.25">
      <c r="A6" s="1" t="s">
        <v>278</v>
      </c>
      <c r="B6" s="1"/>
      <c r="C6" s="91"/>
      <c r="D6" s="1"/>
      <c r="E6" s="1"/>
      <c r="F6" s="1"/>
      <c r="G6" s="1"/>
    </row>
    <row r="7" spans="1:7" x14ac:dyDescent="0.25">
      <c r="A7" s="1"/>
      <c r="B7" s="1"/>
      <c r="C7" s="91"/>
      <c r="D7" s="1"/>
      <c r="E7" s="1"/>
      <c r="F7" s="1"/>
      <c r="G7" s="1"/>
    </row>
    <row r="8" spans="1:7" x14ac:dyDescent="0.25">
      <c r="A8" s="73" t="s">
        <v>244</v>
      </c>
      <c r="B8" s="73"/>
      <c r="C8" s="92"/>
      <c r="D8" s="93"/>
      <c r="E8" s="73" t="s">
        <v>245</v>
      </c>
      <c r="F8" s="73" t="s">
        <v>246</v>
      </c>
      <c r="G8" s="73" t="s">
        <v>247</v>
      </c>
    </row>
    <row r="9" spans="1:7" x14ac:dyDescent="0.25">
      <c r="A9" s="93" t="s">
        <v>248</v>
      </c>
      <c r="B9" s="73"/>
      <c r="C9" s="92" t="s">
        <v>249</v>
      </c>
      <c r="D9" s="93"/>
      <c r="E9" s="93" t="s">
        <v>250</v>
      </c>
      <c r="F9" s="93" t="s">
        <v>251</v>
      </c>
      <c r="G9" s="93" t="s">
        <v>252</v>
      </c>
    </row>
    <row r="10" spans="1:7" x14ac:dyDescent="0.25">
      <c r="A10" s="47"/>
      <c r="B10" s="47"/>
      <c r="C10" s="48"/>
      <c r="D10" s="47"/>
    </row>
    <row r="11" spans="1:7" x14ac:dyDescent="0.25">
      <c r="A11" t="s">
        <v>253</v>
      </c>
      <c r="C11" s="46">
        <v>103070211</v>
      </c>
      <c r="E11">
        <v>2</v>
      </c>
      <c r="F11" s="3">
        <f>+'Data Entry'!D29</f>
        <v>0.18</v>
      </c>
      <c r="G11" s="3">
        <f t="shared" ref="G11:G28" si="0">+E11*F11</f>
        <v>0.36</v>
      </c>
    </row>
    <row r="12" spans="1:7" x14ac:dyDescent="0.25">
      <c r="A12" t="s">
        <v>254</v>
      </c>
      <c r="C12" s="46">
        <v>110104001</v>
      </c>
      <c r="E12">
        <v>5</v>
      </c>
      <c r="F12" s="3">
        <f>+'Data Entry'!D30</f>
        <v>0.63</v>
      </c>
      <c r="G12" s="3">
        <f t="shared" si="0"/>
        <v>3.15</v>
      </c>
    </row>
    <row r="13" spans="1:7" x14ac:dyDescent="0.25">
      <c r="A13" t="s">
        <v>255</v>
      </c>
      <c r="C13" s="46">
        <v>112308003</v>
      </c>
      <c r="E13">
        <v>2</v>
      </c>
      <c r="F13" s="3">
        <f>+'Data Entry'!D31</f>
        <v>0.28999999999999998</v>
      </c>
      <c r="G13" s="3">
        <f t="shared" si="0"/>
        <v>0.57999999999999996</v>
      </c>
    </row>
    <row r="14" spans="1:7" x14ac:dyDescent="0.25">
      <c r="A14" t="s">
        <v>256</v>
      </c>
      <c r="C14" s="46">
        <v>120111001</v>
      </c>
      <c r="E14">
        <v>1</v>
      </c>
      <c r="F14" s="3">
        <f>+'Data Entry'!D35</f>
        <v>0.55000000000000004</v>
      </c>
      <c r="G14" s="3">
        <f t="shared" si="0"/>
        <v>0.55000000000000004</v>
      </c>
    </row>
    <row r="15" spans="1:7" x14ac:dyDescent="0.25">
      <c r="A15" t="s">
        <v>257</v>
      </c>
      <c r="C15" s="244">
        <v>140492000</v>
      </c>
      <c r="E15">
        <v>1</v>
      </c>
      <c r="F15" s="3">
        <f>+'Data Entry'!D38</f>
        <v>1.47</v>
      </c>
      <c r="G15" s="3">
        <f t="shared" si="0"/>
        <v>1.47</v>
      </c>
    </row>
    <row r="16" spans="1:7" x14ac:dyDescent="0.25">
      <c r="A16" t="s">
        <v>257</v>
      </c>
      <c r="C16" s="244">
        <v>140590001</v>
      </c>
      <c r="E16">
        <v>2</v>
      </c>
      <c r="F16" s="3">
        <f>+'Data Entry'!D40</f>
        <v>0.84</v>
      </c>
      <c r="G16" s="3">
        <f t="shared" si="0"/>
        <v>1.68</v>
      </c>
    </row>
    <row r="17" spans="1:7" x14ac:dyDescent="0.25">
      <c r="A17" t="s">
        <v>258</v>
      </c>
      <c r="C17" s="244">
        <v>142631007</v>
      </c>
      <c r="E17">
        <v>0.02</v>
      </c>
      <c r="F17" s="3">
        <f>+'Data Entry'!D42</f>
        <v>3.82</v>
      </c>
      <c r="G17" s="3">
        <f t="shared" si="0"/>
        <v>7.6399999999999996E-2</v>
      </c>
    </row>
    <row r="18" spans="1:7" x14ac:dyDescent="0.25">
      <c r="A18" t="s">
        <v>259</v>
      </c>
      <c r="C18" s="46">
        <v>144304003</v>
      </c>
      <c r="E18">
        <v>1</v>
      </c>
      <c r="F18" s="3">
        <f>+'Data Entry'!D43</f>
        <v>0.31</v>
      </c>
      <c r="G18" s="3">
        <f t="shared" si="0"/>
        <v>0.31</v>
      </c>
    </row>
    <row r="19" spans="1:7" x14ac:dyDescent="0.25">
      <c r="A19" t="s">
        <v>260</v>
      </c>
      <c r="C19" s="46">
        <v>145361001</v>
      </c>
      <c r="E19">
        <v>1</v>
      </c>
      <c r="F19" s="3">
        <f>+'Data Entry'!D47</f>
        <v>0.06</v>
      </c>
      <c r="G19" s="3">
        <f t="shared" si="0"/>
        <v>0.06</v>
      </c>
    </row>
    <row r="20" spans="1:7" x14ac:dyDescent="0.25">
      <c r="A20" t="s">
        <v>260</v>
      </c>
      <c r="C20" s="46">
        <v>145362007</v>
      </c>
      <c r="E20">
        <v>2</v>
      </c>
      <c r="F20" s="3">
        <f>+'Data Entry'!D48</f>
        <v>0.18</v>
      </c>
      <c r="G20" s="3">
        <f t="shared" si="0"/>
        <v>0.36</v>
      </c>
    </row>
    <row r="21" spans="1:7" x14ac:dyDescent="0.25">
      <c r="A21" t="s">
        <v>260</v>
      </c>
      <c r="C21" s="46">
        <v>145374005</v>
      </c>
      <c r="E21">
        <v>2</v>
      </c>
      <c r="F21" s="3">
        <f>+'Data Entry'!D49</f>
        <v>0.13</v>
      </c>
      <c r="G21" s="3">
        <f t="shared" si="0"/>
        <v>0.26</v>
      </c>
    </row>
    <row r="22" spans="1:7" x14ac:dyDescent="0.25">
      <c r="A22" t="s">
        <v>260</v>
      </c>
      <c r="C22" s="46">
        <v>145383004</v>
      </c>
      <c r="E22">
        <v>1</v>
      </c>
      <c r="F22" s="3">
        <f>+'Data Entry'!D50</f>
        <v>0.15</v>
      </c>
      <c r="G22" s="3">
        <f t="shared" si="0"/>
        <v>0.15</v>
      </c>
    </row>
    <row r="23" spans="1:7" x14ac:dyDescent="0.25">
      <c r="A23" t="s">
        <v>260</v>
      </c>
      <c r="C23" s="46">
        <v>145395002</v>
      </c>
      <c r="E23">
        <v>2</v>
      </c>
      <c r="F23" s="3">
        <f>+'Data Entry'!D51</f>
        <v>0.2</v>
      </c>
      <c r="G23" s="3">
        <f t="shared" si="0"/>
        <v>0.4</v>
      </c>
    </row>
    <row r="24" spans="1:7" x14ac:dyDescent="0.25">
      <c r="A24" t="s">
        <v>261</v>
      </c>
      <c r="C24" s="46">
        <v>170970023</v>
      </c>
      <c r="E24">
        <v>1</v>
      </c>
      <c r="F24" s="3">
        <f>+'Data Entry'!D97</f>
        <v>137.6</v>
      </c>
      <c r="G24" s="3">
        <f t="shared" si="0"/>
        <v>137.6</v>
      </c>
    </row>
    <row r="25" spans="1:7" x14ac:dyDescent="0.25">
      <c r="A25" t="s">
        <v>262</v>
      </c>
      <c r="C25" s="46">
        <v>171407021</v>
      </c>
      <c r="E25">
        <v>1</v>
      </c>
      <c r="F25" s="3">
        <f>+'Data Entry'!D105</f>
        <v>5.0999999999999996</v>
      </c>
      <c r="G25" s="3">
        <f t="shared" si="0"/>
        <v>5.0999999999999996</v>
      </c>
    </row>
    <row r="26" spans="1:7" x14ac:dyDescent="0.25">
      <c r="A26" t="s">
        <v>263</v>
      </c>
      <c r="C26" s="244">
        <v>172201019</v>
      </c>
      <c r="E26">
        <v>1</v>
      </c>
      <c r="F26" s="3">
        <f>+'Data Entry'!D110</f>
        <v>19.440000000000001</v>
      </c>
      <c r="G26" s="3">
        <f t="shared" si="0"/>
        <v>19.440000000000001</v>
      </c>
    </row>
    <row r="27" spans="1:7" x14ac:dyDescent="0.25">
      <c r="A27" t="s">
        <v>264</v>
      </c>
      <c r="C27" s="46">
        <v>174605001</v>
      </c>
      <c r="E27">
        <v>1</v>
      </c>
      <c r="F27" s="3">
        <f>+'Data Entry'!D113</f>
        <v>3.77</v>
      </c>
      <c r="G27" s="3">
        <f t="shared" si="0"/>
        <v>3.77</v>
      </c>
    </row>
    <row r="28" spans="1:7" x14ac:dyDescent="0.25">
      <c r="A28" t="s">
        <v>265</v>
      </c>
      <c r="C28" s="46">
        <v>548800008</v>
      </c>
      <c r="E28">
        <v>1</v>
      </c>
      <c r="F28" s="3">
        <f>+'Data Entry'!D119</f>
        <v>1.35</v>
      </c>
      <c r="G28" s="51">
        <f t="shared" si="0"/>
        <v>1.35</v>
      </c>
    </row>
    <row r="29" spans="1:7" x14ac:dyDescent="0.25">
      <c r="F29" s="3"/>
      <c r="G29" s="3">
        <f>SUM(G11:G28)</f>
        <v>176.66639999999998</v>
      </c>
    </row>
    <row r="30" spans="1:7" ht="21" x14ac:dyDescent="0.4">
      <c r="B30" s="1" t="s">
        <v>266</v>
      </c>
      <c r="C30" s="53" t="s">
        <v>267</v>
      </c>
      <c r="D30" s="54" t="s">
        <v>268</v>
      </c>
      <c r="E30" s="1"/>
      <c r="F30" s="55" t="s">
        <v>269</v>
      </c>
      <c r="G30" s="1" t="s">
        <v>247</v>
      </c>
    </row>
    <row r="31" spans="1:7" x14ac:dyDescent="0.25">
      <c r="B31" s="32" t="s">
        <v>252</v>
      </c>
      <c r="C31" s="71" t="s">
        <v>270</v>
      </c>
      <c r="D31" s="32" t="s">
        <v>271</v>
      </c>
      <c r="E31" s="1"/>
      <c r="F31" s="1"/>
      <c r="G31" s="32" t="s">
        <v>272</v>
      </c>
    </row>
    <row r="32" spans="1:7" x14ac:dyDescent="0.25">
      <c r="B32" s="3">
        <f>+G29</f>
        <v>176.66639999999998</v>
      </c>
      <c r="C32" s="3">
        <f>+B32*(+'Data Entry'!C21)</f>
        <v>10.599983999999999</v>
      </c>
      <c r="D32" s="3">
        <f>+B32*(+'Data Entry'!C16)</f>
        <v>10.493984159999998</v>
      </c>
      <c r="G32" s="3">
        <f>SUM(B32:F32)</f>
        <v>197.76036815999998</v>
      </c>
    </row>
    <row r="33" spans="2:7" x14ac:dyDescent="0.25">
      <c r="C33"/>
    </row>
    <row r="34" spans="2:7" x14ac:dyDescent="0.25">
      <c r="F34" s="3"/>
      <c r="G34" s="3"/>
    </row>
    <row r="35" spans="2:7" x14ac:dyDescent="0.25">
      <c r="F35" s="3"/>
      <c r="G35" s="3"/>
    </row>
    <row r="36" spans="2:7" x14ac:dyDescent="0.25">
      <c r="F36" s="3"/>
      <c r="G36" s="3"/>
    </row>
    <row r="37" spans="2:7" x14ac:dyDescent="0.25">
      <c r="F37" s="3"/>
      <c r="G37" s="3"/>
    </row>
    <row r="38" spans="2:7" x14ac:dyDescent="0.25">
      <c r="G38" s="52"/>
    </row>
    <row r="40" spans="2:7" ht="21" x14ac:dyDescent="0.4">
      <c r="B40" s="1"/>
      <c r="C40" s="53"/>
      <c r="D40" s="54"/>
      <c r="E40" s="1"/>
      <c r="F40" s="55"/>
      <c r="G40" s="1"/>
    </row>
    <row r="41" spans="2:7" x14ac:dyDescent="0.25">
      <c r="B41" s="32"/>
      <c r="C41" s="49"/>
      <c r="D41" s="50"/>
      <c r="E41" s="1"/>
      <c r="F41" s="1"/>
      <c r="G41" s="32"/>
    </row>
    <row r="43" spans="2:7" x14ac:dyDescent="0.25">
      <c r="B43" s="3"/>
      <c r="C43" s="3"/>
      <c r="D43" s="3"/>
      <c r="G43" s="3"/>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3"/>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972</v>
      </c>
    </row>
    <row r="2" spans="1:7" x14ac:dyDescent="0.25">
      <c r="A2" s="773" t="s">
        <v>923</v>
      </c>
    </row>
    <row r="4" spans="1:7" x14ac:dyDescent="0.25">
      <c r="A4" s="1" t="s">
        <v>242</v>
      </c>
      <c r="B4" s="1"/>
      <c r="C4" s="91"/>
      <c r="D4" s="1"/>
      <c r="E4" s="1"/>
      <c r="F4" s="1"/>
      <c r="G4" s="1"/>
    </row>
    <row r="5" spans="1:7" x14ac:dyDescent="0.25">
      <c r="A5" s="1" t="s">
        <v>283</v>
      </c>
      <c r="B5" s="1"/>
      <c r="C5" s="91"/>
      <c r="D5" s="1"/>
      <c r="E5" s="1"/>
      <c r="F5" s="1"/>
      <c r="G5" s="1"/>
    </row>
    <row r="6" spans="1:7" x14ac:dyDescent="0.25">
      <c r="A6" s="1" t="s">
        <v>273</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27" si="0">+E12*F12</f>
        <v>0.36</v>
      </c>
    </row>
    <row r="13" spans="1:7" x14ac:dyDescent="0.25">
      <c r="A13" t="s">
        <v>254</v>
      </c>
      <c r="C13" s="46">
        <v>110104001</v>
      </c>
      <c r="E13">
        <v>11</v>
      </c>
      <c r="F13" s="3">
        <f>+'Data Entry'!D30</f>
        <v>0.63</v>
      </c>
      <c r="G13" s="3">
        <f t="shared" si="0"/>
        <v>6.93</v>
      </c>
    </row>
    <row r="14" spans="1:7" x14ac:dyDescent="0.25">
      <c r="A14" t="s">
        <v>255</v>
      </c>
      <c r="C14" s="46">
        <v>112308003</v>
      </c>
      <c r="E14">
        <v>2</v>
      </c>
      <c r="F14" s="3">
        <f>+'Data Entry'!D31</f>
        <v>0.28999999999999998</v>
      </c>
      <c r="G14" s="3">
        <f t="shared" si="0"/>
        <v>0.57999999999999996</v>
      </c>
    </row>
    <row r="15" spans="1:7" x14ac:dyDescent="0.25">
      <c r="A15" t="s">
        <v>256</v>
      </c>
      <c r="C15" s="46">
        <v>120111001</v>
      </c>
      <c r="E15">
        <v>1</v>
      </c>
      <c r="F15" s="3">
        <f>+'Data Entry'!D35</f>
        <v>0.55000000000000004</v>
      </c>
      <c r="G15" s="3">
        <f t="shared" si="0"/>
        <v>0.55000000000000004</v>
      </c>
    </row>
    <row r="16" spans="1:7" x14ac:dyDescent="0.25">
      <c r="A16" t="s">
        <v>257</v>
      </c>
      <c r="C16" s="46">
        <v>140590001</v>
      </c>
      <c r="E16">
        <v>2</v>
      </c>
      <c r="F16" s="3">
        <f>+'Data Entry'!D40</f>
        <v>0.84</v>
      </c>
      <c r="G16" s="3">
        <f t="shared" si="0"/>
        <v>1.68</v>
      </c>
    </row>
    <row r="17" spans="1:7" x14ac:dyDescent="0.25">
      <c r="A17" t="s">
        <v>258</v>
      </c>
      <c r="C17" s="244">
        <v>142631007</v>
      </c>
      <c r="E17">
        <v>0.02</v>
      </c>
      <c r="F17" s="3">
        <f>+'Data Entry'!D42</f>
        <v>3.82</v>
      </c>
      <c r="G17" s="3">
        <f t="shared" si="0"/>
        <v>7.6399999999999996E-2</v>
      </c>
    </row>
    <row r="18" spans="1:7" x14ac:dyDescent="0.25">
      <c r="A18" t="s">
        <v>259</v>
      </c>
      <c r="C18" s="46">
        <v>144304003</v>
      </c>
      <c r="E18">
        <v>1</v>
      </c>
      <c r="F18" s="3">
        <f>+'Data Entry'!D43</f>
        <v>0.31</v>
      </c>
      <c r="G18" s="3">
        <f t="shared" si="0"/>
        <v>0.31</v>
      </c>
    </row>
    <row r="19" spans="1:7" x14ac:dyDescent="0.25">
      <c r="A19" t="s">
        <v>260</v>
      </c>
      <c r="C19" s="46">
        <v>145360004</v>
      </c>
      <c r="E19">
        <v>2</v>
      </c>
      <c r="F19" s="3">
        <f>+'Data Entry'!D46</f>
        <v>0.12</v>
      </c>
      <c r="G19" s="3">
        <f t="shared" si="0"/>
        <v>0.24</v>
      </c>
    </row>
    <row r="20" spans="1:7" x14ac:dyDescent="0.25">
      <c r="A20" t="s">
        <v>260</v>
      </c>
      <c r="C20" s="46">
        <v>145361001</v>
      </c>
      <c r="E20">
        <v>1</v>
      </c>
      <c r="F20" s="3">
        <f>+'Data Entry'!D47</f>
        <v>0.06</v>
      </c>
      <c r="G20" s="3">
        <f t="shared" si="0"/>
        <v>0.06</v>
      </c>
    </row>
    <row r="21" spans="1:7" x14ac:dyDescent="0.25">
      <c r="A21" t="s">
        <v>260</v>
      </c>
      <c r="C21" s="46">
        <v>145374005</v>
      </c>
      <c r="E21">
        <v>2</v>
      </c>
      <c r="F21" s="3">
        <f>+'Data Entry'!D49</f>
        <v>0.13</v>
      </c>
      <c r="G21" s="3">
        <f t="shared" si="0"/>
        <v>0.26</v>
      </c>
    </row>
    <row r="22" spans="1:7" x14ac:dyDescent="0.25">
      <c r="A22" t="s">
        <v>260</v>
      </c>
      <c r="C22" s="46">
        <v>145395002</v>
      </c>
      <c r="E22">
        <v>2</v>
      </c>
      <c r="F22" s="3">
        <f>+'Data Entry'!D51</f>
        <v>0.2</v>
      </c>
      <c r="G22" s="3">
        <f t="shared" si="0"/>
        <v>0.4</v>
      </c>
    </row>
    <row r="23" spans="1:7" x14ac:dyDescent="0.25">
      <c r="A23" t="s">
        <v>261</v>
      </c>
      <c r="C23" s="46">
        <v>170920000</v>
      </c>
      <c r="E23">
        <v>1</v>
      </c>
      <c r="F23" s="3">
        <f>+'Data Entry'!D86</f>
        <v>125.08</v>
      </c>
      <c r="G23" s="3">
        <f t="shared" si="0"/>
        <v>125.08</v>
      </c>
    </row>
    <row r="24" spans="1:7" x14ac:dyDescent="0.25">
      <c r="A24" t="s">
        <v>262</v>
      </c>
      <c r="C24" s="46">
        <v>171402002</v>
      </c>
      <c r="E24">
        <v>1</v>
      </c>
      <c r="F24" s="3">
        <f>+'Data Entry'!D100</f>
        <v>6.11</v>
      </c>
      <c r="G24" s="3">
        <f t="shared" si="0"/>
        <v>6.11</v>
      </c>
    </row>
    <row r="25" spans="1:7" x14ac:dyDescent="0.25">
      <c r="A25" t="s">
        <v>263</v>
      </c>
      <c r="C25" s="46">
        <v>172257006</v>
      </c>
      <c r="E25">
        <v>1</v>
      </c>
      <c r="F25" s="3">
        <f>+'Data Entry'!D112</f>
        <v>101.47</v>
      </c>
      <c r="G25" s="3">
        <f t="shared" si="0"/>
        <v>101.47</v>
      </c>
    </row>
    <row r="26" spans="1:7" x14ac:dyDescent="0.25">
      <c r="A26" t="s">
        <v>264</v>
      </c>
      <c r="C26" s="46">
        <v>174605001</v>
      </c>
      <c r="E26">
        <v>1</v>
      </c>
      <c r="F26" s="3">
        <f>+'Data Entry'!D113</f>
        <v>3.77</v>
      </c>
      <c r="G26" s="3">
        <f t="shared" si="0"/>
        <v>3.77</v>
      </c>
    </row>
    <row r="27" spans="1:7" x14ac:dyDescent="0.25">
      <c r="A27" t="s">
        <v>265</v>
      </c>
      <c r="C27" s="46">
        <v>548800008</v>
      </c>
      <c r="E27">
        <v>1</v>
      </c>
      <c r="F27" s="3">
        <f>+'Data Entry'!D119</f>
        <v>1.35</v>
      </c>
      <c r="G27" s="51">
        <f t="shared" si="0"/>
        <v>1.35</v>
      </c>
    </row>
    <row r="28" spans="1:7" x14ac:dyDescent="0.25">
      <c r="G28" s="52">
        <f>SUM(G12:G27)</f>
        <v>249.22640000000001</v>
      </c>
    </row>
    <row r="30" spans="1:7" ht="21" x14ac:dyDescent="0.4">
      <c r="B30" s="1" t="s">
        <v>266</v>
      </c>
      <c r="C30" s="53" t="s">
        <v>267</v>
      </c>
      <c r="D30" s="54" t="s">
        <v>268</v>
      </c>
      <c r="E30" s="1"/>
      <c r="F30" s="55" t="s">
        <v>269</v>
      </c>
      <c r="G30" s="1" t="s">
        <v>247</v>
      </c>
    </row>
    <row r="31" spans="1:7" x14ac:dyDescent="0.25">
      <c r="B31" s="32" t="s">
        <v>252</v>
      </c>
      <c r="C31" s="71" t="s">
        <v>270</v>
      </c>
      <c r="D31" s="32" t="s">
        <v>271</v>
      </c>
      <c r="E31" s="1"/>
      <c r="F31" s="1"/>
      <c r="G31" s="32" t="s">
        <v>272</v>
      </c>
    </row>
    <row r="32" spans="1:7" x14ac:dyDescent="0.25">
      <c r="B32" s="3">
        <f>+G28</f>
        <v>249.22640000000001</v>
      </c>
      <c r="C32" s="3">
        <f>+B32*(+'Data Entry'!C21)</f>
        <v>14.953583999999999</v>
      </c>
      <c r="D32" s="3">
        <f>+B32*(+'Data Entry'!C16)</f>
        <v>14.804048160000001</v>
      </c>
      <c r="G32" s="3">
        <f>SUM(B32:F32)</f>
        <v>278.98403215999997</v>
      </c>
    </row>
    <row r="33" spans="3:3" x14ac:dyDescent="0.25">
      <c r="C33"/>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22"/>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973</v>
      </c>
    </row>
    <row r="2" spans="1:7" x14ac:dyDescent="0.25">
      <c r="A2" s="773" t="s">
        <v>923</v>
      </c>
    </row>
    <row r="4" spans="1:7" x14ac:dyDescent="0.25">
      <c r="A4" s="1" t="s">
        <v>242</v>
      </c>
      <c r="B4" s="1"/>
      <c r="C4" s="91"/>
      <c r="D4" s="1"/>
      <c r="E4" s="1"/>
      <c r="F4" s="1"/>
      <c r="G4" s="1"/>
    </row>
    <row r="5" spans="1:7" x14ac:dyDescent="0.25">
      <c r="A5" s="1" t="s">
        <v>283</v>
      </c>
      <c r="B5" s="1"/>
      <c r="C5" s="91"/>
      <c r="D5" s="1"/>
      <c r="E5" s="1"/>
      <c r="F5" s="1"/>
      <c r="G5" s="1"/>
    </row>
    <row r="6" spans="1:7" x14ac:dyDescent="0.25">
      <c r="A6" s="1" t="s">
        <v>275</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261</v>
      </c>
      <c r="C12" s="46">
        <v>170942003</v>
      </c>
      <c r="E12">
        <v>1</v>
      </c>
      <c r="F12" s="3">
        <f>+'Data Entry'!D94</f>
        <v>177.25</v>
      </c>
      <c r="G12" s="3">
        <f>+E12*F12</f>
        <v>177.25</v>
      </c>
    </row>
    <row r="13" spans="1:7" x14ac:dyDescent="0.25">
      <c r="A13" t="s">
        <v>262</v>
      </c>
      <c r="C13" s="46">
        <v>171402002</v>
      </c>
      <c r="E13">
        <v>1</v>
      </c>
      <c r="F13" s="3">
        <f>+'Data Entry'!D100</f>
        <v>6.11</v>
      </c>
      <c r="G13" s="3">
        <f>+E13*F13</f>
        <v>6.11</v>
      </c>
    </row>
    <row r="14" spans="1:7" x14ac:dyDescent="0.25">
      <c r="A14" t="s">
        <v>264</v>
      </c>
      <c r="C14" s="46">
        <v>174605001</v>
      </c>
      <c r="E14">
        <v>1</v>
      </c>
      <c r="F14" s="3">
        <f>+'Data Entry'!D113</f>
        <v>3.77</v>
      </c>
      <c r="G14" s="3">
        <f>+E14*F14</f>
        <v>3.77</v>
      </c>
    </row>
    <row r="15" spans="1:7" x14ac:dyDescent="0.25">
      <c r="A15" t="s">
        <v>276</v>
      </c>
      <c r="C15" s="46">
        <v>522120000</v>
      </c>
      <c r="E15">
        <v>0.05</v>
      </c>
      <c r="F15" s="3">
        <f>+'Data Entry'!D117</f>
        <v>1.51</v>
      </c>
      <c r="G15" s="3">
        <f>+E15*F15</f>
        <v>7.5500000000000012E-2</v>
      </c>
    </row>
    <row r="16" spans="1:7" x14ac:dyDescent="0.25">
      <c r="A16" t="s">
        <v>265</v>
      </c>
      <c r="C16" s="46">
        <v>548800008</v>
      </c>
      <c r="E16">
        <v>1</v>
      </c>
      <c r="F16" s="3">
        <f>+'Data Entry'!D119</f>
        <v>1.35</v>
      </c>
      <c r="G16" s="3">
        <f>+E16*F16</f>
        <v>1.35</v>
      </c>
    </row>
    <row r="17" spans="2:7" x14ac:dyDescent="0.25">
      <c r="G17" s="52">
        <f>SUM(G12:G16)</f>
        <v>188.55550000000002</v>
      </c>
    </row>
    <row r="19" spans="2:7" ht="21" x14ac:dyDescent="0.4">
      <c r="B19" s="1" t="s">
        <v>266</v>
      </c>
      <c r="C19" s="53" t="s">
        <v>267</v>
      </c>
      <c r="D19" s="54" t="s">
        <v>268</v>
      </c>
      <c r="E19" s="1"/>
      <c r="F19" s="55" t="s">
        <v>269</v>
      </c>
      <c r="G19" s="1" t="s">
        <v>247</v>
      </c>
    </row>
    <row r="20" spans="2:7" x14ac:dyDescent="0.25">
      <c r="B20" s="32" t="s">
        <v>252</v>
      </c>
      <c r="C20" s="71" t="s">
        <v>270</v>
      </c>
      <c r="D20" s="32" t="s">
        <v>271</v>
      </c>
      <c r="E20" s="1"/>
      <c r="F20" s="1"/>
      <c r="G20" s="32" t="s">
        <v>272</v>
      </c>
    </row>
    <row r="21" spans="2:7" x14ac:dyDescent="0.25">
      <c r="B21" s="3">
        <f>+G17</f>
        <v>188.55550000000002</v>
      </c>
      <c r="C21" s="3">
        <f>+B21*(+'Data Entry'!C21)</f>
        <v>11.313330000000001</v>
      </c>
      <c r="D21" s="3">
        <f>+B21*(+'Data Entry'!C16)</f>
        <v>11.200196700000001</v>
      </c>
      <c r="G21" s="3">
        <f>SUM(B21:F21)</f>
        <v>211.06902670000002</v>
      </c>
    </row>
    <row r="22" spans="2:7" x14ac:dyDescent="0.25">
      <c r="C22"/>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3"/>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974</v>
      </c>
    </row>
    <row r="2" spans="1:7" x14ac:dyDescent="0.25">
      <c r="A2" s="773" t="s">
        <v>923</v>
      </c>
    </row>
    <row r="4" spans="1:7" ht="11.4" customHeight="1" x14ac:dyDescent="0.25">
      <c r="A4" s="1" t="s">
        <v>242</v>
      </c>
      <c r="B4" s="1"/>
      <c r="C4" s="91"/>
      <c r="D4" s="1"/>
      <c r="E4" s="1"/>
      <c r="F4" s="1"/>
      <c r="G4" s="1"/>
    </row>
    <row r="5" spans="1:7" x14ac:dyDescent="0.25">
      <c r="A5" s="1" t="s">
        <v>284</v>
      </c>
      <c r="B5" s="1"/>
      <c r="C5" s="91"/>
      <c r="D5" s="1"/>
      <c r="E5" s="1"/>
      <c r="F5" s="1"/>
      <c r="G5" s="1"/>
    </row>
    <row r="6" spans="1:7" x14ac:dyDescent="0.25">
      <c r="A6" s="1" t="s">
        <v>273</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27" si="0">+E12*F12</f>
        <v>0.36</v>
      </c>
    </row>
    <row r="13" spans="1:7" x14ac:dyDescent="0.25">
      <c r="A13" t="s">
        <v>254</v>
      </c>
      <c r="C13" s="46">
        <v>110104001</v>
      </c>
      <c r="E13">
        <v>11</v>
      </c>
      <c r="F13" s="3">
        <f>+'Data Entry'!D30</f>
        <v>0.63</v>
      </c>
      <c r="G13" s="3">
        <f t="shared" si="0"/>
        <v>6.93</v>
      </c>
    </row>
    <row r="14" spans="1:7" x14ac:dyDescent="0.25">
      <c r="A14" t="s">
        <v>255</v>
      </c>
      <c r="C14" s="46">
        <v>112308003</v>
      </c>
      <c r="E14">
        <v>2</v>
      </c>
      <c r="F14" s="3">
        <f>+'Data Entry'!D31</f>
        <v>0.28999999999999998</v>
      </c>
      <c r="G14" s="3">
        <f t="shared" si="0"/>
        <v>0.57999999999999996</v>
      </c>
    </row>
    <row r="15" spans="1:7" x14ac:dyDescent="0.25">
      <c r="A15" t="s">
        <v>256</v>
      </c>
      <c r="C15" s="46">
        <v>120111001</v>
      </c>
      <c r="E15">
        <v>1</v>
      </c>
      <c r="F15" s="3">
        <f>+'Data Entry'!D35</f>
        <v>0.55000000000000004</v>
      </c>
      <c r="G15" s="3">
        <f t="shared" si="0"/>
        <v>0.55000000000000004</v>
      </c>
    </row>
    <row r="16" spans="1:7" x14ac:dyDescent="0.25">
      <c r="A16" t="s">
        <v>257</v>
      </c>
      <c r="C16" s="46">
        <v>140590001</v>
      </c>
      <c r="E16">
        <v>2</v>
      </c>
      <c r="F16" s="3">
        <f>+'Data Entry'!D40</f>
        <v>0.84</v>
      </c>
      <c r="G16" s="3">
        <f t="shared" si="0"/>
        <v>1.68</v>
      </c>
    </row>
    <row r="17" spans="1:7" x14ac:dyDescent="0.25">
      <c r="A17" t="s">
        <v>258</v>
      </c>
      <c r="C17" s="244">
        <v>142631007</v>
      </c>
      <c r="E17">
        <v>0.02</v>
      </c>
      <c r="F17" s="3">
        <f>+'Data Entry'!D42</f>
        <v>3.82</v>
      </c>
      <c r="G17" s="3">
        <f t="shared" si="0"/>
        <v>7.6399999999999996E-2</v>
      </c>
    </row>
    <row r="18" spans="1:7" x14ac:dyDescent="0.25">
      <c r="A18" t="s">
        <v>259</v>
      </c>
      <c r="C18" s="46">
        <v>144304003</v>
      </c>
      <c r="E18">
        <v>1</v>
      </c>
      <c r="F18" s="3">
        <f>+'Data Entry'!D43</f>
        <v>0.31</v>
      </c>
      <c r="G18" s="3">
        <f t="shared" si="0"/>
        <v>0.31</v>
      </c>
    </row>
    <row r="19" spans="1:7" x14ac:dyDescent="0.25">
      <c r="A19" t="s">
        <v>260</v>
      </c>
      <c r="C19" s="46">
        <v>145360004</v>
      </c>
      <c r="E19">
        <v>2</v>
      </c>
      <c r="F19" s="3">
        <f>+'Data Entry'!D46</f>
        <v>0.12</v>
      </c>
      <c r="G19" s="3">
        <f t="shared" si="0"/>
        <v>0.24</v>
      </c>
    </row>
    <row r="20" spans="1:7" x14ac:dyDescent="0.25">
      <c r="A20" t="s">
        <v>260</v>
      </c>
      <c r="C20" s="46">
        <v>145361001</v>
      </c>
      <c r="E20">
        <v>1</v>
      </c>
      <c r="F20" s="3">
        <f>+'Data Entry'!D47</f>
        <v>0.06</v>
      </c>
      <c r="G20" s="3">
        <f t="shared" si="0"/>
        <v>0.06</v>
      </c>
    </row>
    <row r="21" spans="1:7" x14ac:dyDescent="0.25">
      <c r="A21" t="s">
        <v>260</v>
      </c>
      <c r="C21" s="46">
        <v>145374005</v>
      </c>
      <c r="E21">
        <v>2</v>
      </c>
      <c r="F21" s="3">
        <f>+'Data Entry'!D49</f>
        <v>0.13</v>
      </c>
      <c r="G21" s="3">
        <f t="shared" si="0"/>
        <v>0.26</v>
      </c>
    </row>
    <row r="22" spans="1:7" x14ac:dyDescent="0.25">
      <c r="A22" t="s">
        <v>260</v>
      </c>
      <c r="C22" s="46">
        <v>145395002</v>
      </c>
      <c r="E22">
        <v>2</v>
      </c>
      <c r="F22" s="3">
        <f>+'Data Entry'!D51</f>
        <v>0.2</v>
      </c>
      <c r="G22" s="3">
        <f t="shared" si="0"/>
        <v>0.4</v>
      </c>
    </row>
    <row r="23" spans="1:7" x14ac:dyDescent="0.25">
      <c r="A23" t="s">
        <v>261</v>
      </c>
      <c r="C23" s="46">
        <v>170900009</v>
      </c>
      <c r="E23">
        <v>1</v>
      </c>
      <c r="F23" s="3">
        <f>+'Data Entry'!D84</f>
        <v>109.49</v>
      </c>
      <c r="G23" s="3">
        <f t="shared" si="0"/>
        <v>109.49</v>
      </c>
    </row>
    <row r="24" spans="1:7" x14ac:dyDescent="0.25">
      <c r="A24" t="s">
        <v>262</v>
      </c>
      <c r="C24" s="46">
        <v>171404005</v>
      </c>
      <c r="E24">
        <v>1</v>
      </c>
      <c r="F24" s="3">
        <f>+'Data Entry'!D101</f>
        <v>5.3</v>
      </c>
      <c r="G24" s="3">
        <f t="shared" si="0"/>
        <v>5.3</v>
      </c>
    </row>
    <row r="25" spans="1:7" x14ac:dyDescent="0.25">
      <c r="A25" t="s">
        <v>263</v>
      </c>
      <c r="C25" s="46">
        <v>172257006</v>
      </c>
      <c r="E25">
        <v>1</v>
      </c>
      <c r="F25" s="3">
        <f>+'Data Entry'!D112</f>
        <v>101.47</v>
      </c>
      <c r="G25" s="3">
        <f t="shared" si="0"/>
        <v>101.47</v>
      </c>
    </row>
    <row r="26" spans="1:7" x14ac:dyDescent="0.25">
      <c r="A26" t="s">
        <v>264</v>
      </c>
      <c r="C26" s="46">
        <v>174605001</v>
      </c>
      <c r="E26">
        <v>1</v>
      </c>
      <c r="F26" s="3">
        <f>+'Data Entry'!D113</f>
        <v>3.77</v>
      </c>
      <c r="G26" s="3">
        <f t="shared" si="0"/>
        <v>3.77</v>
      </c>
    </row>
    <row r="27" spans="1:7" x14ac:dyDescent="0.25">
      <c r="A27" t="s">
        <v>265</v>
      </c>
      <c r="C27" s="46">
        <v>548800008</v>
      </c>
      <c r="E27">
        <v>1</v>
      </c>
      <c r="F27" s="3">
        <f>+'Data Entry'!D119</f>
        <v>1.35</v>
      </c>
      <c r="G27" s="51">
        <f t="shared" si="0"/>
        <v>1.35</v>
      </c>
    </row>
    <row r="28" spans="1:7" x14ac:dyDescent="0.25">
      <c r="G28" s="52">
        <f>SUM(G12:G27)</f>
        <v>232.82639999999998</v>
      </c>
    </row>
    <row r="30" spans="1:7" ht="21" x14ac:dyDescent="0.4">
      <c r="B30" s="1" t="s">
        <v>266</v>
      </c>
      <c r="C30" s="53" t="s">
        <v>267</v>
      </c>
      <c r="D30" s="54" t="s">
        <v>268</v>
      </c>
      <c r="E30" s="1"/>
      <c r="F30" s="55" t="s">
        <v>269</v>
      </c>
      <c r="G30" s="1" t="s">
        <v>247</v>
      </c>
    </row>
    <row r="31" spans="1:7" x14ac:dyDescent="0.25">
      <c r="B31" s="32" t="s">
        <v>252</v>
      </c>
      <c r="C31" s="71" t="s">
        <v>270</v>
      </c>
      <c r="D31" s="32" t="s">
        <v>271</v>
      </c>
      <c r="E31" s="1"/>
      <c r="F31" s="1"/>
      <c r="G31" s="32" t="s">
        <v>272</v>
      </c>
    </row>
    <row r="32" spans="1:7" x14ac:dyDescent="0.25">
      <c r="B32" s="3">
        <f>+G28</f>
        <v>232.82639999999998</v>
      </c>
      <c r="C32" s="3">
        <f>+B32*(+'Data Entry'!C21)</f>
        <v>13.969583999999998</v>
      </c>
      <c r="D32" s="3">
        <f>+B32*(+'Data Entry'!C16)</f>
        <v>13.829888159999999</v>
      </c>
      <c r="G32" s="3">
        <f>SUM(B32:F32)</f>
        <v>260.62587215999997</v>
      </c>
    </row>
    <row r="33" spans="3:3" x14ac:dyDescent="0.25">
      <c r="C33"/>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3"/>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975</v>
      </c>
    </row>
    <row r="2" spans="1:7" x14ac:dyDescent="0.25">
      <c r="A2" s="773" t="s">
        <v>923</v>
      </c>
    </row>
    <row r="4" spans="1:7" x14ac:dyDescent="0.25">
      <c r="A4" s="1" t="s">
        <v>242</v>
      </c>
      <c r="B4" s="1"/>
      <c r="C4" s="91"/>
      <c r="D4" s="1"/>
      <c r="E4" s="1"/>
      <c r="F4" s="1"/>
      <c r="G4" s="1"/>
    </row>
    <row r="5" spans="1:7" x14ac:dyDescent="0.25">
      <c r="A5" s="1" t="s">
        <v>284</v>
      </c>
      <c r="B5" s="1"/>
      <c r="C5" s="91"/>
      <c r="D5" s="1"/>
      <c r="E5" s="1"/>
      <c r="F5" s="1"/>
      <c r="G5" s="1"/>
    </row>
    <row r="6" spans="1:7" x14ac:dyDescent="0.25">
      <c r="A6" s="1" t="s">
        <v>274</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27" si="0">+E12*F12</f>
        <v>0.36</v>
      </c>
    </row>
    <row r="13" spans="1:7" x14ac:dyDescent="0.25">
      <c r="A13" t="s">
        <v>254</v>
      </c>
      <c r="C13" s="46">
        <v>110104001</v>
      </c>
      <c r="E13">
        <v>11</v>
      </c>
      <c r="F13" s="3">
        <f>+'Data Entry'!D30</f>
        <v>0.63</v>
      </c>
      <c r="G13" s="3">
        <f t="shared" si="0"/>
        <v>6.93</v>
      </c>
    </row>
    <row r="14" spans="1:7" x14ac:dyDescent="0.25">
      <c r="A14" t="s">
        <v>255</v>
      </c>
      <c r="C14" s="46">
        <v>112308003</v>
      </c>
      <c r="E14">
        <v>2</v>
      </c>
      <c r="F14" s="3">
        <f>+'Data Entry'!D31</f>
        <v>0.28999999999999998</v>
      </c>
      <c r="G14" s="3">
        <f t="shared" si="0"/>
        <v>0.57999999999999996</v>
      </c>
    </row>
    <row r="15" spans="1:7" x14ac:dyDescent="0.25">
      <c r="A15" t="s">
        <v>256</v>
      </c>
      <c r="C15" s="46">
        <v>120111001</v>
      </c>
      <c r="E15">
        <v>1</v>
      </c>
      <c r="F15" s="3">
        <f>+'Data Entry'!D35</f>
        <v>0.55000000000000004</v>
      </c>
      <c r="G15" s="3">
        <f t="shared" si="0"/>
        <v>0.55000000000000004</v>
      </c>
    </row>
    <row r="16" spans="1:7" x14ac:dyDescent="0.25">
      <c r="A16" t="s">
        <v>257</v>
      </c>
      <c r="C16" s="46">
        <v>140590001</v>
      </c>
      <c r="E16">
        <v>2</v>
      </c>
      <c r="F16" s="3">
        <f>+'Data Entry'!D40</f>
        <v>0.84</v>
      </c>
      <c r="G16" s="3">
        <f t="shared" si="0"/>
        <v>1.68</v>
      </c>
    </row>
    <row r="17" spans="1:7" x14ac:dyDescent="0.25">
      <c r="A17" t="s">
        <v>258</v>
      </c>
      <c r="C17" s="244">
        <v>142631007</v>
      </c>
      <c r="E17">
        <v>0.02</v>
      </c>
      <c r="F17" s="3">
        <f>+'Data Entry'!D42</f>
        <v>3.82</v>
      </c>
      <c r="G17" s="3">
        <f t="shared" si="0"/>
        <v>7.6399999999999996E-2</v>
      </c>
    </row>
    <row r="18" spans="1:7" x14ac:dyDescent="0.25">
      <c r="A18" t="s">
        <v>259</v>
      </c>
      <c r="C18" s="46">
        <v>144304003</v>
      </c>
      <c r="E18">
        <v>1</v>
      </c>
      <c r="F18" s="3">
        <f>+'Data Entry'!D43</f>
        <v>0.31</v>
      </c>
      <c r="G18" s="3">
        <f t="shared" si="0"/>
        <v>0.31</v>
      </c>
    </row>
    <row r="19" spans="1:7" x14ac:dyDescent="0.25">
      <c r="A19" t="s">
        <v>260</v>
      </c>
      <c r="C19" s="46">
        <v>145360004</v>
      </c>
      <c r="E19">
        <v>2</v>
      </c>
      <c r="F19" s="3">
        <f>+'Data Entry'!D46</f>
        <v>0.12</v>
      </c>
      <c r="G19" s="3">
        <f t="shared" si="0"/>
        <v>0.24</v>
      </c>
    </row>
    <row r="20" spans="1:7" x14ac:dyDescent="0.25">
      <c r="A20" t="s">
        <v>260</v>
      </c>
      <c r="C20" s="46">
        <v>145361001</v>
      </c>
      <c r="E20">
        <v>1</v>
      </c>
      <c r="F20" s="3">
        <f>+'Data Entry'!D47</f>
        <v>0.06</v>
      </c>
      <c r="G20" s="3">
        <f t="shared" si="0"/>
        <v>0.06</v>
      </c>
    </row>
    <row r="21" spans="1:7" x14ac:dyDescent="0.25">
      <c r="A21" t="s">
        <v>260</v>
      </c>
      <c r="C21" s="46">
        <v>145374005</v>
      </c>
      <c r="E21">
        <v>2</v>
      </c>
      <c r="F21" s="3">
        <f>+'Data Entry'!D49</f>
        <v>0.13</v>
      </c>
      <c r="G21" s="3">
        <f t="shared" si="0"/>
        <v>0.26</v>
      </c>
    </row>
    <row r="22" spans="1:7" x14ac:dyDescent="0.25">
      <c r="A22" t="s">
        <v>260</v>
      </c>
      <c r="C22" s="46">
        <v>145395002</v>
      </c>
      <c r="E22">
        <v>2</v>
      </c>
      <c r="F22" s="3">
        <f>+'Data Entry'!D51</f>
        <v>0.2</v>
      </c>
      <c r="G22" s="3">
        <f t="shared" si="0"/>
        <v>0.4</v>
      </c>
    </row>
    <row r="23" spans="1:7" x14ac:dyDescent="0.25">
      <c r="A23" t="s">
        <v>261</v>
      </c>
      <c r="C23" s="46">
        <v>170940001</v>
      </c>
      <c r="E23">
        <v>1</v>
      </c>
      <c r="F23" s="3">
        <f>+'Data Entry'!D93</f>
        <v>102.88</v>
      </c>
      <c r="G23" s="3">
        <f t="shared" si="0"/>
        <v>102.88</v>
      </c>
    </row>
    <row r="24" spans="1:7" x14ac:dyDescent="0.25">
      <c r="A24" t="s">
        <v>262</v>
      </c>
      <c r="C24" s="46">
        <v>171404005</v>
      </c>
      <c r="E24">
        <v>1</v>
      </c>
      <c r="F24" s="3">
        <f>+'Data Entry'!D101</f>
        <v>5.3</v>
      </c>
      <c r="G24" s="3">
        <f t="shared" si="0"/>
        <v>5.3</v>
      </c>
    </row>
    <row r="25" spans="1:7" x14ac:dyDescent="0.25">
      <c r="A25" t="s">
        <v>263</v>
      </c>
      <c r="C25" s="46">
        <v>172257006</v>
      </c>
      <c r="E25">
        <v>1</v>
      </c>
      <c r="F25" s="3">
        <f>+'Data Entry'!D112</f>
        <v>101.47</v>
      </c>
      <c r="G25" s="3">
        <f t="shared" si="0"/>
        <v>101.47</v>
      </c>
    </row>
    <row r="26" spans="1:7" x14ac:dyDescent="0.25">
      <c r="A26" t="s">
        <v>264</v>
      </c>
      <c r="C26" s="46">
        <v>174605001</v>
      </c>
      <c r="E26">
        <v>1</v>
      </c>
      <c r="F26" s="3">
        <f>+'Data Entry'!D113</f>
        <v>3.77</v>
      </c>
      <c r="G26" s="3">
        <f t="shared" si="0"/>
        <v>3.77</v>
      </c>
    </row>
    <row r="27" spans="1:7" x14ac:dyDescent="0.25">
      <c r="A27" t="s">
        <v>265</v>
      </c>
      <c r="C27" s="46">
        <v>548800008</v>
      </c>
      <c r="E27">
        <v>1</v>
      </c>
      <c r="F27" s="3">
        <f>+'Data Entry'!D119</f>
        <v>1.35</v>
      </c>
      <c r="G27" s="51">
        <f t="shared" si="0"/>
        <v>1.35</v>
      </c>
    </row>
    <row r="28" spans="1:7" x14ac:dyDescent="0.25">
      <c r="G28" s="52">
        <f>SUM(G12:G27)</f>
        <v>226.21639999999999</v>
      </c>
    </row>
    <row r="30" spans="1:7" ht="21" x14ac:dyDescent="0.4">
      <c r="B30" s="1" t="s">
        <v>266</v>
      </c>
      <c r="C30" s="53" t="s">
        <v>267</v>
      </c>
      <c r="D30" s="54" t="s">
        <v>268</v>
      </c>
      <c r="E30" s="1"/>
      <c r="F30" s="55" t="s">
        <v>269</v>
      </c>
      <c r="G30" s="1" t="s">
        <v>247</v>
      </c>
    </row>
    <row r="31" spans="1:7" x14ac:dyDescent="0.25">
      <c r="B31" s="32" t="s">
        <v>252</v>
      </c>
      <c r="C31" s="71" t="s">
        <v>270</v>
      </c>
      <c r="D31" s="32" t="s">
        <v>271</v>
      </c>
      <c r="E31" s="1"/>
      <c r="F31" s="1"/>
      <c r="G31" s="32" t="s">
        <v>272</v>
      </c>
    </row>
    <row r="32" spans="1:7" x14ac:dyDescent="0.25">
      <c r="B32" s="3">
        <f>+G28</f>
        <v>226.21639999999999</v>
      </c>
      <c r="C32" s="3">
        <f>+B32*(+'Data Entry'!C21)</f>
        <v>13.572984</v>
      </c>
      <c r="D32" s="3">
        <f>+B32*(+'Data Entry'!C16)</f>
        <v>13.43725416</v>
      </c>
      <c r="G32" s="3">
        <f>SUM(B32:F32)</f>
        <v>253.22663815999999</v>
      </c>
    </row>
    <row r="33" spans="3:3" x14ac:dyDescent="0.25">
      <c r="C33"/>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4"/>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976</v>
      </c>
    </row>
    <row r="2" spans="1:7" x14ac:dyDescent="0.25">
      <c r="A2" s="773" t="s">
        <v>923</v>
      </c>
    </row>
    <row r="4" spans="1:7" x14ac:dyDescent="0.25">
      <c r="A4" s="1" t="s">
        <v>242</v>
      </c>
      <c r="B4" s="1"/>
      <c r="C4" s="91"/>
      <c r="D4" s="1"/>
      <c r="E4" s="1"/>
      <c r="F4" s="1"/>
      <c r="G4" s="1"/>
    </row>
    <row r="5" spans="1:7" x14ac:dyDescent="0.25">
      <c r="A5" s="1" t="s">
        <v>284</v>
      </c>
      <c r="B5" s="1"/>
      <c r="C5" s="91"/>
      <c r="D5" s="1"/>
      <c r="E5" s="1"/>
      <c r="F5" s="1"/>
      <c r="G5" s="1"/>
    </row>
    <row r="6" spans="1:7" x14ac:dyDescent="0.25">
      <c r="A6" s="1" t="s">
        <v>278</v>
      </c>
      <c r="B6" s="1"/>
      <c r="C6" s="91"/>
      <c r="D6" s="1"/>
      <c r="E6" s="1"/>
      <c r="F6" s="1"/>
      <c r="G6" s="1"/>
    </row>
    <row r="7" spans="1:7" x14ac:dyDescent="0.25">
      <c r="A7" s="1"/>
      <c r="B7" s="1"/>
      <c r="C7" s="91"/>
      <c r="D7" s="1"/>
      <c r="E7" s="1"/>
      <c r="F7" s="1"/>
      <c r="G7" s="1"/>
    </row>
    <row r="8" spans="1:7" x14ac:dyDescent="0.25">
      <c r="A8" s="73" t="s">
        <v>244</v>
      </c>
      <c r="B8" s="73"/>
      <c r="C8" s="92"/>
      <c r="D8" s="93"/>
      <c r="E8" s="73" t="s">
        <v>245</v>
      </c>
      <c r="F8" s="73" t="s">
        <v>246</v>
      </c>
      <c r="G8" s="73" t="s">
        <v>247</v>
      </c>
    </row>
    <row r="9" spans="1:7" x14ac:dyDescent="0.25">
      <c r="A9" s="93" t="s">
        <v>248</v>
      </c>
      <c r="B9" s="73"/>
      <c r="C9" s="92" t="s">
        <v>249</v>
      </c>
      <c r="D9" s="93"/>
      <c r="E9" s="93" t="s">
        <v>250</v>
      </c>
      <c r="F9" s="93" t="s">
        <v>251</v>
      </c>
      <c r="G9" s="93" t="s">
        <v>252</v>
      </c>
    </row>
    <row r="10" spans="1:7" x14ac:dyDescent="0.25">
      <c r="A10" t="s">
        <v>253</v>
      </c>
      <c r="C10" s="46">
        <v>103070211</v>
      </c>
      <c r="E10">
        <v>2</v>
      </c>
      <c r="F10" s="3">
        <f>+'Data Entry'!D29</f>
        <v>0.18</v>
      </c>
      <c r="G10" s="3">
        <f t="shared" ref="G10:G27" si="0">+E10*F10</f>
        <v>0.36</v>
      </c>
    </row>
    <row r="11" spans="1:7" x14ac:dyDescent="0.25">
      <c r="A11" t="s">
        <v>254</v>
      </c>
      <c r="C11" s="46">
        <v>110104001</v>
      </c>
      <c r="E11">
        <v>5</v>
      </c>
      <c r="F11" s="3">
        <f>+'Data Entry'!D30</f>
        <v>0.63</v>
      </c>
      <c r="G11" s="3">
        <f t="shared" si="0"/>
        <v>3.15</v>
      </c>
    </row>
    <row r="12" spans="1:7" x14ac:dyDescent="0.25">
      <c r="A12" t="s">
        <v>255</v>
      </c>
      <c r="C12" s="46">
        <v>112308003</v>
      </c>
      <c r="E12">
        <v>2</v>
      </c>
      <c r="F12" s="3">
        <f>+'Data Entry'!D31</f>
        <v>0.28999999999999998</v>
      </c>
      <c r="G12" s="3">
        <f t="shared" si="0"/>
        <v>0.57999999999999996</v>
      </c>
    </row>
    <row r="13" spans="1:7" x14ac:dyDescent="0.25">
      <c r="A13" t="s">
        <v>256</v>
      </c>
      <c r="C13" s="46">
        <v>120111001</v>
      </c>
      <c r="E13">
        <v>1</v>
      </c>
      <c r="F13" s="3">
        <f>+'Data Entry'!D35</f>
        <v>0.55000000000000004</v>
      </c>
      <c r="G13" s="3">
        <f t="shared" si="0"/>
        <v>0.55000000000000004</v>
      </c>
    </row>
    <row r="14" spans="1:7" x14ac:dyDescent="0.25">
      <c r="A14" t="s">
        <v>257</v>
      </c>
      <c r="C14" s="244">
        <v>140492000</v>
      </c>
      <c r="E14">
        <v>1</v>
      </c>
      <c r="F14" s="3">
        <f>+'Data Entry'!D38</f>
        <v>1.47</v>
      </c>
      <c r="G14" s="3">
        <f t="shared" si="0"/>
        <v>1.47</v>
      </c>
    </row>
    <row r="15" spans="1:7" x14ac:dyDescent="0.25">
      <c r="A15" t="s">
        <v>257</v>
      </c>
      <c r="C15" s="46">
        <v>140590001</v>
      </c>
      <c r="E15">
        <v>2</v>
      </c>
      <c r="F15" s="3">
        <f>+'Data Entry'!D40</f>
        <v>0.84</v>
      </c>
      <c r="G15" s="3">
        <f t="shared" si="0"/>
        <v>1.68</v>
      </c>
    </row>
    <row r="16" spans="1:7" x14ac:dyDescent="0.25">
      <c r="A16" t="s">
        <v>258</v>
      </c>
      <c r="C16" s="244">
        <v>142631007</v>
      </c>
      <c r="E16">
        <v>0.02</v>
      </c>
      <c r="F16" s="3">
        <f>+'Data Entry'!D42</f>
        <v>3.82</v>
      </c>
      <c r="G16" s="3">
        <f t="shared" si="0"/>
        <v>7.6399999999999996E-2</v>
      </c>
    </row>
    <row r="17" spans="1:7" x14ac:dyDescent="0.25">
      <c r="A17" t="s">
        <v>259</v>
      </c>
      <c r="C17" s="46">
        <v>144304003</v>
      </c>
      <c r="E17">
        <v>1</v>
      </c>
      <c r="F17" s="3">
        <f>+'Data Entry'!D43</f>
        <v>0.31</v>
      </c>
      <c r="G17" s="3">
        <f t="shared" si="0"/>
        <v>0.31</v>
      </c>
    </row>
    <row r="18" spans="1:7" x14ac:dyDescent="0.25">
      <c r="A18" t="s">
        <v>260</v>
      </c>
      <c r="C18" s="46">
        <v>145361001</v>
      </c>
      <c r="E18">
        <v>1</v>
      </c>
      <c r="F18" s="3">
        <f>+'Data Entry'!D47</f>
        <v>0.06</v>
      </c>
      <c r="G18" s="3">
        <f t="shared" si="0"/>
        <v>0.06</v>
      </c>
    </row>
    <row r="19" spans="1:7" x14ac:dyDescent="0.25">
      <c r="A19" t="s">
        <v>260</v>
      </c>
      <c r="C19" s="46">
        <v>145362007</v>
      </c>
      <c r="E19">
        <v>2</v>
      </c>
      <c r="F19" s="3">
        <f>+'Data Entry'!D48</f>
        <v>0.18</v>
      </c>
      <c r="G19" s="3">
        <f t="shared" si="0"/>
        <v>0.36</v>
      </c>
    </row>
    <row r="20" spans="1:7" x14ac:dyDescent="0.25">
      <c r="A20" t="s">
        <v>260</v>
      </c>
      <c r="C20" s="46">
        <v>145374005</v>
      </c>
      <c r="E20">
        <v>2</v>
      </c>
      <c r="F20" s="3">
        <f>+'Data Entry'!D49</f>
        <v>0.13</v>
      </c>
      <c r="G20" s="3">
        <f t="shared" si="0"/>
        <v>0.26</v>
      </c>
    </row>
    <row r="21" spans="1:7" x14ac:dyDescent="0.25">
      <c r="A21" t="s">
        <v>260</v>
      </c>
      <c r="C21" s="46">
        <v>145383004</v>
      </c>
      <c r="E21">
        <v>1</v>
      </c>
      <c r="F21" s="3">
        <f>+'Data Entry'!D50</f>
        <v>0.15</v>
      </c>
      <c r="G21" s="3">
        <f t="shared" si="0"/>
        <v>0.15</v>
      </c>
    </row>
    <row r="22" spans="1:7" x14ac:dyDescent="0.25">
      <c r="A22" t="s">
        <v>260</v>
      </c>
      <c r="C22" s="46">
        <v>145395002</v>
      </c>
      <c r="E22">
        <v>2</v>
      </c>
      <c r="F22" s="3">
        <f>+'Data Entry'!D51</f>
        <v>0.2</v>
      </c>
      <c r="G22" s="3">
        <f t="shared" si="0"/>
        <v>0.4</v>
      </c>
    </row>
    <row r="23" spans="1:7" x14ac:dyDescent="0.25">
      <c r="A23" t="s">
        <v>261</v>
      </c>
      <c r="C23" s="46">
        <v>170970007</v>
      </c>
      <c r="E23">
        <v>1</v>
      </c>
      <c r="F23" s="3">
        <f>+'Data Entry'!D96</f>
        <v>141.11000000000001</v>
      </c>
      <c r="G23" s="3">
        <f t="shared" si="0"/>
        <v>141.11000000000001</v>
      </c>
    </row>
    <row r="24" spans="1:7" x14ac:dyDescent="0.25">
      <c r="A24" t="s">
        <v>262</v>
      </c>
      <c r="C24" s="46">
        <v>171404005</v>
      </c>
      <c r="E24">
        <v>1</v>
      </c>
      <c r="F24" s="3">
        <f>+'Data Entry'!D101</f>
        <v>5.3</v>
      </c>
      <c r="G24" s="3">
        <f t="shared" si="0"/>
        <v>5.3</v>
      </c>
    </row>
    <row r="25" spans="1:7" x14ac:dyDescent="0.25">
      <c r="A25" t="s">
        <v>263</v>
      </c>
      <c r="C25" s="46">
        <v>172201001</v>
      </c>
      <c r="E25">
        <v>1</v>
      </c>
      <c r="F25" s="3">
        <f>+'Data Entry'!D110</f>
        <v>19.440000000000001</v>
      </c>
      <c r="G25" s="3">
        <f t="shared" si="0"/>
        <v>19.440000000000001</v>
      </c>
    </row>
    <row r="26" spans="1:7" x14ac:dyDescent="0.25">
      <c r="A26" t="s">
        <v>264</v>
      </c>
      <c r="C26" s="46">
        <v>174605001</v>
      </c>
      <c r="E26">
        <v>1</v>
      </c>
      <c r="F26" s="3">
        <f>+'Data Entry'!D113</f>
        <v>3.77</v>
      </c>
      <c r="G26" s="3">
        <f t="shared" si="0"/>
        <v>3.77</v>
      </c>
    </row>
    <row r="27" spans="1:7" x14ac:dyDescent="0.25">
      <c r="A27" t="s">
        <v>265</v>
      </c>
      <c r="C27" s="46">
        <v>548800008</v>
      </c>
      <c r="E27">
        <v>1</v>
      </c>
      <c r="F27" s="3">
        <f>+'Data Entry'!D119</f>
        <v>1.35</v>
      </c>
      <c r="G27" s="51">
        <f t="shared" si="0"/>
        <v>1.35</v>
      </c>
    </row>
    <row r="28" spans="1:7" x14ac:dyDescent="0.25">
      <c r="F28" s="3"/>
      <c r="G28" s="3">
        <f>SUM(G10:G27)</f>
        <v>180.37640000000002</v>
      </c>
    </row>
    <row r="29" spans="1:7" ht="21" x14ac:dyDescent="0.4">
      <c r="B29" s="1" t="s">
        <v>266</v>
      </c>
      <c r="C29" s="53" t="s">
        <v>267</v>
      </c>
      <c r="D29" s="54" t="s">
        <v>268</v>
      </c>
      <c r="E29" s="1"/>
      <c r="F29" s="55" t="s">
        <v>269</v>
      </c>
      <c r="G29" s="1" t="s">
        <v>247</v>
      </c>
    </row>
    <row r="30" spans="1:7" x14ac:dyDescent="0.25">
      <c r="B30" s="32" t="s">
        <v>252</v>
      </c>
      <c r="C30" s="71" t="s">
        <v>270</v>
      </c>
      <c r="D30" s="32" t="s">
        <v>271</v>
      </c>
      <c r="E30" s="1"/>
      <c r="F30" s="1"/>
      <c r="G30" s="32" t="s">
        <v>272</v>
      </c>
    </row>
    <row r="31" spans="1:7" x14ac:dyDescent="0.25">
      <c r="B31" s="3">
        <f>+G28</f>
        <v>180.37640000000002</v>
      </c>
      <c r="C31" s="3">
        <f>+B31*(+'Data Entry'!C21)</f>
        <v>10.822584000000001</v>
      </c>
      <c r="D31" s="3">
        <f>+B31*(+'Data Entry'!C16)</f>
        <v>10.714358160000002</v>
      </c>
      <c r="G31" s="3">
        <f>SUM(B31:F31)</f>
        <v>201.91334216000001</v>
      </c>
    </row>
    <row r="32" spans="1:7" x14ac:dyDescent="0.25">
      <c r="C32"/>
    </row>
    <row r="33" spans="3:7" x14ac:dyDescent="0.25">
      <c r="F33" s="3"/>
      <c r="G33" s="3"/>
    </row>
    <row r="34" spans="3:7" x14ac:dyDescent="0.25">
      <c r="C34"/>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3"/>
  <sheetViews>
    <sheetView workbookViewId="0">
      <selection activeCell="A2" sqref="A2"/>
    </sheetView>
  </sheetViews>
  <sheetFormatPr defaultRowHeight="13.2" x14ac:dyDescent="0.25"/>
  <cols>
    <col min="1" max="1" width="16" customWidth="1"/>
    <col min="3" max="3" width="14.6640625" style="46" customWidth="1"/>
  </cols>
  <sheetData>
    <row r="1" spans="1:7" x14ac:dyDescent="0.25">
      <c r="A1" s="773" t="s">
        <v>977</v>
      </c>
    </row>
    <row r="2" spans="1:7" x14ac:dyDescent="0.25">
      <c r="A2" s="773" t="s">
        <v>923</v>
      </c>
    </row>
    <row r="4" spans="1:7" x14ac:dyDescent="0.25">
      <c r="A4" s="1" t="s">
        <v>285</v>
      </c>
      <c r="B4" s="1"/>
      <c r="C4" s="91"/>
      <c r="D4" s="1"/>
      <c r="E4" s="1"/>
      <c r="F4" s="1"/>
      <c r="G4" s="1"/>
    </row>
    <row r="5" spans="1:7" x14ac:dyDescent="0.25">
      <c r="A5" s="1" t="s">
        <v>286</v>
      </c>
      <c r="B5" s="1"/>
      <c r="C5" s="91"/>
      <c r="D5" s="1"/>
      <c r="E5" s="1"/>
      <c r="F5" s="1"/>
      <c r="G5" s="1"/>
    </row>
    <row r="6" spans="1:7" x14ac:dyDescent="0.25">
      <c r="A6" s="1" t="s">
        <v>273</v>
      </c>
      <c r="B6" s="1"/>
      <c r="C6" s="91"/>
      <c r="D6" s="1"/>
      <c r="E6" s="1"/>
      <c r="F6" s="1"/>
      <c r="G6" s="1"/>
    </row>
    <row r="7" spans="1:7" x14ac:dyDescent="0.25">
      <c r="A7" s="1"/>
      <c r="B7" s="1"/>
      <c r="C7" s="1"/>
      <c r="D7" s="1"/>
      <c r="E7" s="1"/>
      <c r="F7" s="1"/>
      <c r="G7" s="1"/>
    </row>
    <row r="8" spans="1:7" x14ac:dyDescent="0.25">
      <c r="A8" s="73" t="s">
        <v>244</v>
      </c>
      <c r="B8" s="73"/>
      <c r="C8" s="92"/>
      <c r="D8" s="93"/>
      <c r="E8" s="73" t="s">
        <v>245</v>
      </c>
      <c r="F8" s="73" t="s">
        <v>246</v>
      </c>
      <c r="G8" s="73" t="s">
        <v>247</v>
      </c>
    </row>
    <row r="9" spans="1:7" x14ac:dyDescent="0.25">
      <c r="A9" s="93" t="s">
        <v>248</v>
      </c>
      <c r="B9" s="73"/>
      <c r="C9" s="92" t="s">
        <v>249</v>
      </c>
      <c r="D9" s="93"/>
      <c r="E9" s="93" t="s">
        <v>250</v>
      </c>
      <c r="F9" s="93" t="s">
        <v>251</v>
      </c>
      <c r="G9" s="93" t="s">
        <v>252</v>
      </c>
    </row>
    <row r="10" spans="1:7" x14ac:dyDescent="0.25">
      <c r="A10" t="s">
        <v>253</v>
      </c>
      <c r="C10" s="46">
        <v>103070211</v>
      </c>
      <c r="E10">
        <v>2</v>
      </c>
      <c r="F10" s="3">
        <f>+'Data Entry'!D29</f>
        <v>0.18</v>
      </c>
      <c r="G10" s="3">
        <f t="shared" ref="G10:G25" si="0">+E10*F10</f>
        <v>0.36</v>
      </c>
    </row>
    <row r="11" spans="1:7" x14ac:dyDescent="0.25">
      <c r="A11" t="s">
        <v>254</v>
      </c>
      <c r="C11" s="46">
        <v>110104001</v>
      </c>
      <c r="E11">
        <v>11</v>
      </c>
      <c r="F11" s="3">
        <f>+'Data Entry'!D30</f>
        <v>0.63</v>
      </c>
      <c r="G11" s="3">
        <f t="shared" si="0"/>
        <v>6.93</v>
      </c>
    </row>
    <row r="12" spans="1:7" x14ac:dyDescent="0.25">
      <c r="A12" t="s">
        <v>255</v>
      </c>
      <c r="C12" s="46">
        <v>112308003</v>
      </c>
      <c r="E12">
        <v>2</v>
      </c>
      <c r="F12" s="3">
        <f>+'Data Entry'!D31</f>
        <v>0.28999999999999998</v>
      </c>
      <c r="G12" s="3">
        <f t="shared" si="0"/>
        <v>0.57999999999999996</v>
      </c>
    </row>
    <row r="13" spans="1:7" x14ac:dyDescent="0.25">
      <c r="A13" t="s">
        <v>256</v>
      </c>
      <c r="C13" s="46">
        <v>120111001</v>
      </c>
      <c r="E13">
        <v>1</v>
      </c>
      <c r="F13" s="3">
        <f>+'Data Entry'!D35</f>
        <v>0.55000000000000004</v>
      </c>
      <c r="G13" s="3">
        <f t="shared" si="0"/>
        <v>0.55000000000000004</v>
      </c>
    </row>
    <row r="14" spans="1:7" x14ac:dyDescent="0.25">
      <c r="A14" t="s">
        <v>257</v>
      </c>
      <c r="C14" s="46">
        <v>140590001</v>
      </c>
      <c r="E14">
        <v>2</v>
      </c>
      <c r="F14" s="3">
        <f>+'Data Entry'!D40</f>
        <v>0.84</v>
      </c>
      <c r="G14" s="3">
        <f t="shared" si="0"/>
        <v>1.68</v>
      </c>
    </row>
    <row r="15" spans="1:7" x14ac:dyDescent="0.25">
      <c r="A15" t="s">
        <v>258</v>
      </c>
      <c r="C15" s="244">
        <v>142631007</v>
      </c>
      <c r="E15">
        <v>0.02</v>
      </c>
      <c r="F15" s="3">
        <f>+'Data Entry'!D42</f>
        <v>3.82</v>
      </c>
      <c r="G15" s="3">
        <f t="shared" si="0"/>
        <v>7.6399999999999996E-2</v>
      </c>
    </row>
    <row r="16" spans="1:7" x14ac:dyDescent="0.25">
      <c r="A16" t="s">
        <v>259</v>
      </c>
      <c r="C16" s="46">
        <v>144304003</v>
      </c>
      <c r="E16">
        <v>1</v>
      </c>
      <c r="F16" s="3">
        <f>+'Data Entry'!D43</f>
        <v>0.31</v>
      </c>
      <c r="G16" s="3">
        <f t="shared" si="0"/>
        <v>0.31</v>
      </c>
    </row>
    <row r="17" spans="1:7" x14ac:dyDescent="0.25">
      <c r="A17" t="s">
        <v>260</v>
      </c>
      <c r="C17" s="46">
        <v>145360004</v>
      </c>
      <c r="E17">
        <v>2</v>
      </c>
      <c r="F17" s="3">
        <f>+'Data Entry'!D46</f>
        <v>0.12</v>
      </c>
      <c r="G17" s="3">
        <f t="shared" si="0"/>
        <v>0.24</v>
      </c>
    </row>
    <row r="18" spans="1:7" x14ac:dyDescent="0.25">
      <c r="A18" t="s">
        <v>260</v>
      </c>
      <c r="C18" s="46">
        <v>145361001</v>
      </c>
      <c r="E18">
        <v>1</v>
      </c>
      <c r="F18" s="3">
        <f>+'Data Entry'!D47</f>
        <v>0.06</v>
      </c>
      <c r="G18" s="3">
        <f t="shared" si="0"/>
        <v>0.06</v>
      </c>
    </row>
    <row r="19" spans="1:7" x14ac:dyDescent="0.25">
      <c r="A19" t="s">
        <v>260</v>
      </c>
      <c r="C19" s="46">
        <v>145374005</v>
      </c>
      <c r="E19">
        <v>2</v>
      </c>
      <c r="F19" s="3">
        <f>+'Data Entry'!D49</f>
        <v>0.13</v>
      </c>
      <c r="G19" s="3">
        <f t="shared" si="0"/>
        <v>0.26</v>
      </c>
    </row>
    <row r="20" spans="1:7" x14ac:dyDescent="0.25">
      <c r="A20" t="s">
        <v>260</v>
      </c>
      <c r="C20" s="46">
        <v>145395002</v>
      </c>
      <c r="E20">
        <v>2</v>
      </c>
      <c r="F20" s="3">
        <f>+'Data Entry'!D51</f>
        <v>0.2</v>
      </c>
      <c r="G20" s="3">
        <f t="shared" si="0"/>
        <v>0.4</v>
      </c>
    </row>
    <row r="21" spans="1:7" x14ac:dyDescent="0.25">
      <c r="A21" t="s">
        <v>261</v>
      </c>
      <c r="C21" s="46">
        <v>170930005</v>
      </c>
      <c r="E21">
        <v>1</v>
      </c>
      <c r="F21" s="3">
        <f>+'Data Entry'!D120</f>
        <v>386.17</v>
      </c>
      <c r="G21" s="3">
        <f t="shared" si="0"/>
        <v>386.17</v>
      </c>
    </row>
    <row r="22" spans="1:7" x14ac:dyDescent="0.25">
      <c r="A22" t="s">
        <v>262</v>
      </c>
      <c r="C22" s="46">
        <v>171405001</v>
      </c>
      <c r="E22">
        <v>1</v>
      </c>
      <c r="F22" s="3">
        <f>+'Data Entry'!D102</f>
        <v>30.47</v>
      </c>
      <c r="G22" s="3">
        <f t="shared" si="0"/>
        <v>30.47</v>
      </c>
    </row>
    <row r="23" spans="1:7" x14ac:dyDescent="0.25">
      <c r="A23" t="s">
        <v>263</v>
      </c>
      <c r="C23" s="46">
        <v>172257006</v>
      </c>
      <c r="E23">
        <v>1</v>
      </c>
      <c r="F23" s="3">
        <f>+'Data Entry'!D112</f>
        <v>101.47</v>
      </c>
      <c r="G23" s="3">
        <f t="shared" si="0"/>
        <v>101.47</v>
      </c>
    </row>
    <row r="24" spans="1:7" x14ac:dyDescent="0.25">
      <c r="A24" t="s">
        <v>264</v>
      </c>
      <c r="C24" s="46">
        <v>174605001</v>
      </c>
      <c r="E24">
        <v>1</v>
      </c>
      <c r="F24" s="3">
        <f>+'Data Entry'!D113</f>
        <v>3.77</v>
      </c>
      <c r="G24" s="3">
        <f t="shared" si="0"/>
        <v>3.77</v>
      </c>
    </row>
    <row r="25" spans="1:7" x14ac:dyDescent="0.25">
      <c r="A25" t="s">
        <v>265</v>
      </c>
      <c r="C25" s="244">
        <v>548800008</v>
      </c>
      <c r="E25">
        <v>1</v>
      </c>
      <c r="F25" s="3">
        <f>+'Data Entry'!D119</f>
        <v>1.35</v>
      </c>
      <c r="G25" s="51">
        <f t="shared" si="0"/>
        <v>1.35</v>
      </c>
    </row>
    <row r="26" spans="1:7" x14ac:dyDescent="0.25">
      <c r="G26" s="52">
        <f>SUM(G10:G25)</f>
        <v>534.67640000000006</v>
      </c>
    </row>
    <row r="28" spans="1:7" ht="21" x14ac:dyDescent="0.4">
      <c r="B28" s="1" t="s">
        <v>266</v>
      </c>
      <c r="C28" s="53" t="s">
        <v>267</v>
      </c>
      <c r="D28" s="54" t="s">
        <v>268</v>
      </c>
      <c r="E28" s="1"/>
      <c r="F28" s="55" t="s">
        <v>269</v>
      </c>
      <c r="G28" s="1" t="s">
        <v>247</v>
      </c>
    </row>
    <row r="29" spans="1:7" x14ac:dyDescent="0.25">
      <c r="B29" s="32" t="s">
        <v>252</v>
      </c>
      <c r="C29" s="71" t="s">
        <v>270</v>
      </c>
      <c r="D29" s="32" t="s">
        <v>271</v>
      </c>
      <c r="E29" s="1"/>
      <c r="F29" s="1"/>
      <c r="G29" s="32" t="s">
        <v>272</v>
      </c>
    </row>
    <row r="30" spans="1:7" x14ac:dyDescent="0.25">
      <c r="B30" s="3">
        <f>+G26</f>
        <v>534.67640000000006</v>
      </c>
      <c r="C30" s="3">
        <f>+B30*(+'Data Entry'!C21)</f>
        <v>32.080584000000002</v>
      </c>
      <c r="D30" s="3">
        <f>+B30*(+'Data Entry'!C16)</f>
        <v>31.759778160000003</v>
      </c>
      <c r="G30" s="3">
        <f>SUM(B30:F30)</f>
        <v>598.5167621600001</v>
      </c>
    </row>
    <row r="31" spans="1:7" x14ac:dyDescent="0.25">
      <c r="C31"/>
    </row>
    <row r="33" spans="3:3" x14ac:dyDescent="0.25">
      <c r="C33"/>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7"/>
  <sheetViews>
    <sheetView workbookViewId="0">
      <selection activeCell="A5" sqref="A5"/>
    </sheetView>
  </sheetViews>
  <sheetFormatPr defaultRowHeight="13.2" x14ac:dyDescent="0.25"/>
  <cols>
    <col min="1" max="1" width="21.109375" customWidth="1"/>
    <col min="2" max="2" width="8.109375" customWidth="1"/>
    <col min="3" max="3" width="14.6640625" style="46" customWidth="1"/>
  </cols>
  <sheetData>
    <row r="1" spans="1:7" x14ac:dyDescent="0.25">
      <c r="A1" s="773" t="s">
        <v>978</v>
      </c>
    </row>
    <row r="2" spans="1:7" x14ac:dyDescent="0.25">
      <c r="A2" s="773" t="s">
        <v>923</v>
      </c>
    </row>
    <row r="4" spans="1:7" x14ac:dyDescent="0.25">
      <c r="A4" s="1" t="s">
        <v>287</v>
      </c>
      <c r="B4" s="1"/>
      <c r="C4" s="91"/>
      <c r="D4" s="1"/>
      <c r="E4" s="1"/>
      <c r="F4" s="1"/>
      <c r="G4" s="1"/>
    </row>
    <row r="5" spans="1:7" x14ac:dyDescent="0.25">
      <c r="A5" s="1" t="s">
        <v>288</v>
      </c>
      <c r="B5" s="1"/>
      <c r="C5" s="91"/>
      <c r="D5" s="1"/>
      <c r="E5" s="1"/>
      <c r="F5" s="1"/>
      <c r="G5" s="1"/>
    </row>
    <row r="6" spans="1:7" x14ac:dyDescent="0.25">
      <c r="A6" s="1" t="s">
        <v>189</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289</v>
      </c>
      <c r="C12" s="46">
        <v>100406005</v>
      </c>
      <c r="E12">
        <v>12</v>
      </c>
      <c r="F12" s="3">
        <f>+'Data Entry'!D27</f>
        <v>0.09</v>
      </c>
      <c r="G12" s="3">
        <f t="shared" ref="G12:G26" si="0">+E12*F12</f>
        <v>1.08</v>
      </c>
    </row>
    <row r="13" spans="1:7" x14ac:dyDescent="0.25">
      <c r="A13" t="s">
        <v>290</v>
      </c>
      <c r="C13" s="46">
        <v>100587000</v>
      </c>
      <c r="E13">
        <v>618</v>
      </c>
      <c r="F13" s="3">
        <f>+'Data Entry'!D28</f>
        <v>0.09</v>
      </c>
      <c r="G13" s="3">
        <f t="shared" si="0"/>
        <v>55.62</v>
      </c>
    </row>
    <row r="14" spans="1:7" x14ac:dyDescent="0.25">
      <c r="A14" t="s">
        <v>253</v>
      </c>
      <c r="C14" s="46">
        <v>103070211</v>
      </c>
      <c r="E14">
        <v>1</v>
      </c>
      <c r="F14" s="3">
        <f>+'Data Entry'!D29</f>
        <v>0.18</v>
      </c>
      <c r="G14" s="3">
        <f t="shared" si="0"/>
        <v>0.18</v>
      </c>
    </row>
    <row r="15" spans="1:7" x14ac:dyDescent="0.25">
      <c r="A15" t="s">
        <v>291</v>
      </c>
      <c r="C15" s="46">
        <v>112308003</v>
      </c>
      <c r="E15">
        <v>31</v>
      </c>
      <c r="F15" s="3">
        <f>+'Data Entry'!D31</f>
        <v>0.28999999999999998</v>
      </c>
      <c r="G15" s="3">
        <f t="shared" si="0"/>
        <v>8.99</v>
      </c>
    </row>
    <row r="16" spans="1:7" x14ac:dyDescent="0.25">
      <c r="A16" t="s">
        <v>292</v>
      </c>
      <c r="C16" s="46">
        <v>120036106</v>
      </c>
      <c r="E16">
        <v>0.25</v>
      </c>
      <c r="F16" s="3">
        <f>+'Data Entry'!D34</f>
        <v>0.85</v>
      </c>
      <c r="G16" s="3">
        <f t="shared" si="0"/>
        <v>0.21249999999999999</v>
      </c>
    </row>
    <row r="17" spans="1:7" x14ac:dyDescent="0.25">
      <c r="A17" t="s">
        <v>253</v>
      </c>
      <c r="C17" s="46">
        <v>120111001</v>
      </c>
      <c r="E17">
        <v>1</v>
      </c>
      <c r="F17" s="3">
        <f>+'Data Entry'!D35</f>
        <v>0.55000000000000004</v>
      </c>
      <c r="G17" s="3">
        <f t="shared" si="0"/>
        <v>0.55000000000000004</v>
      </c>
    </row>
    <row r="18" spans="1:7" x14ac:dyDescent="0.25">
      <c r="A18" t="s">
        <v>293</v>
      </c>
      <c r="C18" s="46">
        <v>130405104</v>
      </c>
      <c r="E18">
        <v>0.75</v>
      </c>
      <c r="F18" s="3">
        <f>+'Data Entry'!D36</f>
        <v>2.2999999999999998</v>
      </c>
      <c r="G18" s="3">
        <f t="shared" si="0"/>
        <v>1.7249999999999999</v>
      </c>
    </row>
    <row r="19" spans="1:7" x14ac:dyDescent="0.25">
      <c r="A19" t="s">
        <v>294</v>
      </c>
      <c r="C19" s="46">
        <v>130614005</v>
      </c>
      <c r="E19">
        <v>1</v>
      </c>
      <c r="F19" s="3">
        <f>+'Data Entry'!D37</f>
        <v>10.81</v>
      </c>
      <c r="G19" s="3">
        <f t="shared" si="0"/>
        <v>10.81</v>
      </c>
    </row>
    <row r="20" spans="1:7" x14ac:dyDescent="0.25">
      <c r="A20" t="s">
        <v>257</v>
      </c>
      <c r="C20" s="46">
        <v>140590001</v>
      </c>
      <c r="E20">
        <v>2</v>
      </c>
      <c r="F20" s="3">
        <f>+'Data Entry'!D40</f>
        <v>0.84</v>
      </c>
      <c r="G20" s="3">
        <f t="shared" si="0"/>
        <v>1.68</v>
      </c>
    </row>
    <row r="21" spans="1:7" x14ac:dyDescent="0.25">
      <c r="A21" t="s">
        <v>295</v>
      </c>
      <c r="C21" s="244">
        <v>141707000</v>
      </c>
      <c r="E21">
        <v>2</v>
      </c>
      <c r="F21" s="3">
        <f>+'Data Entry'!D41</f>
        <v>9.39</v>
      </c>
      <c r="G21" s="3">
        <f t="shared" si="0"/>
        <v>18.78</v>
      </c>
    </row>
    <row r="22" spans="1:7" x14ac:dyDescent="0.25">
      <c r="A22" t="s">
        <v>258</v>
      </c>
      <c r="C22" s="244">
        <v>142631007</v>
      </c>
      <c r="E22">
        <v>0.02</v>
      </c>
      <c r="F22" s="3">
        <f>+'Data Entry'!D42</f>
        <v>3.82</v>
      </c>
      <c r="G22" s="3">
        <f t="shared" si="0"/>
        <v>7.6399999999999996E-2</v>
      </c>
    </row>
    <row r="23" spans="1:7" x14ac:dyDescent="0.25">
      <c r="A23" t="s">
        <v>296</v>
      </c>
      <c r="C23" s="46">
        <v>144405004</v>
      </c>
      <c r="E23">
        <v>2</v>
      </c>
      <c r="F23" s="3">
        <f>+'Data Entry'!D44</f>
        <v>0.61</v>
      </c>
      <c r="G23" s="3">
        <f t="shared" si="0"/>
        <v>1.22</v>
      </c>
    </row>
    <row r="24" spans="1:7" x14ac:dyDescent="0.25">
      <c r="A24" t="s">
        <v>297</v>
      </c>
      <c r="C24" s="46">
        <v>144505009</v>
      </c>
      <c r="E24">
        <v>1</v>
      </c>
      <c r="F24" s="3">
        <f>+'Data Entry'!D45</f>
        <v>6.35</v>
      </c>
      <c r="G24" s="3">
        <f t="shared" si="0"/>
        <v>6.35</v>
      </c>
    </row>
    <row r="25" spans="1:7" x14ac:dyDescent="0.25">
      <c r="A25" t="s">
        <v>260</v>
      </c>
      <c r="C25" s="46">
        <v>145374005</v>
      </c>
      <c r="E25">
        <v>4</v>
      </c>
      <c r="F25" s="3">
        <f>+'Data Entry'!D49</f>
        <v>0.13</v>
      </c>
      <c r="G25" s="3">
        <f t="shared" si="0"/>
        <v>0.52</v>
      </c>
    </row>
    <row r="26" spans="1:7" x14ac:dyDescent="0.25">
      <c r="A26" t="s">
        <v>260</v>
      </c>
      <c r="C26" s="46">
        <v>145395002</v>
      </c>
      <c r="E26">
        <v>2</v>
      </c>
      <c r="F26" s="3">
        <f>+'Data Entry'!D51</f>
        <v>0.2</v>
      </c>
      <c r="G26" s="3">
        <f t="shared" si="0"/>
        <v>0.4</v>
      </c>
    </row>
    <row r="27" spans="1:7" x14ac:dyDescent="0.25">
      <c r="A27" t="s">
        <v>298</v>
      </c>
      <c r="C27" s="46">
        <v>151175001</v>
      </c>
      <c r="E27">
        <v>1</v>
      </c>
      <c r="F27" s="3">
        <f>+'Data Entry'!D52</f>
        <v>76.540000000000006</v>
      </c>
      <c r="G27" s="3">
        <f>+E27*F27</f>
        <v>76.540000000000006</v>
      </c>
    </row>
    <row r="28" spans="1:7" x14ac:dyDescent="0.25">
      <c r="F28" s="3"/>
      <c r="G28" s="3"/>
    </row>
    <row r="29" spans="1:7" x14ac:dyDescent="0.25">
      <c r="F29" s="3"/>
      <c r="G29" s="51"/>
    </row>
    <row r="30" spans="1:7" x14ac:dyDescent="0.25">
      <c r="G30" s="52">
        <f>SUM(G12:G28)</f>
        <v>184.73390000000001</v>
      </c>
    </row>
    <row r="32" spans="1:7" ht="21" x14ac:dyDescent="0.4">
      <c r="B32" s="1" t="s">
        <v>266</v>
      </c>
      <c r="C32" s="53" t="s">
        <v>267</v>
      </c>
      <c r="D32" s="54" t="s">
        <v>268</v>
      </c>
      <c r="E32" s="1"/>
      <c r="F32" s="55" t="s">
        <v>269</v>
      </c>
      <c r="G32" s="1" t="s">
        <v>247</v>
      </c>
    </row>
    <row r="33" spans="1:7" x14ac:dyDescent="0.25">
      <c r="B33" s="32" t="s">
        <v>252</v>
      </c>
      <c r="C33" s="71" t="s">
        <v>270</v>
      </c>
      <c r="D33" s="32" t="s">
        <v>271</v>
      </c>
      <c r="E33" s="1"/>
      <c r="F33" s="1"/>
      <c r="G33" s="32" t="s">
        <v>272</v>
      </c>
    </row>
    <row r="34" spans="1:7" x14ac:dyDescent="0.25">
      <c r="B34" s="3">
        <f>+G30</f>
        <v>184.73390000000001</v>
      </c>
      <c r="C34" s="3">
        <f>+B34*(+'Data Entry'!C21)</f>
        <v>11.084033999999999</v>
      </c>
      <c r="D34" s="3">
        <f>+B34*(+'Data Entry'!C16)</f>
        <v>10.97319366</v>
      </c>
      <c r="G34" s="3">
        <f>SUM(B34:F34)</f>
        <v>206.79112766</v>
      </c>
    </row>
    <row r="35" spans="1:7" x14ac:dyDescent="0.25">
      <c r="C35"/>
    </row>
    <row r="37" spans="1:7" x14ac:dyDescent="0.25">
      <c r="A37" t="s">
        <v>468</v>
      </c>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8"/>
  <sheetViews>
    <sheetView workbookViewId="0">
      <selection activeCell="A2" sqref="A2"/>
    </sheetView>
  </sheetViews>
  <sheetFormatPr defaultRowHeight="13.2" x14ac:dyDescent="0.25"/>
  <cols>
    <col min="1" max="1" width="21.109375" customWidth="1"/>
    <col min="2" max="2" width="8.109375" customWidth="1"/>
    <col min="3" max="3" width="14.6640625" style="46" customWidth="1"/>
  </cols>
  <sheetData>
    <row r="1" spans="1:7" x14ac:dyDescent="0.25">
      <c r="A1" s="773" t="s">
        <v>979</v>
      </c>
    </row>
    <row r="2" spans="1:7" x14ac:dyDescent="0.25">
      <c r="A2" s="773" t="s">
        <v>923</v>
      </c>
    </row>
    <row r="4" spans="1:7" x14ac:dyDescent="0.25">
      <c r="A4" s="1" t="s">
        <v>299</v>
      </c>
      <c r="B4" s="1"/>
      <c r="C4" s="91"/>
      <c r="D4" s="1"/>
      <c r="E4" s="1"/>
      <c r="F4" s="1"/>
      <c r="G4" s="1"/>
    </row>
    <row r="5" spans="1:7" x14ac:dyDescent="0.25">
      <c r="A5" s="1" t="s">
        <v>288</v>
      </c>
      <c r="B5" s="1"/>
      <c r="C5" s="91"/>
      <c r="D5" s="1"/>
      <c r="E5" s="1"/>
      <c r="F5" s="1"/>
      <c r="G5" s="1"/>
    </row>
    <row r="6" spans="1:7" x14ac:dyDescent="0.25">
      <c r="A6" s="1" t="s">
        <v>189</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289</v>
      </c>
      <c r="C12" s="46">
        <v>100406005</v>
      </c>
      <c r="E12">
        <v>12</v>
      </c>
      <c r="F12" s="3">
        <f>+'Data Entry'!D27</f>
        <v>0.09</v>
      </c>
      <c r="G12" s="3">
        <f t="shared" ref="G12:G19" si="0">+E12*F12</f>
        <v>1.08</v>
      </c>
    </row>
    <row r="13" spans="1:7" x14ac:dyDescent="0.25">
      <c r="A13" t="s">
        <v>290</v>
      </c>
      <c r="C13" s="46">
        <v>100587000</v>
      </c>
      <c r="E13">
        <v>618</v>
      </c>
      <c r="F13" s="3">
        <f>+'Data Entry'!D28</f>
        <v>0.09</v>
      </c>
      <c r="G13" s="3">
        <f t="shared" si="0"/>
        <v>55.62</v>
      </c>
    </row>
    <row r="14" spans="1:7" x14ac:dyDescent="0.25">
      <c r="A14" t="s">
        <v>253</v>
      </c>
      <c r="C14" s="46">
        <v>103070211</v>
      </c>
      <c r="E14">
        <v>1</v>
      </c>
      <c r="F14" s="3">
        <f>+'Data Entry'!D29</f>
        <v>0.18</v>
      </c>
      <c r="G14" s="3">
        <f t="shared" si="0"/>
        <v>0.18</v>
      </c>
    </row>
    <row r="15" spans="1:7" x14ac:dyDescent="0.25">
      <c r="A15" t="s">
        <v>291</v>
      </c>
      <c r="C15" s="46">
        <v>112308003</v>
      </c>
      <c r="E15">
        <v>36</v>
      </c>
      <c r="F15" s="3">
        <f>+'Data Entry'!D31</f>
        <v>0.28999999999999998</v>
      </c>
      <c r="G15" s="3">
        <f t="shared" si="0"/>
        <v>10.44</v>
      </c>
    </row>
    <row r="16" spans="1:7" x14ac:dyDescent="0.25">
      <c r="A16" t="s">
        <v>292</v>
      </c>
      <c r="C16" s="46">
        <v>120036106</v>
      </c>
      <c r="E16">
        <v>0.25</v>
      </c>
      <c r="F16" s="3">
        <f>+'Data Entry'!D34</f>
        <v>0.85</v>
      </c>
      <c r="G16" s="3">
        <f t="shared" si="0"/>
        <v>0.21249999999999999</v>
      </c>
    </row>
    <row r="17" spans="1:7" x14ac:dyDescent="0.25">
      <c r="A17" t="s">
        <v>253</v>
      </c>
      <c r="C17" s="46">
        <v>120111001</v>
      </c>
      <c r="E17">
        <v>1</v>
      </c>
      <c r="F17" s="3">
        <f>+'Data Entry'!D35</f>
        <v>0.55000000000000004</v>
      </c>
      <c r="G17" s="3">
        <f t="shared" si="0"/>
        <v>0.55000000000000004</v>
      </c>
    </row>
    <row r="18" spans="1:7" x14ac:dyDescent="0.25">
      <c r="A18" t="s">
        <v>293</v>
      </c>
      <c r="C18" s="46">
        <v>130405104</v>
      </c>
      <c r="E18">
        <v>0.75</v>
      </c>
      <c r="F18" s="3">
        <f>+'Data Entry'!D36</f>
        <v>2.2999999999999998</v>
      </c>
      <c r="G18" s="3">
        <f t="shared" si="0"/>
        <v>1.7249999999999999</v>
      </c>
    </row>
    <row r="19" spans="1:7" x14ac:dyDescent="0.25">
      <c r="A19" t="s">
        <v>294</v>
      </c>
      <c r="C19" s="46">
        <v>130614005</v>
      </c>
      <c r="E19">
        <v>1</v>
      </c>
      <c r="F19" s="3">
        <f>+'Data Entry'!D37</f>
        <v>10.81</v>
      </c>
      <c r="G19" s="3">
        <f t="shared" si="0"/>
        <v>10.81</v>
      </c>
    </row>
    <row r="20" spans="1:7" x14ac:dyDescent="0.25">
      <c r="A20" t="s">
        <v>257</v>
      </c>
      <c r="C20" s="46">
        <v>140590001</v>
      </c>
      <c r="E20">
        <v>2</v>
      </c>
      <c r="F20" s="3">
        <f>+'Data Entry'!D40</f>
        <v>0.84</v>
      </c>
      <c r="G20" s="3">
        <f t="shared" ref="G20:G27" si="1">+E20*F20</f>
        <v>1.68</v>
      </c>
    </row>
    <row r="21" spans="1:7" x14ac:dyDescent="0.25">
      <c r="A21" t="s">
        <v>295</v>
      </c>
      <c r="C21" s="244">
        <v>141707000</v>
      </c>
      <c r="E21">
        <v>2</v>
      </c>
      <c r="F21" s="3">
        <f>+'Data Entry'!D41</f>
        <v>9.39</v>
      </c>
      <c r="G21" s="3">
        <f t="shared" si="1"/>
        <v>18.78</v>
      </c>
    </row>
    <row r="22" spans="1:7" x14ac:dyDescent="0.25">
      <c r="A22" t="s">
        <v>258</v>
      </c>
      <c r="C22" s="244">
        <v>142631007</v>
      </c>
      <c r="E22">
        <v>0.02</v>
      </c>
      <c r="F22" s="3">
        <f>+'Data Entry'!D42</f>
        <v>3.82</v>
      </c>
      <c r="G22" s="3">
        <f t="shared" si="1"/>
        <v>7.6399999999999996E-2</v>
      </c>
    </row>
    <row r="23" spans="1:7" x14ac:dyDescent="0.25">
      <c r="A23" t="s">
        <v>296</v>
      </c>
      <c r="C23" s="46">
        <v>144405004</v>
      </c>
      <c r="E23">
        <v>2</v>
      </c>
      <c r="F23" s="3">
        <f>+'Data Entry'!D44</f>
        <v>0.61</v>
      </c>
      <c r="G23" s="3">
        <f t="shared" si="1"/>
        <v>1.22</v>
      </c>
    </row>
    <row r="24" spans="1:7" x14ac:dyDescent="0.25">
      <c r="A24" t="s">
        <v>297</v>
      </c>
      <c r="C24" s="46">
        <v>144505009</v>
      </c>
      <c r="E24">
        <v>1</v>
      </c>
      <c r="F24" s="3">
        <f>+'Data Entry'!D45</f>
        <v>6.35</v>
      </c>
      <c r="G24" s="3">
        <f t="shared" si="1"/>
        <v>6.35</v>
      </c>
    </row>
    <row r="25" spans="1:7" x14ac:dyDescent="0.25">
      <c r="A25" t="s">
        <v>260</v>
      </c>
      <c r="C25" s="46">
        <v>145374005</v>
      </c>
      <c r="E25">
        <v>4</v>
      </c>
      <c r="F25" s="3">
        <f>+'Data Entry'!D49</f>
        <v>0.13</v>
      </c>
      <c r="G25" s="3">
        <f t="shared" si="1"/>
        <v>0.52</v>
      </c>
    </row>
    <row r="26" spans="1:7" x14ac:dyDescent="0.25">
      <c r="A26" t="s">
        <v>260</v>
      </c>
      <c r="C26" s="46">
        <v>145395002</v>
      </c>
      <c r="E26">
        <v>2</v>
      </c>
      <c r="F26" s="3">
        <f>+'Data Entry'!D51</f>
        <v>0.2</v>
      </c>
      <c r="G26" s="3">
        <f t="shared" si="1"/>
        <v>0.4</v>
      </c>
    </row>
    <row r="27" spans="1:7" x14ac:dyDescent="0.25">
      <c r="A27" t="s">
        <v>298</v>
      </c>
      <c r="C27" s="46">
        <v>151179006</v>
      </c>
      <c r="E27">
        <v>1</v>
      </c>
      <c r="F27" s="3">
        <f>+'Data Entry'!D53</f>
        <v>156.38</v>
      </c>
      <c r="G27" s="3">
        <f t="shared" si="1"/>
        <v>156.38</v>
      </c>
    </row>
    <row r="28" spans="1:7" x14ac:dyDescent="0.25">
      <c r="F28" s="3"/>
      <c r="G28" s="3"/>
    </row>
    <row r="29" spans="1:7" x14ac:dyDescent="0.25">
      <c r="F29" s="3"/>
      <c r="G29" s="51"/>
    </row>
    <row r="30" spans="1:7" x14ac:dyDescent="0.25">
      <c r="G30" s="52">
        <f>SUM(G12:G28)</f>
        <v>266.02390000000003</v>
      </c>
    </row>
    <row r="32" spans="1:7" ht="21" x14ac:dyDescent="0.4">
      <c r="B32" s="1" t="s">
        <v>266</v>
      </c>
      <c r="C32" s="53" t="s">
        <v>267</v>
      </c>
      <c r="D32" s="54" t="s">
        <v>268</v>
      </c>
      <c r="E32" s="1"/>
      <c r="F32" s="55" t="s">
        <v>269</v>
      </c>
      <c r="G32" s="1" t="s">
        <v>247</v>
      </c>
    </row>
    <row r="33" spans="1:7" x14ac:dyDescent="0.25">
      <c r="B33" s="32" t="s">
        <v>252</v>
      </c>
      <c r="C33" s="71" t="s">
        <v>270</v>
      </c>
      <c r="D33" s="32" t="s">
        <v>271</v>
      </c>
      <c r="E33" s="1"/>
      <c r="F33" s="1"/>
      <c r="G33" s="32" t="s">
        <v>272</v>
      </c>
    </row>
    <row r="34" spans="1:7" x14ac:dyDescent="0.25">
      <c r="B34" s="3">
        <f>+G30</f>
        <v>266.02390000000003</v>
      </c>
      <c r="C34" s="3">
        <f>+B34*(+'Data Entry'!C21)</f>
        <v>15.961434000000001</v>
      </c>
      <c r="D34" s="3">
        <f>+B34*(+'Data Entry'!C16)</f>
        <v>15.801819660000001</v>
      </c>
      <c r="G34" s="3">
        <f>SUM(B34:F34)</f>
        <v>297.78715366</v>
      </c>
    </row>
    <row r="35" spans="1:7" x14ac:dyDescent="0.25">
      <c r="C35"/>
    </row>
    <row r="38" spans="1:7" x14ac:dyDescent="0.25">
      <c r="A38" t="s">
        <v>468</v>
      </c>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8"/>
  <sheetViews>
    <sheetView workbookViewId="0">
      <selection activeCell="A2" sqref="A2"/>
    </sheetView>
  </sheetViews>
  <sheetFormatPr defaultRowHeight="13.2" x14ac:dyDescent="0.25"/>
  <cols>
    <col min="1" max="1" width="21.109375" customWidth="1"/>
    <col min="2" max="2" width="8.109375" customWidth="1"/>
    <col min="3" max="3" width="14.6640625" style="46" customWidth="1"/>
  </cols>
  <sheetData>
    <row r="1" spans="1:7" x14ac:dyDescent="0.25">
      <c r="A1" s="773" t="s">
        <v>980</v>
      </c>
    </row>
    <row r="2" spans="1:7" x14ac:dyDescent="0.25">
      <c r="A2" s="773" t="s">
        <v>923</v>
      </c>
    </row>
    <row r="4" spans="1:7" x14ac:dyDescent="0.25">
      <c r="A4" s="1" t="s">
        <v>300</v>
      </c>
      <c r="B4" s="1"/>
      <c r="C4" s="91"/>
      <c r="D4" s="1"/>
      <c r="E4" s="1"/>
      <c r="F4" s="1"/>
      <c r="G4" s="1"/>
    </row>
    <row r="5" spans="1:7" x14ac:dyDescent="0.25">
      <c r="A5" s="1" t="s">
        <v>288</v>
      </c>
      <c r="B5" s="1"/>
      <c r="C5" s="91"/>
      <c r="D5" s="1"/>
      <c r="E5" s="1"/>
      <c r="F5" s="1"/>
      <c r="G5" s="1"/>
    </row>
    <row r="6" spans="1:7" x14ac:dyDescent="0.25">
      <c r="A6" s="1" t="s">
        <v>189</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289</v>
      </c>
      <c r="C12" s="46">
        <v>100406005</v>
      </c>
      <c r="E12" s="285">
        <v>12</v>
      </c>
      <c r="F12" s="3">
        <f>+'Data Entry'!D27</f>
        <v>0.09</v>
      </c>
      <c r="G12" s="3">
        <f t="shared" ref="G12:G19" si="0">+E12*F12</f>
        <v>1.08</v>
      </c>
    </row>
    <row r="13" spans="1:7" x14ac:dyDescent="0.25">
      <c r="A13" t="s">
        <v>290</v>
      </c>
      <c r="C13" s="46">
        <v>100587000</v>
      </c>
      <c r="E13" s="285">
        <v>618</v>
      </c>
      <c r="F13" s="3">
        <f>+'Data Entry'!D28</f>
        <v>0.09</v>
      </c>
      <c r="G13" s="3">
        <f t="shared" si="0"/>
        <v>55.62</v>
      </c>
    </row>
    <row r="14" spans="1:7" x14ac:dyDescent="0.25">
      <c r="A14" t="s">
        <v>253</v>
      </c>
      <c r="C14" s="46">
        <v>103070211</v>
      </c>
      <c r="E14">
        <v>1</v>
      </c>
      <c r="F14" s="3">
        <f>+'Data Entry'!D29</f>
        <v>0.18</v>
      </c>
      <c r="G14" s="3">
        <f t="shared" si="0"/>
        <v>0.18</v>
      </c>
    </row>
    <row r="15" spans="1:7" x14ac:dyDescent="0.25">
      <c r="A15" t="s">
        <v>291</v>
      </c>
      <c r="C15" s="46">
        <v>112308003</v>
      </c>
      <c r="E15">
        <v>41</v>
      </c>
      <c r="F15" s="3">
        <f>+'Data Entry'!D31</f>
        <v>0.28999999999999998</v>
      </c>
      <c r="G15" s="3">
        <f t="shared" si="0"/>
        <v>11.889999999999999</v>
      </c>
    </row>
    <row r="16" spans="1:7" x14ac:dyDescent="0.25">
      <c r="A16" t="s">
        <v>292</v>
      </c>
      <c r="C16" s="46">
        <v>120036106</v>
      </c>
      <c r="E16">
        <v>0.25</v>
      </c>
      <c r="F16" s="3">
        <f>+'Data Entry'!D34</f>
        <v>0.85</v>
      </c>
      <c r="G16" s="3">
        <f t="shared" si="0"/>
        <v>0.21249999999999999</v>
      </c>
    </row>
    <row r="17" spans="1:7" x14ac:dyDescent="0.25">
      <c r="A17" t="s">
        <v>253</v>
      </c>
      <c r="C17" s="46">
        <v>120111001</v>
      </c>
      <c r="E17">
        <v>1</v>
      </c>
      <c r="F17" s="3">
        <f>+'Data Entry'!D35</f>
        <v>0.55000000000000004</v>
      </c>
      <c r="G17" s="3">
        <f t="shared" si="0"/>
        <v>0.55000000000000004</v>
      </c>
    </row>
    <row r="18" spans="1:7" x14ac:dyDescent="0.25">
      <c r="A18" t="s">
        <v>293</v>
      </c>
      <c r="C18" s="46">
        <v>130405104</v>
      </c>
      <c r="E18">
        <v>0.75</v>
      </c>
      <c r="F18" s="3">
        <f>+'Data Entry'!D36</f>
        <v>2.2999999999999998</v>
      </c>
      <c r="G18" s="3">
        <f t="shared" si="0"/>
        <v>1.7249999999999999</v>
      </c>
    </row>
    <row r="19" spans="1:7" x14ac:dyDescent="0.25">
      <c r="A19" t="s">
        <v>294</v>
      </c>
      <c r="C19" s="46">
        <v>130614005</v>
      </c>
      <c r="E19">
        <v>1</v>
      </c>
      <c r="F19" s="3">
        <f>+'Data Entry'!D37</f>
        <v>10.81</v>
      </c>
      <c r="G19" s="3">
        <f t="shared" si="0"/>
        <v>10.81</v>
      </c>
    </row>
    <row r="20" spans="1:7" x14ac:dyDescent="0.25">
      <c r="A20" t="s">
        <v>257</v>
      </c>
      <c r="C20" s="46">
        <v>140590001</v>
      </c>
      <c r="E20">
        <v>2</v>
      </c>
      <c r="F20" s="3">
        <f>+'Data Entry'!D40</f>
        <v>0.84</v>
      </c>
      <c r="G20" s="3">
        <f t="shared" ref="G20:G27" si="1">+E20*F20</f>
        <v>1.68</v>
      </c>
    </row>
    <row r="21" spans="1:7" x14ac:dyDescent="0.25">
      <c r="A21" t="s">
        <v>295</v>
      </c>
      <c r="C21" s="244">
        <v>141707000</v>
      </c>
      <c r="E21">
        <v>2</v>
      </c>
      <c r="F21" s="3">
        <f>+'Data Entry'!D41</f>
        <v>9.39</v>
      </c>
      <c r="G21" s="3">
        <f t="shared" si="1"/>
        <v>18.78</v>
      </c>
    </row>
    <row r="22" spans="1:7" x14ac:dyDescent="0.25">
      <c r="A22" t="s">
        <v>258</v>
      </c>
      <c r="C22" s="244">
        <v>142631007</v>
      </c>
      <c r="E22">
        <v>0.02</v>
      </c>
      <c r="F22" s="3">
        <f>+'Data Entry'!D42</f>
        <v>3.82</v>
      </c>
      <c r="G22" s="3">
        <f t="shared" si="1"/>
        <v>7.6399999999999996E-2</v>
      </c>
    </row>
    <row r="23" spans="1:7" x14ac:dyDescent="0.25">
      <c r="A23" t="s">
        <v>296</v>
      </c>
      <c r="C23" s="244">
        <v>144405004</v>
      </c>
      <c r="E23">
        <v>2</v>
      </c>
      <c r="F23" s="3">
        <f>+'Data Entry'!D44</f>
        <v>0.61</v>
      </c>
      <c r="G23" s="3">
        <f t="shared" si="1"/>
        <v>1.22</v>
      </c>
    </row>
    <row r="24" spans="1:7" x14ac:dyDescent="0.25">
      <c r="A24" t="s">
        <v>297</v>
      </c>
      <c r="C24" s="46">
        <v>144505009</v>
      </c>
      <c r="E24">
        <v>1</v>
      </c>
      <c r="F24" s="3">
        <f>+'Data Entry'!D45</f>
        <v>6.35</v>
      </c>
      <c r="G24" s="3">
        <f t="shared" si="1"/>
        <v>6.35</v>
      </c>
    </row>
    <row r="25" spans="1:7" x14ac:dyDescent="0.25">
      <c r="A25" t="s">
        <v>260</v>
      </c>
      <c r="C25" s="46">
        <v>145374005</v>
      </c>
      <c r="E25">
        <v>4</v>
      </c>
      <c r="F25" s="3">
        <f>+'Data Entry'!D49</f>
        <v>0.13</v>
      </c>
      <c r="G25" s="3">
        <f t="shared" si="1"/>
        <v>0.52</v>
      </c>
    </row>
    <row r="26" spans="1:7" x14ac:dyDescent="0.25">
      <c r="A26" t="s">
        <v>260</v>
      </c>
      <c r="C26" s="46">
        <v>145395002</v>
      </c>
      <c r="E26">
        <v>2</v>
      </c>
      <c r="F26" s="3">
        <f>+'Data Entry'!D51</f>
        <v>0.2</v>
      </c>
      <c r="G26" s="3">
        <f t="shared" si="1"/>
        <v>0.4</v>
      </c>
    </row>
    <row r="27" spans="1:7" x14ac:dyDescent="0.25">
      <c r="A27" t="s">
        <v>298</v>
      </c>
      <c r="C27" s="46">
        <v>151187009</v>
      </c>
      <c r="E27">
        <v>1</v>
      </c>
      <c r="F27" s="3">
        <f>+'Data Entry'!D54</f>
        <v>176.86</v>
      </c>
      <c r="G27" s="3">
        <f t="shared" si="1"/>
        <v>176.86</v>
      </c>
    </row>
    <row r="28" spans="1:7" x14ac:dyDescent="0.25">
      <c r="F28" s="3"/>
      <c r="G28" s="3"/>
    </row>
    <row r="29" spans="1:7" x14ac:dyDescent="0.25">
      <c r="F29" s="3"/>
      <c r="G29" s="51"/>
    </row>
    <row r="30" spans="1:7" x14ac:dyDescent="0.25">
      <c r="G30" s="52">
        <f>SUM(G12:G28)</f>
        <v>287.95390000000003</v>
      </c>
    </row>
    <row r="32" spans="1:7" ht="21" x14ac:dyDescent="0.4">
      <c r="B32" s="1" t="s">
        <v>266</v>
      </c>
      <c r="C32" s="53" t="s">
        <v>267</v>
      </c>
      <c r="D32" s="54" t="s">
        <v>268</v>
      </c>
      <c r="E32" s="1"/>
      <c r="F32" s="55" t="s">
        <v>269</v>
      </c>
      <c r="G32" s="1" t="s">
        <v>247</v>
      </c>
    </row>
    <row r="33" spans="1:7" x14ac:dyDescent="0.25">
      <c r="B33" s="32" t="s">
        <v>252</v>
      </c>
      <c r="C33" s="71" t="s">
        <v>270</v>
      </c>
      <c r="D33" s="32" t="s">
        <v>271</v>
      </c>
      <c r="E33" s="1"/>
      <c r="F33" s="1"/>
      <c r="G33" s="32" t="s">
        <v>272</v>
      </c>
    </row>
    <row r="34" spans="1:7" x14ac:dyDescent="0.25">
      <c r="B34" s="3">
        <f>+G30</f>
        <v>287.95390000000003</v>
      </c>
      <c r="C34" s="3">
        <f>+B34*(+'Data Entry'!C21)</f>
        <v>17.277234</v>
      </c>
      <c r="D34" s="3">
        <f>+B34*(+'Data Entry'!C16)</f>
        <v>17.104461660000002</v>
      </c>
      <c r="G34" s="3">
        <f>SUM(B34:F34)</f>
        <v>322.33559566000008</v>
      </c>
    </row>
    <row r="35" spans="1:7" x14ac:dyDescent="0.25">
      <c r="C35"/>
    </row>
    <row r="38" spans="1:7" x14ac:dyDescent="0.25">
      <c r="A38" t="s">
        <v>468</v>
      </c>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zoomScale="80" zoomScaleNormal="80" workbookViewId="0">
      <selection activeCell="A2" sqref="A1:A2"/>
    </sheetView>
  </sheetViews>
  <sheetFormatPr defaultColWidth="9.109375" defaultRowHeight="13.2" x14ac:dyDescent="0.25"/>
  <cols>
    <col min="1" max="1" width="16.6640625" style="277" bestFit="1" customWidth="1"/>
    <col min="2" max="2" width="12.109375" style="539" customWidth="1"/>
    <col min="3" max="3" width="72.33203125" style="277" customWidth="1"/>
    <col min="4" max="4" width="14.109375" style="277" customWidth="1"/>
    <col min="5" max="5" width="69.44140625" style="277" customWidth="1"/>
    <col min="6" max="16384" width="9.109375" style="277"/>
  </cols>
  <sheetData>
    <row r="1" spans="1:4" x14ac:dyDescent="0.25">
      <c r="A1" s="773" t="s">
        <v>928</v>
      </c>
    </row>
    <row r="2" spans="1:4" x14ac:dyDescent="0.25">
      <c r="A2" s="773" t="s">
        <v>923</v>
      </c>
    </row>
    <row r="4" spans="1:4" s="595" customFormat="1" x14ac:dyDescent="0.25">
      <c r="A4" s="743" t="s">
        <v>841</v>
      </c>
      <c r="B4" s="743"/>
      <c r="C4" s="743"/>
      <c r="D4" s="594"/>
    </row>
    <row r="5" spans="1:4" s="595" customFormat="1" x14ac:dyDescent="0.25">
      <c r="A5" s="744" t="s">
        <v>842</v>
      </c>
      <c r="B5" s="743"/>
      <c r="C5" s="743"/>
      <c r="D5" s="594"/>
    </row>
    <row r="7" spans="1:4" s="595" customFormat="1" x14ac:dyDescent="0.25">
      <c r="A7" s="737" t="s">
        <v>843</v>
      </c>
      <c r="B7" s="738"/>
      <c r="C7" s="739"/>
      <c r="D7" s="596"/>
    </row>
    <row r="8" spans="1:4" s="595" customFormat="1" x14ac:dyDescent="0.25">
      <c r="A8" s="597"/>
      <c r="B8" s="596"/>
      <c r="C8" s="598"/>
      <c r="D8" s="599"/>
    </row>
    <row r="9" spans="1:4" s="595" customFormat="1" x14ac:dyDescent="0.25">
      <c r="A9" s="600" t="s">
        <v>844</v>
      </c>
      <c r="B9" s="600" t="s">
        <v>845</v>
      </c>
      <c r="C9" s="600" t="s">
        <v>819</v>
      </c>
      <c r="D9" s="601" t="s">
        <v>820</v>
      </c>
    </row>
    <row r="10" spans="1:4" s="595" customFormat="1" ht="6.75" customHeight="1" x14ac:dyDescent="0.25">
      <c r="A10" s="602"/>
      <c r="B10" s="603"/>
      <c r="C10" s="602"/>
      <c r="D10" s="599"/>
    </row>
    <row r="11" spans="1:4" s="595" customFormat="1" ht="39.6" x14ac:dyDescent="0.25">
      <c r="A11" s="604" t="s">
        <v>846</v>
      </c>
      <c r="B11" s="605">
        <v>9.3920000000000003E-2</v>
      </c>
      <c r="C11" s="606" t="s">
        <v>847</v>
      </c>
      <c r="D11" s="607"/>
    </row>
    <row r="12" spans="1:4" s="595" customFormat="1" ht="26.4" x14ac:dyDescent="0.25">
      <c r="A12" s="604" t="s">
        <v>848</v>
      </c>
      <c r="B12" s="605">
        <v>0.04</v>
      </c>
      <c r="C12" s="606" t="s">
        <v>849</v>
      </c>
      <c r="D12" s="607"/>
    </row>
    <row r="13" spans="1:4" s="595" customFormat="1" x14ac:dyDescent="0.25">
      <c r="A13" s="604" t="s">
        <v>850</v>
      </c>
      <c r="B13" s="608">
        <v>1.8200000000000001E-2</v>
      </c>
      <c r="C13" s="609" t="s">
        <v>793</v>
      </c>
      <c r="D13" s="610">
        <v>42295</v>
      </c>
    </row>
    <row r="14" spans="1:4" s="595" customFormat="1" x14ac:dyDescent="0.25">
      <c r="A14" s="604" t="s">
        <v>851</v>
      </c>
      <c r="B14" s="611">
        <v>5.2999999999999998E-4</v>
      </c>
      <c r="C14" s="609" t="s">
        <v>793</v>
      </c>
      <c r="D14" s="610">
        <v>42295</v>
      </c>
    </row>
    <row r="15" spans="1:4" x14ac:dyDescent="0.25">
      <c r="A15" s="612" t="s">
        <v>852</v>
      </c>
      <c r="B15" s="613">
        <f>SUM(B11:B14)</f>
        <v>0.15265000000000001</v>
      </c>
      <c r="C15" s="614"/>
      <c r="D15" s="615"/>
    </row>
    <row r="18" spans="1:5" x14ac:dyDescent="0.25">
      <c r="A18" s="740" t="s">
        <v>853</v>
      </c>
      <c r="B18" s="741"/>
      <c r="C18" s="742"/>
      <c r="D18" s="601"/>
    </row>
    <row r="19" spans="1:5" x14ac:dyDescent="0.25">
      <c r="A19" s="616"/>
      <c r="B19" s="601"/>
      <c r="C19" s="617"/>
      <c r="D19" s="618"/>
    </row>
    <row r="20" spans="1:5" x14ac:dyDescent="0.25">
      <c r="A20" s="619" t="s">
        <v>844</v>
      </c>
      <c r="B20" s="619" t="s">
        <v>845</v>
      </c>
      <c r="C20" s="619" t="s">
        <v>819</v>
      </c>
      <c r="D20" s="601"/>
    </row>
    <row r="21" spans="1:5" x14ac:dyDescent="0.25">
      <c r="A21" s="620"/>
      <c r="B21" s="621"/>
      <c r="C21" s="620"/>
      <c r="D21" s="618"/>
    </row>
    <row r="22" spans="1:5" ht="39.6" x14ac:dyDescent="0.25">
      <c r="A22" s="620" t="s">
        <v>846</v>
      </c>
      <c r="B22" s="622">
        <f>B11</f>
        <v>9.3920000000000003E-2</v>
      </c>
      <c r="C22" s="623" t="s">
        <v>854</v>
      </c>
      <c r="D22" s="607"/>
    </row>
    <row r="23" spans="1:5" ht="26.4" x14ac:dyDescent="0.25">
      <c r="A23" s="624" t="s">
        <v>848</v>
      </c>
      <c r="B23" s="622">
        <f>B12</f>
        <v>0.04</v>
      </c>
      <c r="C23" s="625" t="s">
        <v>855</v>
      </c>
      <c r="D23" s="626"/>
    </row>
    <row r="24" spans="1:5" x14ac:dyDescent="0.25">
      <c r="A24" s="620" t="s">
        <v>850</v>
      </c>
      <c r="B24" s="608">
        <v>1.8200000000000001E-2</v>
      </c>
      <c r="C24" s="627" t="s">
        <v>793</v>
      </c>
      <c r="D24" s="610">
        <v>42295</v>
      </c>
      <c r="E24" s="628" t="s">
        <v>856</v>
      </c>
    </row>
    <row r="25" spans="1:5" x14ac:dyDescent="0.25">
      <c r="A25" s="620" t="s">
        <v>851</v>
      </c>
      <c r="B25" s="611">
        <v>5.2999999999999998E-4</v>
      </c>
      <c r="C25" s="627" t="s">
        <v>793</v>
      </c>
      <c r="D25" s="610">
        <v>42295</v>
      </c>
      <c r="E25" s="628" t="s">
        <v>856</v>
      </c>
    </row>
    <row r="26" spans="1:5" x14ac:dyDescent="0.25">
      <c r="A26" s="612" t="s">
        <v>852</v>
      </c>
      <c r="B26" s="613">
        <f>SUM(B22:B25)</f>
        <v>0.15265000000000001</v>
      </c>
      <c r="C26" s="629"/>
      <c r="D26" s="618"/>
    </row>
    <row r="30" spans="1:5" x14ac:dyDescent="0.25">
      <c r="B30" s="539" t="s">
        <v>857</v>
      </c>
    </row>
  </sheetData>
  <mergeCells count="4">
    <mergeCell ref="A7:C7"/>
    <mergeCell ref="A18:C18"/>
    <mergeCell ref="A4:C4"/>
    <mergeCell ref="A5:C5"/>
  </mergeCells>
  <hyperlinks>
    <hyperlink ref="E24" r:id="rId1"/>
    <hyperlink ref="E25" r:id="rId2"/>
  </hyperlinks>
  <pageMargins left="0.2" right="0.22" top="1" bottom="1" header="0.5" footer="0.5"/>
  <pageSetup orientation="landscape" r:id="rId3"/>
  <headerFooter alignWithMargins="0"/>
  <drawing r:id="rId4"/>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7"/>
  <sheetViews>
    <sheetView workbookViewId="0">
      <selection activeCell="A2" sqref="A2"/>
    </sheetView>
  </sheetViews>
  <sheetFormatPr defaultRowHeight="13.2" x14ac:dyDescent="0.25"/>
  <cols>
    <col min="1" max="1" width="21.109375" customWidth="1"/>
    <col min="2" max="2" width="8.109375" customWidth="1"/>
    <col min="3" max="3" width="14.6640625" style="46" customWidth="1"/>
  </cols>
  <sheetData>
    <row r="1" spans="1:7" x14ac:dyDescent="0.25">
      <c r="A1" s="773" t="s">
        <v>981</v>
      </c>
    </row>
    <row r="2" spans="1:7" x14ac:dyDescent="0.25">
      <c r="A2" s="773" t="s">
        <v>923</v>
      </c>
    </row>
    <row r="4" spans="1:7" x14ac:dyDescent="0.25">
      <c r="A4" s="1" t="s">
        <v>301</v>
      </c>
      <c r="B4" s="1"/>
      <c r="C4" s="91"/>
      <c r="D4" s="1"/>
      <c r="E4" s="1"/>
      <c r="F4" s="1"/>
      <c r="G4" s="1"/>
    </row>
    <row r="5" spans="1:7" x14ac:dyDescent="0.25">
      <c r="A5" s="1" t="s">
        <v>288</v>
      </c>
      <c r="B5" s="1"/>
      <c r="C5" s="91"/>
      <c r="D5" s="1"/>
      <c r="E5" s="1"/>
      <c r="F5" s="1"/>
      <c r="G5" s="1"/>
    </row>
    <row r="6" spans="1:7" x14ac:dyDescent="0.25">
      <c r="A6" s="1" t="s">
        <v>189</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289</v>
      </c>
      <c r="C12" s="46">
        <v>100406005</v>
      </c>
      <c r="E12">
        <v>12</v>
      </c>
      <c r="F12" s="3">
        <f>+'Data Entry'!D27</f>
        <v>0.09</v>
      </c>
      <c r="G12" s="3">
        <f t="shared" ref="G12:G27" si="0">+E12*F12</f>
        <v>1.08</v>
      </c>
    </row>
    <row r="13" spans="1:7" x14ac:dyDescent="0.25">
      <c r="A13" t="s">
        <v>290</v>
      </c>
      <c r="C13" s="46">
        <v>100587000</v>
      </c>
      <c r="E13">
        <v>618</v>
      </c>
      <c r="F13" s="3">
        <f>+'Data Entry'!D28</f>
        <v>0.09</v>
      </c>
      <c r="G13" s="3">
        <f t="shared" si="0"/>
        <v>55.62</v>
      </c>
    </row>
    <row r="14" spans="1:7" x14ac:dyDescent="0.25">
      <c r="A14" t="s">
        <v>253</v>
      </c>
      <c r="C14" s="46">
        <v>103070211</v>
      </c>
      <c r="E14">
        <v>1</v>
      </c>
      <c r="F14" s="3">
        <f>+'Data Entry'!D29</f>
        <v>0.18</v>
      </c>
      <c r="G14" s="3">
        <f t="shared" si="0"/>
        <v>0.18</v>
      </c>
    </row>
    <row r="15" spans="1:7" x14ac:dyDescent="0.25">
      <c r="A15" t="s">
        <v>291</v>
      </c>
      <c r="C15" s="46">
        <v>112308003</v>
      </c>
      <c r="E15">
        <v>41</v>
      </c>
      <c r="F15" s="3">
        <f>+'Data Entry'!D31</f>
        <v>0.28999999999999998</v>
      </c>
      <c r="G15" s="3">
        <f t="shared" si="0"/>
        <v>11.889999999999999</v>
      </c>
    </row>
    <row r="16" spans="1:7" x14ac:dyDescent="0.25">
      <c r="A16" t="s">
        <v>292</v>
      </c>
      <c r="C16" s="46">
        <v>120036106</v>
      </c>
      <c r="E16">
        <v>0.25</v>
      </c>
      <c r="F16" s="3">
        <f>+'Data Entry'!D34</f>
        <v>0.85</v>
      </c>
      <c r="G16" s="3">
        <f t="shared" si="0"/>
        <v>0.21249999999999999</v>
      </c>
    </row>
    <row r="17" spans="1:7" x14ac:dyDescent="0.25">
      <c r="A17" t="s">
        <v>253</v>
      </c>
      <c r="C17" s="46">
        <v>120111001</v>
      </c>
      <c r="E17">
        <v>1</v>
      </c>
      <c r="F17" s="3">
        <f>+'Data Entry'!D35</f>
        <v>0.55000000000000004</v>
      </c>
      <c r="G17" s="3">
        <f t="shared" si="0"/>
        <v>0.55000000000000004</v>
      </c>
    </row>
    <row r="18" spans="1:7" x14ac:dyDescent="0.25">
      <c r="A18" t="s">
        <v>293</v>
      </c>
      <c r="C18" s="46">
        <v>130405104</v>
      </c>
      <c r="E18">
        <v>0.75</v>
      </c>
      <c r="F18" s="3">
        <f>+'Data Entry'!D36</f>
        <v>2.2999999999999998</v>
      </c>
      <c r="G18" s="3">
        <f t="shared" si="0"/>
        <v>1.7249999999999999</v>
      </c>
    </row>
    <row r="19" spans="1:7" x14ac:dyDescent="0.25">
      <c r="A19" t="s">
        <v>294</v>
      </c>
      <c r="C19" s="46">
        <v>130614005</v>
      </c>
      <c r="E19">
        <v>1</v>
      </c>
      <c r="F19" s="3">
        <f>+'Data Entry'!D37</f>
        <v>10.81</v>
      </c>
      <c r="G19" s="3">
        <f t="shared" si="0"/>
        <v>10.81</v>
      </c>
    </row>
    <row r="20" spans="1:7" x14ac:dyDescent="0.25">
      <c r="A20" t="s">
        <v>257</v>
      </c>
      <c r="C20" s="46">
        <v>140590001</v>
      </c>
      <c r="E20">
        <v>2</v>
      </c>
      <c r="F20" s="3">
        <f>+'Data Entry'!D40</f>
        <v>0.84</v>
      </c>
      <c r="G20" s="3">
        <f t="shared" si="0"/>
        <v>1.68</v>
      </c>
    </row>
    <row r="21" spans="1:7" x14ac:dyDescent="0.25">
      <c r="A21" t="s">
        <v>295</v>
      </c>
      <c r="C21" s="244">
        <v>141707000</v>
      </c>
      <c r="E21">
        <v>2</v>
      </c>
      <c r="F21" s="3">
        <f>+'Data Entry'!D41</f>
        <v>9.39</v>
      </c>
      <c r="G21" s="3">
        <f t="shared" si="0"/>
        <v>18.78</v>
      </c>
    </row>
    <row r="22" spans="1:7" x14ac:dyDescent="0.25">
      <c r="A22" t="s">
        <v>258</v>
      </c>
      <c r="C22" s="244">
        <v>142631007</v>
      </c>
      <c r="E22">
        <v>0.02</v>
      </c>
      <c r="F22" s="3">
        <f>+'Data Entry'!D42</f>
        <v>3.82</v>
      </c>
      <c r="G22" s="3">
        <f t="shared" si="0"/>
        <v>7.6399999999999996E-2</v>
      </c>
    </row>
    <row r="23" spans="1:7" x14ac:dyDescent="0.25">
      <c r="A23" t="s">
        <v>296</v>
      </c>
      <c r="C23" s="46">
        <v>144405004</v>
      </c>
      <c r="E23">
        <v>2</v>
      </c>
      <c r="F23" s="3">
        <f>+'Data Entry'!D44</f>
        <v>0.61</v>
      </c>
      <c r="G23" s="3">
        <f t="shared" si="0"/>
        <v>1.22</v>
      </c>
    </row>
    <row r="24" spans="1:7" x14ac:dyDescent="0.25">
      <c r="A24" t="s">
        <v>297</v>
      </c>
      <c r="C24" s="46">
        <v>144505009</v>
      </c>
      <c r="E24">
        <v>1</v>
      </c>
      <c r="F24" s="3">
        <f>+'Data Entry'!D45</f>
        <v>6.35</v>
      </c>
      <c r="G24" s="3">
        <f t="shared" si="0"/>
        <v>6.35</v>
      </c>
    </row>
    <row r="25" spans="1:7" x14ac:dyDescent="0.25">
      <c r="A25" t="s">
        <v>260</v>
      </c>
      <c r="C25" s="46">
        <v>145374005</v>
      </c>
      <c r="E25">
        <v>4</v>
      </c>
      <c r="F25" s="3">
        <f>+'Data Entry'!D49</f>
        <v>0.13</v>
      </c>
      <c r="G25" s="3">
        <f t="shared" si="0"/>
        <v>0.52</v>
      </c>
    </row>
    <row r="26" spans="1:7" x14ac:dyDescent="0.25">
      <c r="A26" t="s">
        <v>260</v>
      </c>
      <c r="C26" s="46">
        <v>145395002</v>
      </c>
      <c r="E26">
        <v>2</v>
      </c>
      <c r="F26" s="3">
        <f>+'Data Entry'!D51</f>
        <v>0.2</v>
      </c>
      <c r="G26" s="3">
        <f t="shared" si="0"/>
        <v>0.4</v>
      </c>
    </row>
    <row r="27" spans="1:7" x14ac:dyDescent="0.25">
      <c r="A27" t="s">
        <v>298</v>
      </c>
      <c r="C27" s="46">
        <v>151192002</v>
      </c>
      <c r="E27">
        <v>1</v>
      </c>
      <c r="F27" s="3">
        <f>+'Data Entry'!D55</f>
        <v>252.98</v>
      </c>
      <c r="G27" s="3">
        <f t="shared" si="0"/>
        <v>252.98</v>
      </c>
    </row>
    <row r="28" spans="1:7" x14ac:dyDescent="0.25">
      <c r="F28" s="3"/>
      <c r="G28" s="3"/>
    </row>
    <row r="29" spans="1:7" x14ac:dyDescent="0.25">
      <c r="F29" s="3"/>
      <c r="G29" s="51"/>
    </row>
    <row r="30" spans="1:7" x14ac:dyDescent="0.25">
      <c r="G30" s="52">
        <f>SUM(G12:G28)</f>
        <v>364.07389999999998</v>
      </c>
    </row>
    <row r="32" spans="1:7" ht="21" x14ac:dyDescent="0.4">
      <c r="B32" s="1" t="s">
        <v>266</v>
      </c>
      <c r="C32" s="53" t="s">
        <v>267</v>
      </c>
      <c r="D32" s="54" t="s">
        <v>268</v>
      </c>
      <c r="E32" s="1"/>
      <c r="F32" s="55" t="s">
        <v>269</v>
      </c>
      <c r="G32" s="1" t="s">
        <v>247</v>
      </c>
    </row>
    <row r="33" spans="1:7" x14ac:dyDescent="0.25">
      <c r="B33" s="32" t="s">
        <v>252</v>
      </c>
      <c r="C33" s="71" t="s">
        <v>270</v>
      </c>
      <c r="D33" s="32" t="s">
        <v>271</v>
      </c>
      <c r="E33" s="1"/>
      <c r="F33" s="1"/>
      <c r="G33" s="32" t="s">
        <v>272</v>
      </c>
    </row>
    <row r="34" spans="1:7" x14ac:dyDescent="0.25">
      <c r="B34" s="3">
        <f>+G30</f>
        <v>364.07389999999998</v>
      </c>
      <c r="C34" s="3">
        <f>+B34*(+'Data Entry'!C21)</f>
        <v>21.844434</v>
      </c>
      <c r="D34" s="3">
        <f>+B34*(+'Data Entry'!C16)</f>
        <v>21.625989659999998</v>
      </c>
      <c r="G34" s="3">
        <f>SUM(B34:F34)</f>
        <v>407.54432365999998</v>
      </c>
    </row>
    <row r="35" spans="1:7" x14ac:dyDescent="0.25">
      <c r="C35"/>
    </row>
    <row r="37" spans="1:7" x14ac:dyDescent="0.25">
      <c r="A37" t="s">
        <v>468</v>
      </c>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7"/>
  <sheetViews>
    <sheetView workbookViewId="0">
      <selection activeCell="A2" sqref="A2"/>
    </sheetView>
  </sheetViews>
  <sheetFormatPr defaultRowHeight="13.2" x14ac:dyDescent="0.25"/>
  <cols>
    <col min="1" max="1" width="10.88671875" customWidth="1"/>
    <col min="3" max="3" width="11.44140625" customWidth="1"/>
  </cols>
  <sheetData>
    <row r="1" spans="1:7" x14ac:dyDescent="0.25">
      <c r="A1" s="773" t="s">
        <v>982</v>
      </c>
    </row>
    <row r="2" spans="1:7" x14ac:dyDescent="0.25">
      <c r="A2" s="773" t="s">
        <v>923</v>
      </c>
    </row>
    <row r="4" spans="1:7" x14ac:dyDescent="0.25">
      <c r="A4" s="1" t="s">
        <v>494</v>
      </c>
      <c r="B4" s="1"/>
      <c r="C4" s="91"/>
      <c r="D4" s="1"/>
      <c r="E4" s="1"/>
      <c r="F4" s="1"/>
      <c r="G4" s="1"/>
    </row>
    <row r="5" spans="1:7" x14ac:dyDescent="0.25">
      <c r="A5" s="1" t="s">
        <v>288</v>
      </c>
      <c r="B5" s="1"/>
      <c r="C5" s="91"/>
      <c r="D5" s="1"/>
      <c r="E5" s="1"/>
      <c r="F5" s="1"/>
      <c r="G5" s="1"/>
    </row>
    <row r="6" spans="1:7" x14ac:dyDescent="0.25">
      <c r="A6" s="1" t="s">
        <v>189</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289</v>
      </c>
      <c r="C12" s="46">
        <v>100406005</v>
      </c>
      <c r="E12">
        <v>12</v>
      </c>
      <c r="F12" s="3">
        <f>+'Data Entry'!D27</f>
        <v>0.09</v>
      </c>
      <c r="G12" s="3">
        <f t="shared" ref="G12:G27" si="0">+E12*F12</f>
        <v>1.08</v>
      </c>
    </row>
    <row r="13" spans="1:7" x14ac:dyDescent="0.25">
      <c r="A13" t="s">
        <v>290</v>
      </c>
      <c r="C13" s="46">
        <v>100587000</v>
      </c>
      <c r="E13">
        <v>618</v>
      </c>
      <c r="F13" s="3">
        <f>+'Data Entry'!D28</f>
        <v>0.09</v>
      </c>
      <c r="G13" s="3">
        <f t="shared" si="0"/>
        <v>55.62</v>
      </c>
    </row>
    <row r="14" spans="1:7" x14ac:dyDescent="0.25">
      <c r="A14" t="s">
        <v>253</v>
      </c>
      <c r="C14" s="46">
        <v>103070211</v>
      </c>
      <c r="E14">
        <v>1</v>
      </c>
      <c r="F14" s="3">
        <f>+'Data Entry'!D29</f>
        <v>0.18</v>
      </c>
      <c r="G14" s="3">
        <f t="shared" si="0"/>
        <v>0.18</v>
      </c>
    </row>
    <row r="15" spans="1:7" x14ac:dyDescent="0.25">
      <c r="A15" t="s">
        <v>291</v>
      </c>
      <c r="C15" s="46">
        <v>112308003</v>
      </c>
      <c r="E15">
        <v>41</v>
      </c>
      <c r="F15" s="3">
        <f>+'Data Entry'!D31</f>
        <v>0.28999999999999998</v>
      </c>
      <c r="G15" s="3">
        <f t="shared" si="0"/>
        <v>11.889999999999999</v>
      </c>
    </row>
    <row r="16" spans="1:7" x14ac:dyDescent="0.25">
      <c r="A16" t="s">
        <v>292</v>
      </c>
      <c r="C16" s="46">
        <v>120036106</v>
      </c>
      <c r="E16">
        <v>0.25</v>
      </c>
      <c r="F16" s="3">
        <f>+'Data Entry'!D34</f>
        <v>0.85</v>
      </c>
      <c r="G16" s="3">
        <f t="shared" si="0"/>
        <v>0.21249999999999999</v>
      </c>
    </row>
    <row r="17" spans="1:7" x14ac:dyDescent="0.25">
      <c r="A17" t="s">
        <v>253</v>
      </c>
      <c r="C17" s="46">
        <v>120111001</v>
      </c>
      <c r="E17">
        <v>1</v>
      </c>
      <c r="F17" s="3">
        <f>+'Data Entry'!D35</f>
        <v>0.55000000000000004</v>
      </c>
      <c r="G17" s="3">
        <f t="shared" si="0"/>
        <v>0.55000000000000004</v>
      </c>
    </row>
    <row r="18" spans="1:7" x14ac:dyDescent="0.25">
      <c r="A18" t="s">
        <v>293</v>
      </c>
      <c r="C18" s="46">
        <v>130405104</v>
      </c>
      <c r="E18">
        <v>0.75</v>
      </c>
      <c r="F18" s="3">
        <f>+'Data Entry'!D36</f>
        <v>2.2999999999999998</v>
      </c>
      <c r="G18" s="3">
        <f t="shared" si="0"/>
        <v>1.7249999999999999</v>
      </c>
    </row>
    <row r="19" spans="1:7" x14ac:dyDescent="0.25">
      <c r="A19" t="s">
        <v>294</v>
      </c>
      <c r="C19" s="46">
        <v>130614005</v>
      </c>
      <c r="E19">
        <v>1</v>
      </c>
      <c r="F19" s="3">
        <f>+'Data Entry'!D37</f>
        <v>10.81</v>
      </c>
      <c r="G19" s="3">
        <f t="shared" si="0"/>
        <v>10.81</v>
      </c>
    </row>
    <row r="20" spans="1:7" x14ac:dyDescent="0.25">
      <c r="A20" t="s">
        <v>257</v>
      </c>
      <c r="C20" s="46">
        <v>140590001</v>
      </c>
      <c r="E20">
        <v>2</v>
      </c>
      <c r="F20" s="3">
        <f>+'Data Entry'!D40</f>
        <v>0.84</v>
      </c>
      <c r="G20" s="3">
        <f t="shared" si="0"/>
        <v>1.68</v>
      </c>
    </row>
    <row r="21" spans="1:7" x14ac:dyDescent="0.25">
      <c r="A21" t="s">
        <v>295</v>
      </c>
      <c r="C21" s="244">
        <v>141707000</v>
      </c>
      <c r="E21">
        <v>2</v>
      </c>
      <c r="F21" s="3">
        <f>+'Data Entry'!D41</f>
        <v>9.39</v>
      </c>
      <c r="G21" s="3">
        <f t="shared" si="0"/>
        <v>18.78</v>
      </c>
    </row>
    <row r="22" spans="1:7" x14ac:dyDescent="0.25">
      <c r="A22" t="s">
        <v>258</v>
      </c>
      <c r="C22" s="244">
        <v>142631007</v>
      </c>
      <c r="E22">
        <v>0.02</v>
      </c>
      <c r="F22" s="3">
        <f>+'Data Entry'!D42</f>
        <v>3.82</v>
      </c>
      <c r="G22" s="3">
        <f t="shared" si="0"/>
        <v>7.6399999999999996E-2</v>
      </c>
    </row>
    <row r="23" spans="1:7" x14ac:dyDescent="0.25">
      <c r="A23" t="s">
        <v>296</v>
      </c>
      <c r="C23" s="46">
        <v>144405004</v>
      </c>
      <c r="E23">
        <v>2</v>
      </c>
      <c r="F23" s="3">
        <f>+'Data Entry'!D44</f>
        <v>0.61</v>
      </c>
      <c r="G23" s="3">
        <f t="shared" si="0"/>
        <v>1.22</v>
      </c>
    </row>
    <row r="24" spans="1:7" x14ac:dyDescent="0.25">
      <c r="A24" t="s">
        <v>297</v>
      </c>
      <c r="C24" s="46">
        <v>144505009</v>
      </c>
      <c r="E24">
        <v>1</v>
      </c>
      <c r="F24" s="3">
        <f>+'Data Entry'!D45</f>
        <v>6.35</v>
      </c>
      <c r="G24" s="3">
        <f t="shared" si="0"/>
        <v>6.35</v>
      </c>
    </row>
    <row r="25" spans="1:7" x14ac:dyDescent="0.25">
      <c r="A25" t="s">
        <v>260</v>
      </c>
      <c r="C25" s="46">
        <v>145374005</v>
      </c>
      <c r="E25">
        <v>4</v>
      </c>
      <c r="F25" s="3">
        <f>+'Data Entry'!D49</f>
        <v>0.13</v>
      </c>
      <c r="G25" s="3">
        <f t="shared" si="0"/>
        <v>0.52</v>
      </c>
    </row>
    <row r="26" spans="1:7" x14ac:dyDescent="0.25">
      <c r="A26" t="s">
        <v>260</v>
      </c>
      <c r="C26" s="46">
        <v>145395002</v>
      </c>
      <c r="E26">
        <v>2</v>
      </c>
      <c r="F26" s="3">
        <f>+'Data Entry'!D51</f>
        <v>0.2</v>
      </c>
      <c r="G26" s="3">
        <f t="shared" si="0"/>
        <v>0.4</v>
      </c>
    </row>
    <row r="27" spans="1:7" x14ac:dyDescent="0.25">
      <c r="A27" t="s">
        <v>298</v>
      </c>
      <c r="C27" s="46">
        <v>151200005</v>
      </c>
      <c r="E27">
        <v>1</v>
      </c>
      <c r="F27" s="3">
        <f>'Data Entry'!$D$56</f>
        <v>410.15</v>
      </c>
      <c r="G27" s="3">
        <f t="shared" si="0"/>
        <v>410.15</v>
      </c>
    </row>
    <row r="28" spans="1:7" x14ac:dyDescent="0.25">
      <c r="C28" s="46"/>
      <c r="F28" s="3"/>
      <c r="G28" s="3"/>
    </row>
    <row r="29" spans="1:7" x14ac:dyDescent="0.25">
      <c r="C29" s="46"/>
      <c r="F29" s="3"/>
      <c r="G29" s="51"/>
    </row>
    <row r="30" spans="1:7" x14ac:dyDescent="0.25">
      <c r="C30" s="46"/>
      <c r="G30" s="52">
        <f>SUM(G12:G28)</f>
        <v>521.24389999999994</v>
      </c>
    </row>
    <row r="31" spans="1:7" x14ac:dyDescent="0.25">
      <c r="C31" s="46"/>
    </row>
    <row r="32" spans="1:7" ht="21" x14ac:dyDescent="0.4">
      <c r="B32" s="1" t="s">
        <v>266</v>
      </c>
      <c r="C32" s="53" t="s">
        <v>267</v>
      </c>
      <c r="D32" s="54" t="s">
        <v>268</v>
      </c>
      <c r="E32" s="1"/>
      <c r="F32" s="55" t="s">
        <v>269</v>
      </c>
      <c r="G32" s="1" t="s">
        <v>247</v>
      </c>
    </row>
    <row r="33" spans="1:7" x14ac:dyDescent="0.25">
      <c r="B33" s="32" t="s">
        <v>252</v>
      </c>
      <c r="C33" s="71" t="s">
        <v>270</v>
      </c>
      <c r="D33" s="32" t="s">
        <v>271</v>
      </c>
      <c r="E33" s="1"/>
      <c r="F33" s="1"/>
      <c r="G33" s="32" t="s">
        <v>272</v>
      </c>
    </row>
    <row r="34" spans="1:7" x14ac:dyDescent="0.25">
      <c r="B34" s="3">
        <f>+G30</f>
        <v>521.24389999999994</v>
      </c>
      <c r="C34" s="3">
        <f>+B34*(+'Data Entry'!C21)</f>
        <v>31.274633999999995</v>
      </c>
      <c r="D34" s="3">
        <f>+B34*(+'Data Entry'!C16)</f>
        <v>30.961887659999999</v>
      </c>
      <c r="G34" s="3">
        <f>SUM(B34:F34)</f>
        <v>583.48042165999993</v>
      </c>
    </row>
    <row r="36" spans="1:7" x14ac:dyDescent="0.25">
      <c r="C36" s="46"/>
    </row>
    <row r="37" spans="1:7" x14ac:dyDescent="0.25">
      <c r="A37" t="s">
        <v>468</v>
      </c>
      <c r="C37" s="46"/>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60"/>
  <sheetViews>
    <sheetView zoomScaleNormal="100" workbookViewId="0">
      <selection activeCell="A4" sqref="A4"/>
    </sheetView>
  </sheetViews>
  <sheetFormatPr defaultRowHeight="13.2" x14ac:dyDescent="0.25"/>
  <cols>
    <col min="1" max="1" width="21.109375" customWidth="1"/>
    <col min="2" max="2" width="8.109375" customWidth="1"/>
    <col min="3" max="3" width="14.6640625" style="46" customWidth="1"/>
  </cols>
  <sheetData>
    <row r="1" spans="1:7" x14ac:dyDescent="0.25">
      <c r="A1" s="773" t="s">
        <v>983</v>
      </c>
    </row>
    <row r="2" spans="1:7" x14ac:dyDescent="0.25">
      <c r="A2" s="773" t="s">
        <v>923</v>
      </c>
    </row>
    <row r="4" spans="1:7" x14ac:dyDescent="0.25">
      <c r="A4" s="1" t="s">
        <v>303</v>
      </c>
      <c r="B4" s="1"/>
      <c r="C4" s="91"/>
      <c r="D4" s="1"/>
      <c r="E4" s="1"/>
      <c r="F4" s="1"/>
      <c r="G4" s="1"/>
    </row>
    <row r="5" spans="1:7" x14ac:dyDescent="0.25">
      <c r="A5" s="1" t="s">
        <v>304</v>
      </c>
      <c r="B5" s="1"/>
      <c r="C5" s="91"/>
      <c r="D5" s="1"/>
      <c r="E5" s="1"/>
      <c r="F5" s="1"/>
      <c r="G5" s="1"/>
    </row>
    <row r="6" spans="1:7" x14ac:dyDescent="0.25">
      <c r="A6" s="1" t="s">
        <v>189</v>
      </c>
      <c r="B6" s="1"/>
      <c r="C6" s="91"/>
      <c r="D6" s="1"/>
      <c r="E6" s="1"/>
      <c r="F6" s="1"/>
      <c r="G6" s="1"/>
    </row>
    <row r="7" spans="1:7" x14ac:dyDescent="0.25">
      <c r="A7" s="1"/>
      <c r="B7" s="1"/>
      <c r="C7" s="91"/>
      <c r="D7" s="1"/>
      <c r="E7" s="1"/>
      <c r="F7" s="1"/>
      <c r="G7" s="1"/>
    </row>
    <row r="8" spans="1:7" x14ac:dyDescent="0.25">
      <c r="A8" s="73" t="s">
        <v>244</v>
      </c>
      <c r="B8" s="73"/>
      <c r="C8" s="92"/>
      <c r="D8" s="93"/>
      <c r="E8" s="73" t="s">
        <v>245</v>
      </c>
      <c r="F8" s="73" t="s">
        <v>246</v>
      </c>
      <c r="G8" s="73" t="s">
        <v>247</v>
      </c>
    </row>
    <row r="9" spans="1:7" x14ac:dyDescent="0.25">
      <c r="A9" s="93" t="s">
        <v>248</v>
      </c>
      <c r="B9" s="73"/>
      <c r="C9" s="92" t="s">
        <v>249</v>
      </c>
      <c r="D9" s="93"/>
      <c r="E9" s="93" t="s">
        <v>250</v>
      </c>
      <c r="F9" s="93" t="s">
        <v>251</v>
      </c>
      <c r="G9" s="93" t="s">
        <v>252</v>
      </c>
    </row>
    <row r="10" spans="1:7" x14ac:dyDescent="0.25">
      <c r="A10" s="47"/>
      <c r="B10" s="47"/>
      <c r="C10" s="48"/>
      <c r="D10" s="47"/>
    </row>
    <row r="11" spans="1:7" x14ac:dyDescent="0.25">
      <c r="A11" t="s">
        <v>289</v>
      </c>
      <c r="C11" s="46">
        <v>100406005</v>
      </c>
      <c r="E11">
        <v>12</v>
      </c>
      <c r="F11" s="3">
        <f>+'Data Entry'!D27</f>
        <v>0.09</v>
      </c>
      <c r="G11" s="3">
        <f t="shared" ref="G11:G23" si="0">+E11*F11</f>
        <v>1.08</v>
      </c>
    </row>
    <row r="12" spans="1:7" x14ac:dyDescent="0.25">
      <c r="A12" t="s">
        <v>290</v>
      </c>
      <c r="C12" s="46">
        <v>100587000</v>
      </c>
      <c r="E12">
        <v>618</v>
      </c>
      <c r="F12" s="3">
        <f>+'Data Entry'!D28</f>
        <v>0.09</v>
      </c>
      <c r="G12" s="3">
        <f t="shared" si="0"/>
        <v>55.62</v>
      </c>
    </row>
    <row r="13" spans="1:7" x14ac:dyDescent="0.25">
      <c r="A13" t="s">
        <v>253</v>
      </c>
      <c r="C13" s="46">
        <v>103070211</v>
      </c>
      <c r="E13">
        <v>1</v>
      </c>
      <c r="F13" s="3">
        <f>+'Data Entry'!D29</f>
        <v>0.18</v>
      </c>
      <c r="G13" s="3">
        <f t="shared" si="0"/>
        <v>0.18</v>
      </c>
    </row>
    <row r="14" spans="1:7" x14ac:dyDescent="0.25">
      <c r="A14" t="s">
        <v>291</v>
      </c>
      <c r="C14" s="46">
        <v>112308003</v>
      </c>
      <c r="E14">
        <v>6</v>
      </c>
      <c r="F14" s="3">
        <f>+'Data Entry'!D31</f>
        <v>0.28999999999999998</v>
      </c>
      <c r="G14" s="3">
        <f t="shared" si="0"/>
        <v>1.7399999999999998</v>
      </c>
    </row>
    <row r="15" spans="1:7" x14ac:dyDescent="0.25">
      <c r="A15" t="s">
        <v>292</v>
      </c>
      <c r="C15" s="46">
        <v>120036106</v>
      </c>
      <c r="E15">
        <v>0.25</v>
      </c>
      <c r="F15" s="3">
        <f>+'Data Entry'!D34</f>
        <v>0.85</v>
      </c>
      <c r="G15" s="3">
        <f t="shared" si="0"/>
        <v>0.21249999999999999</v>
      </c>
    </row>
    <row r="16" spans="1:7" x14ac:dyDescent="0.25">
      <c r="A16" t="s">
        <v>253</v>
      </c>
      <c r="C16" s="46">
        <v>120111001</v>
      </c>
      <c r="E16">
        <v>1</v>
      </c>
      <c r="F16" s="3">
        <f>+'Data Entry'!D35</f>
        <v>0.55000000000000004</v>
      </c>
      <c r="G16" s="3">
        <f t="shared" si="0"/>
        <v>0.55000000000000004</v>
      </c>
    </row>
    <row r="17" spans="1:7" x14ac:dyDescent="0.25">
      <c r="A17" t="s">
        <v>293</v>
      </c>
      <c r="C17" s="46">
        <v>130405104</v>
      </c>
      <c r="E17">
        <v>0.75</v>
      </c>
      <c r="F17" s="3">
        <f>+'Data Entry'!D36</f>
        <v>2.2999999999999998</v>
      </c>
      <c r="G17" s="3">
        <f t="shared" si="0"/>
        <v>1.7249999999999999</v>
      </c>
    </row>
    <row r="18" spans="1:7" x14ac:dyDescent="0.25">
      <c r="A18" t="s">
        <v>294</v>
      </c>
      <c r="C18" s="46">
        <v>130614005</v>
      </c>
      <c r="E18">
        <v>1</v>
      </c>
      <c r="F18" s="3">
        <f>+'Data Entry'!D37</f>
        <v>10.81</v>
      </c>
      <c r="G18" s="3">
        <f t="shared" si="0"/>
        <v>10.81</v>
      </c>
    </row>
    <row r="19" spans="1:7" x14ac:dyDescent="0.25">
      <c r="A19" t="s">
        <v>257</v>
      </c>
      <c r="C19" s="46">
        <v>140588007</v>
      </c>
      <c r="E19">
        <v>2</v>
      </c>
      <c r="F19" s="3">
        <f>+'Data Entry'!D39</f>
        <v>0.79</v>
      </c>
      <c r="G19" s="3">
        <f t="shared" si="0"/>
        <v>1.58</v>
      </c>
    </row>
    <row r="20" spans="1:7" x14ac:dyDescent="0.25">
      <c r="A20" t="s">
        <v>295</v>
      </c>
      <c r="C20" s="244">
        <v>141707000</v>
      </c>
      <c r="E20">
        <v>2</v>
      </c>
      <c r="F20" s="3">
        <f>+'Data Entry'!D41</f>
        <v>9.39</v>
      </c>
      <c r="G20" s="3">
        <f t="shared" si="0"/>
        <v>18.78</v>
      </c>
    </row>
    <row r="21" spans="1:7" x14ac:dyDescent="0.25">
      <c r="A21" t="s">
        <v>296</v>
      </c>
      <c r="C21" s="46">
        <v>144405004</v>
      </c>
      <c r="E21">
        <v>2</v>
      </c>
      <c r="F21" s="3">
        <f>+'Data Entry'!D44</f>
        <v>0.61</v>
      </c>
      <c r="G21" s="3">
        <f t="shared" si="0"/>
        <v>1.22</v>
      </c>
    </row>
    <row r="22" spans="1:7" x14ac:dyDescent="0.25">
      <c r="A22" t="s">
        <v>260</v>
      </c>
      <c r="C22" s="46">
        <v>145395002</v>
      </c>
      <c r="E22">
        <v>2</v>
      </c>
      <c r="F22" s="3">
        <f>+'Data Entry'!D51</f>
        <v>0.2</v>
      </c>
      <c r="G22" s="3">
        <f t="shared" si="0"/>
        <v>0.4</v>
      </c>
    </row>
    <row r="23" spans="1:7" x14ac:dyDescent="0.25">
      <c r="A23" t="s">
        <v>298</v>
      </c>
      <c r="C23" s="46">
        <v>152234001</v>
      </c>
      <c r="E23">
        <v>1</v>
      </c>
      <c r="F23" s="3">
        <f>+'Data Entry'!D58</f>
        <v>292.63</v>
      </c>
      <c r="G23" s="3">
        <f t="shared" si="0"/>
        <v>292.63</v>
      </c>
    </row>
    <row r="24" spans="1:7" x14ac:dyDescent="0.25">
      <c r="F24" s="3"/>
      <c r="G24" s="3"/>
    </row>
    <row r="25" spans="1:7" x14ac:dyDescent="0.25">
      <c r="F25" s="3"/>
      <c r="G25" s="51"/>
    </row>
    <row r="26" spans="1:7" x14ac:dyDescent="0.25">
      <c r="G26" s="52">
        <f>SUM(G11:G24)</f>
        <v>386.52749999999997</v>
      </c>
    </row>
    <row r="28" spans="1:7" ht="21" x14ac:dyDescent="0.4">
      <c r="B28" s="1" t="s">
        <v>266</v>
      </c>
      <c r="C28" s="53" t="s">
        <v>267</v>
      </c>
      <c r="D28" s="54" t="s">
        <v>268</v>
      </c>
      <c r="E28" s="1"/>
      <c r="F28" s="55" t="s">
        <v>269</v>
      </c>
      <c r="G28" s="1" t="s">
        <v>247</v>
      </c>
    </row>
    <row r="29" spans="1:7" x14ac:dyDescent="0.25">
      <c r="B29" s="32" t="s">
        <v>252</v>
      </c>
      <c r="C29" s="71" t="s">
        <v>270</v>
      </c>
      <c r="D29" s="32" t="s">
        <v>271</v>
      </c>
      <c r="E29" s="1"/>
      <c r="F29" s="1"/>
      <c r="G29" s="32" t="s">
        <v>272</v>
      </c>
    </row>
    <row r="30" spans="1:7" x14ac:dyDescent="0.25">
      <c r="B30" s="3">
        <f>+G26</f>
        <v>386.52749999999997</v>
      </c>
      <c r="C30" s="3">
        <f>+B30*(+'Data Entry'!C21)</f>
        <v>23.191649999999999</v>
      </c>
      <c r="D30" s="3">
        <f>+B30*(+'Data Entry'!C16)</f>
        <v>22.959733499999999</v>
      </c>
      <c r="G30" s="3">
        <f>SUM(B30:F30)</f>
        <v>432.67888349999998</v>
      </c>
    </row>
    <row r="31" spans="1:7" x14ac:dyDescent="0.25">
      <c r="C31"/>
    </row>
    <row r="32" spans="1:7" x14ac:dyDescent="0.25">
      <c r="A32" s="1" t="s">
        <v>305</v>
      </c>
      <c r="B32" s="1"/>
      <c r="C32" s="91"/>
      <c r="D32" s="1"/>
      <c r="E32" s="1"/>
      <c r="F32" s="1"/>
      <c r="G32" s="1"/>
    </row>
    <row r="33" spans="1:7" x14ac:dyDescent="0.25">
      <c r="A33" s="1" t="s">
        <v>304</v>
      </c>
      <c r="B33" s="1"/>
      <c r="C33" s="91"/>
      <c r="D33" s="1"/>
      <c r="E33" s="1"/>
      <c r="F33" s="1"/>
      <c r="G33" s="1"/>
    </row>
    <row r="34" spans="1:7" x14ac:dyDescent="0.25">
      <c r="A34" s="1" t="s">
        <v>189</v>
      </c>
      <c r="B34" s="1"/>
      <c r="C34" s="91"/>
      <c r="D34" s="1"/>
      <c r="E34" s="1"/>
      <c r="F34" s="1"/>
      <c r="G34" s="1"/>
    </row>
    <row r="35" spans="1:7" x14ac:dyDescent="0.25">
      <c r="A35" s="1"/>
      <c r="B35" s="1"/>
      <c r="C35" s="91"/>
      <c r="D35" s="1"/>
      <c r="E35" s="1"/>
      <c r="F35" s="1"/>
      <c r="G35" s="1"/>
    </row>
    <row r="36" spans="1:7" x14ac:dyDescent="0.25">
      <c r="A36" s="73" t="s">
        <v>244</v>
      </c>
      <c r="B36" s="73"/>
      <c r="C36" s="92"/>
      <c r="D36" s="93"/>
      <c r="E36" s="73" t="s">
        <v>245</v>
      </c>
      <c r="F36" s="73" t="s">
        <v>246</v>
      </c>
      <c r="G36" s="73" t="s">
        <v>247</v>
      </c>
    </row>
    <row r="37" spans="1:7" x14ac:dyDescent="0.25">
      <c r="A37" s="93" t="s">
        <v>248</v>
      </c>
      <c r="B37" s="73"/>
      <c r="C37" s="92" t="s">
        <v>249</v>
      </c>
      <c r="D37" s="93"/>
      <c r="E37" s="93" t="s">
        <v>250</v>
      </c>
      <c r="F37" s="93" t="s">
        <v>251</v>
      </c>
      <c r="G37" s="93" t="s">
        <v>252</v>
      </c>
    </row>
    <row r="38" spans="1:7" x14ac:dyDescent="0.25">
      <c r="A38" s="47"/>
      <c r="B38" s="47"/>
      <c r="C38" s="48"/>
      <c r="D38" s="47"/>
    </row>
    <row r="39" spans="1:7" x14ac:dyDescent="0.25">
      <c r="A39" t="s">
        <v>289</v>
      </c>
      <c r="C39" s="46">
        <v>100406005</v>
      </c>
      <c r="E39">
        <v>12</v>
      </c>
      <c r="F39" s="3">
        <f>+'Data Entry'!D27</f>
        <v>0.09</v>
      </c>
      <c r="G39" s="3">
        <f t="shared" ref="G39:G52" si="1">+E39*F39</f>
        <v>1.08</v>
      </c>
    </row>
    <row r="40" spans="1:7" x14ac:dyDescent="0.25">
      <c r="A40" t="s">
        <v>290</v>
      </c>
      <c r="C40" s="46">
        <v>100587000</v>
      </c>
      <c r="E40">
        <v>618</v>
      </c>
      <c r="F40" s="3">
        <f>+'Data Entry'!D28</f>
        <v>0.09</v>
      </c>
      <c r="G40" s="3">
        <f t="shared" si="1"/>
        <v>55.62</v>
      </c>
    </row>
    <row r="41" spans="1:7" x14ac:dyDescent="0.25">
      <c r="A41" t="s">
        <v>253</v>
      </c>
      <c r="C41" s="46">
        <v>103070211</v>
      </c>
      <c r="E41">
        <v>1</v>
      </c>
      <c r="F41" s="3">
        <f>+'Data Entry'!D29</f>
        <v>0.18</v>
      </c>
      <c r="G41" s="3">
        <f t="shared" si="1"/>
        <v>0.18</v>
      </c>
    </row>
    <row r="42" spans="1:7" x14ac:dyDescent="0.25">
      <c r="A42" t="s">
        <v>291</v>
      </c>
      <c r="C42" s="46">
        <v>112308003</v>
      </c>
      <c r="E42">
        <v>6</v>
      </c>
      <c r="F42" s="3">
        <f>+'Data Entry'!D31</f>
        <v>0.28999999999999998</v>
      </c>
      <c r="G42" s="3">
        <f t="shared" si="1"/>
        <v>1.7399999999999998</v>
      </c>
    </row>
    <row r="43" spans="1:7" x14ac:dyDescent="0.25">
      <c r="A43" t="s">
        <v>292</v>
      </c>
      <c r="C43" s="46">
        <v>120036106</v>
      </c>
      <c r="E43">
        <v>0.25</v>
      </c>
      <c r="F43" s="3">
        <f>+'Data Entry'!D34</f>
        <v>0.85</v>
      </c>
      <c r="G43" s="3">
        <f t="shared" si="1"/>
        <v>0.21249999999999999</v>
      </c>
    </row>
    <row r="44" spans="1:7" x14ac:dyDescent="0.25">
      <c r="A44" t="s">
        <v>253</v>
      </c>
      <c r="C44" s="46">
        <v>120111001</v>
      </c>
      <c r="E44">
        <v>1</v>
      </c>
      <c r="F44" s="3">
        <f>+'Data Entry'!D35</f>
        <v>0.55000000000000004</v>
      </c>
      <c r="G44" s="3">
        <f t="shared" si="1"/>
        <v>0.55000000000000004</v>
      </c>
    </row>
    <row r="45" spans="1:7" x14ac:dyDescent="0.25">
      <c r="A45" t="s">
        <v>293</v>
      </c>
      <c r="C45" s="46">
        <v>130405104</v>
      </c>
      <c r="E45">
        <v>0.75</v>
      </c>
      <c r="F45" s="3">
        <f>+'Data Entry'!D36</f>
        <v>2.2999999999999998</v>
      </c>
      <c r="G45" s="3">
        <f t="shared" si="1"/>
        <v>1.7249999999999999</v>
      </c>
    </row>
    <row r="46" spans="1:7" x14ac:dyDescent="0.25">
      <c r="A46" t="s">
        <v>294</v>
      </c>
      <c r="C46" s="46">
        <v>130614005</v>
      </c>
      <c r="E46">
        <v>1</v>
      </c>
      <c r="F46" s="3">
        <f>+'Data Entry'!D37</f>
        <v>10.81</v>
      </c>
      <c r="G46" s="3">
        <f t="shared" si="1"/>
        <v>10.81</v>
      </c>
    </row>
    <row r="47" spans="1:7" x14ac:dyDescent="0.25">
      <c r="A47" t="s">
        <v>257</v>
      </c>
      <c r="C47" s="46">
        <v>140588007</v>
      </c>
      <c r="E47">
        <v>2</v>
      </c>
      <c r="F47" s="3">
        <f>+'Data Entry'!D39</f>
        <v>0.79</v>
      </c>
      <c r="G47" s="3">
        <f t="shared" si="1"/>
        <v>1.58</v>
      </c>
    </row>
    <row r="48" spans="1:7" x14ac:dyDescent="0.25">
      <c r="A48" t="s">
        <v>295</v>
      </c>
      <c r="C48" s="244">
        <v>141707000</v>
      </c>
      <c r="E48">
        <v>2</v>
      </c>
      <c r="F48" s="3">
        <f>+'Data Entry'!D41</f>
        <v>9.39</v>
      </c>
      <c r="G48" s="3">
        <f t="shared" si="1"/>
        <v>18.78</v>
      </c>
    </row>
    <row r="49" spans="1:7" x14ac:dyDescent="0.25">
      <c r="A49" t="s">
        <v>296</v>
      </c>
      <c r="C49" s="46">
        <v>144405004</v>
      </c>
      <c r="E49">
        <v>2</v>
      </c>
      <c r="F49" s="3">
        <f>+'Data Entry'!D44</f>
        <v>0.61</v>
      </c>
      <c r="G49" s="3">
        <f t="shared" si="1"/>
        <v>1.22</v>
      </c>
    </row>
    <row r="50" spans="1:7" x14ac:dyDescent="0.25">
      <c r="A50" t="s">
        <v>260</v>
      </c>
      <c r="C50" s="46">
        <v>145395002</v>
      </c>
      <c r="E50">
        <v>2</v>
      </c>
      <c r="F50" s="3">
        <f>+'Data Entry'!D51</f>
        <v>0.2</v>
      </c>
      <c r="G50" s="3">
        <f t="shared" si="1"/>
        <v>0.4</v>
      </c>
    </row>
    <row r="51" spans="1:7" x14ac:dyDescent="0.25">
      <c r="A51" t="s">
        <v>298</v>
      </c>
      <c r="C51" s="46">
        <v>152239002</v>
      </c>
      <c r="E51">
        <v>1</v>
      </c>
      <c r="F51" s="3">
        <f>+'Data Entry'!D59</f>
        <v>322.54000000000002</v>
      </c>
      <c r="G51" s="3">
        <f t="shared" si="1"/>
        <v>322.54000000000002</v>
      </c>
    </row>
    <row r="52" spans="1:7" x14ac:dyDescent="0.25">
      <c r="A52" t="s">
        <v>265</v>
      </c>
      <c r="C52" s="46">
        <v>548800008</v>
      </c>
      <c r="E52">
        <v>0.1</v>
      </c>
      <c r="F52" s="3">
        <f>+'Data Entry'!D119</f>
        <v>1.35</v>
      </c>
      <c r="G52" s="3">
        <f t="shared" si="1"/>
        <v>0.13500000000000001</v>
      </c>
    </row>
    <row r="53" spans="1:7" x14ac:dyDescent="0.25">
      <c r="F53" s="3"/>
      <c r="G53" s="51"/>
    </row>
    <row r="54" spans="1:7" x14ac:dyDescent="0.25">
      <c r="G54" s="52">
        <f>SUM(G39:G52)</f>
        <v>416.57249999999999</v>
      </c>
    </row>
    <row r="56" spans="1:7" ht="21" x14ac:dyDescent="0.4">
      <c r="B56" s="1" t="s">
        <v>266</v>
      </c>
      <c r="C56" s="53" t="s">
        <v>267</v>
      </c>
      <c r="D56" s="54" t="s">
        <v>268</v>
      </c>
      <c r="E56" s="1"/>
      <c r="F56" s="55" t="s">
        <v>269</v>
      </c>
      <c r="G56" s="1" t="s">
        <v>247</v>
      </c>
    </row>
    <row r="57" spans="1:7" x14ac:dyDescent="0.25">
      <c r="B57" s="32" t="s">
        <v>252</v>
      </c>
      <c r="C57" s="71" t="s">
        <v>270</v>
      </c>
      <c r="D57" s="32" t="s">
        <v>271</v>
      </c>
      <c r="E57" s="1"/>
      <c r="F57" s="1"/>
      <c r="G57" s="32" t="s">
        <v>272</v>
      </c>
    </row>
    <row r="58" spans="1:7" x14ac:dyDescent="0.25">
      <c r="B58" s="3">
        <f>+G54</f>
        <v>416.57249999999999</v>
      </c>
      <c r="C58" s="3">
        <f>+B58*(+'Data Entry'!C21)</f>
        <v>24.994349999999997</v>
      </c>
      <c r="D58" s="3">
        <f>+B58*(+'Data Entry'!C16)</f>
        <v>24.7444065</v>
      </c>
      <c r="G58" s="3">
        <f>SUM(B58:F58)</f>
        <v>466.31125650000001</v>
      </c>
    </row>
    <row r="60" spans="1:7" x14ac:dyDescent="0.25">
      <c r="C60" t="s">
        <v>468</v>
      </c>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5"/>
  <sheetViews>
    <sheetView workbookViewId="0">
      <selection activeCell="A2" sqref="A2"/>
    </sheetView>
  </sheetViews>
  <sheetFormatPr defaultRowHeight="13.2" x14ac:dyDescent="0.25"/>
  <cols>
    <col min="1" max="1" width="21.109375" customWidth="1"/>
    <col min="2" max="2" width="8.109375" customWidth="1"/>
    <col min="3" max="3" width="14.6640625" style="46" customWidth="1"/>
  </cols>
  <sheetData>
    <row r="1" spans="1:7" x14ac:dyDescent="0.25">
      <c r="A1" s="773" t="s">
        <v>984</v>
      </c>
    </row>
    <row r="2" spans="1:7" x14ac:dyDescent="0.25">
      <c r="A2" s="773" t="s">
        <v>923</v>
      </c>
    </row>
    <row r="4" spans="1:7" x14ac:dyDescent="0.25">
      <c r="A4" s="1" t="s">
        <v>502</v>
      </c>
      <c r="B4" s="1"/>
      <c r="C4" s="91"/>
      <c r="D4" s="1"/>
      <c r="E4" s="1"/>
      <c r="F4" s="1"/>
      <c r="G4" s="1"/>
    </row>
    <row r="5" spans="1:7" x14ac:dyDescent="0.25">
      <c r="A5" s="1" t="s">
        <v>304</v>
      </c>
      <c r="B5" s="1"/>
      <c r="C5" s="91"/>
      <c r="D5" s="1"/>
      <c r="E5" s="1"/>
      <c r="F5" s="1"/>
      <c r="G5" s="1"/>
    </row>
    <row r="6" spans="1:7" x14ac:dyDescent="0.25">
      <c r="A6" s="1" t="s">
        <v>189</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289</v>
      </c>
      <c r="C12" s="46">
        <v>100406005</v>
      </c>
      <c r="E12">
        <v>12</v>
      </c>
      <c r="F12" s="3">
        <f>+'Data Entry'!D27</f>
        <v>0.09</v>
      </c>
      <c r="G12" s="3">
        <f t="shared" ref="G12:G24" si="0">+E12*F12</f>
        <v>1.08</v>
      </c>
    </row>
    <row r="13" spans="1:7" x14ac:dyDescent="0.25">
      <c r="A13" t="s">
        <v>290</v>
      </c>
      <c r="C13" s="46">
        <v>100587000</v>
      </c>
      <c r="E13">
        <v>618</v>
      </c>
      <c r="F13" s="3">
        <f>+'Data Entry'!D28</f>
        <v>0.09</v>
      </c>
      <c r="G13" s="3">
        <f t="shared" si="0"/>
        <v>55.62</v>
      </c>
    </row>
    <row r="14" spans="1:7" x14ac:dyDescent="0.25">
      <c r="A14" t="s">
        <v>253</v>
      </c>
      <c r="C14" s="46">
        <v>103070211</v>
      </c>
      <c r="E14">
        <v>1</v>
      </c>
      <c r="F14" s="3">
        <f>+'Data Entry'!D29</f>
        <v>0.18</v>
      </c>
      <c r="G14" s="3">
        <f t="shared" si="0"/>
        <v>0.18</v>
      </c>
    </row>
    <row r="15" spans="1:7" x14ac:dyDescent="0.25">
      <c r="A15" t="s">
        <v>291</v>
      </c>
      <c r="C15" s="46">
        <v>112308003</v>
      </c>
      <c r="E15">
        <v>6</v>
      </c>
      <c r="F15" s="3">
        <f>+'Data Entry'!D31</f>
        <v>0.28999999999999998</v>
      </c>
      <c r="G15" s="3">
        <f t="shared" si="0"/>
        <v>1.7399999999999998</v>
      </c>
    </row>
    <row r="16" spans="1:7" x14ac:dyDescent="0.25">
      <c r="A16" t="s">
        <v>292</v>
      </c>
      <c r="C16" s="46">
        <v>120036106</v>
      </c>
      <c r="E16">
        <v>0.25</v>
      </c>
      <c r="F16" s="3">
        <f>+'Data Entry'!D34</f>
        <v>0.85</v>
      </c>
      <c r="G16" s="3">
        <f t="shared" si="0"/>
        <v>0.21249999999999999</v>
      </c>
    </row>
    <row r="17" spans="1:7" x14ac:dyDescent="0.25">
      <c r="A17" t="s">
        <v>253</v>
      </c>
      <c r="C17" s="46">
        <v>120111001</v>
      </c>
      <c r="E17">
        <v>1</v>
      </c>
      <c r="F17" s="3">
        <f>+'Data Entry'!D35</f>
        <v>0.55000000000000004</v>
      </c>
      <c r="G17" s="3">
        <f t="shared" si="0"/>
        <v>0.55000000000000004</v>
      </c>
    </row>
    <row r="18" spans="1:7" x14ac:dyDescent="0.25">
      <c r="A18" t="s">
        <v>293</v>
      </c>
      <c r="C18" s="46">
        <v>130405104</v>
      </c>
      <c r="E18">
        <v>0.75</v>
      </c>
      <c r="F18" s="3">
        <f>+'Data Entry'!D36</f>
        <v>2.2999999999999998</v>
      </c>
      <c r="G18" s="3">
        <f t="shared" si="0"/>
        <v>1.7249999999999999</v>
      </c>
    </row>
    <row r="19" spans="1:7" x14ac:dyDescent="0.25">
      <c r="A19" t="s">
        <v>294</v>
      </c>
      <c r="C19" s="46">
        <v>130614005</v>
      </c>
      <c r="E19">
        <v>1</v>
      </c>
      <c r="F19" s="3">
        <f>+'Data Entry'!D37</f>
        <v>10.81</v>
      </c>
      <c r="G19" s="3">
        <f t="shared" si="0"/>
        <v>10.81</v>
      </c>
    </row>
    <row r="20" spans="1:7" x14ac:dyDescent="0.25">
      <c r="A20" t="s">
        <v>257</v>
      </c>
      <c r="C20" s="46">
        <v>140588007</v>
      </c>
      <c r="E20">
        <v>2</v>
      </c>
      <c r="F20" s="3">
        <f>+'Data Entry'!D39</f>
        <v>0.79</v>
      </c>
      <c r="G20" s="3">
        <f t="shared" si="0"/>
        <v>1.58</v>
      </c>
    </row>
    <row r="21" spans="1:7" x14ac:dyDescent="0.25">
      <c r="A21" t="s">
        <v>295</v>
      </c>
      <c r="C21" s="46">
        <v>141708006</v>
      </c>
      <c r="E21">
        <v>2</v>
      </c>
      <c r="F21" s="3">
        <f>+'Data Entry'!D41</f>
        <v>9.39</v>
      </c>
      <c r="G21" s="3">
        <f t="shared" si="0"/>
        <v>18.78</v>
      </c>
    </row>
    <row r="22" spans="1:7" x14ac:dyDescent="0.25">
      <c r="A22" t="s">
        <v>296</v>
      </c>
      <c r="C22" s="46">
        <v>144405004</v>
      </c>
      <c r="E22">
        <v>2</v>
      </c>
      <c r="F22" s="3">
        <f>+'Data Entry'!D44</f>
        <v>0.61</v>
      </c>
      <c r="G22" s="3">
        <f t="shared" si="0"/>
        <v>1.22</v>
      </c>
    </row>
    <row r="23" spans="1:7" x14ac:dyDescent="0.25">
      <c r="A23" t="s">
        <v>260</v>
      </c>
      <c r="C23" s="46">
        <v>145395002</v>
      </c>
      <c r="E23">
        <v>2</v>
      </c>
      <c r="F23" s="3">
        <f>+'Data Entry'!D51</f>
        <v>0.2</v>
      </c>
      <c r="G23" s="3">
        <f t="shared" si="0"/>
        <v>0.4</v>
      </c>
    </row>
    <row r="24" spans="1:7" x14ac:dyDescent="0.25">
      <c r="A24" t="s">
        <v>298</v>
      </c>
      <c r="C24" s="46">
        <v>152351007</v>
      </c>
      <c r="E24">
        <v>1</v>
      </c>
      <c r="F24" s="3">
        <f>'Data Entry'!$D$61</f>
        <v>584.71</v>
      </c>
      <c r="G24" s="3">
        <f t="shared" si="0"/>
        <v>584.71</v>
      </c>
    </row>
    <row r="25" spans="1:7" x14ac:dyDescent="0.25">
      <c r="F25" s="3"/>
      <c r="G25" s="3"/>
    </row>
    <row r="26" spans="1:7" x14ac:dyDescent="0.25">
      <c r="F26" s="3"/>
      <c r="G26" s="51"/>
    </row>
    <row r="27" spans="1:7" x14ac:dyDescent="0.25">
      <c r="G27" s="52">
        <f>SUM(G12:G25)</f>
        <v>678.60750000000007</v>
      </c>
    </row>
    <row r="29" spans="1:7" ht="21" x14ac:dyDescent="0.4">
      <c r="B29" s="1" t="s">
        <v>266</v>
      </c>
      <c r="C29" s="53" t="s">
        <v>267</v>
      </c>
      <c r="D29" s="54" t="s">
        <v>268</v>
      </c>
      <c r="E29" s="1"/>
      <c r="F29" s="55" t="s">
        <v>269</v>
      </c>
      <c r="G29" s="1" t="s">
        <v>247</v>
      </c>
    </row>
    <row r="30" spans="1:7" x14ac:dyDescent="0.25">
      <c r="B30" s="32" t="s">
        <v>252</v>
      </c>
      <c r="C30" s="71" t="s">
        <v>270</v>
      </c>
      <c r="D30" s="32" t="s">
        <v>271</v>
      </c>
      <c r="E30" s="1"/>
      <c r="F30" s="1"/>
      <c r="G30" s="32" t="s">
        <v>272</v>
      </c>
    </row>
    <row r="31" spans="1:7" x14ac:dyDescent="0.25">
      <c r="B31" s="3">
        <f>+G27</f>
        <v>678.60750000000007</v>
      </c>
      <c r="C31" s="3">
        <f>+B31*(+'Data Entry'!C21)</f>
        <v>40.716450000000002</v>
      </c>
      <c r="D31" s="3">
        <f>+B31*(+'Data Entry'!C16)</f>
        <v>40.309285500000009</v>
      </c>
      <c r="G31" s="3">
        <f>SUM(B31:F31)</f>
        <v>759.63323550000007</v>
      </c>
    </row>
    <row r="32" spans="1:7" x14ac:dyDescent="0.25">
      <c r="C32"/>
    </row>
    <row r="35" spans="1:1" x14ac:dyDescent="0.25">
      <c r="A35" t="s">
        <v>468</v>
      </c>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60"/>
  <sheetViews>
    <sheetView workbookViewId="0">
      <selection activeCell="A2" sqref="A2"/>
    </sheetView>
  </sheetViews>
  <sheetFormatPr defaultRowHeight="13.2" x14ac:dyDescent="0.25"/>
  <cols>
    <col min="1" max="1" width="12.33203125" customWidth="1"/>
    <col min="2" max="2" width="11.88671875" customWidth="1"/>
    <col min="3" max="3" width="13.5546875" customWidth="1"/>
    <col min="7" max="7" width="14.6640625" customWidth="1"/>
  </cols>
  <sheetData>
    <row r="1" spans="1:7" x14ac:dyDescent="0.25">
      <c r="A1" s="773" t="s">
        <v>985</v>
      </c>
    </row>
    <row r="2" spans="1:7" x14ac:dyDescent="0.25">
      <c r="A2" s="773" t="s">
        <v>923</v>
      </c>
    </row>
    <row r="4" spans="1:7" x14ac:dyDescent="0.25">
      <c r="A4" s="1" t="s">
        <v>497</v>
      </c>
      <c r="B4" s="1"/>
      <c r="C4" s="91"/>
      <c r="D4" s="1"/>
      <c r="E4" s="1"/>
      <c r="F4" s="1"/>
      <c r="G4" s="1"/>
    </row>
    <row r="5" spans="1:7" x14ac:dyDescent="0.25">
      <c r="A5" s="1" t="s">
        <v>304</v>
      </c>
      <c r="B5" s="1"/>
      <c r="C5" s="91"/>
      <c r="D5" s="1"/>
      <c r="E5" s="1"/>
      <c r="F5" s="1"/>
      <c r="G5" s="1"/>
    </row>
    <row r="6" spans="1:7" x14ac:dyDescent="0.25">
      <c r="A6" s="1" t="s">
        <v>189</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289</v>
      </c>
      <c r="C12" s="46">
        <v>100406005</v>
      </c>
      <c r="E12">
        <v>12</v>
      </c>
      <c r="F12" s="3">
        <f>+'Data Entry'!D27</f>
        <v>0.09</v>
      </c>
      <c r="G12" s="3">
        <f t="shared" ref="G12:G24" si="0">+E12*F12</f>
        <v>1.08</v>
      </c>
    </row>
    <row r="13" spans="1:7" x14ac:dyDescent="0.25">
      <c r="A13" t="s">
        <v>290</v>
      </c>
      <c r="C13" s="46">
        <v>100587000</v>
      </c>
      <c r="E13">
        <v>618</v>
      </c>
      <c r="F13" s="3">
        <f>+'Data Entry'!D28</f>
        <v>0.09</v>
      </c>
      <c r="G13" s="3">
        <f t="shared" si="0"/>
        <v>55.62</v>
      </c>
    </row>
    <row r="14" spans="1:7" x14ac:dyDescent="0.25">
      <c r="A14" t="s">
        <v>253</v>
      </c>
      <c r="C14" s="46">
        <v>103070211</v>
      </c>
      <c r="E14">
        <v>1</v>
      </c>
      <c r="F14" s="3">
        <f>+'Data Entry'!D29</f>
        <v>0.18</v>
      </c>
      <c r="G14" s="3">
        <f t="shared" si="0"/>
        <v>0.18</v>
      </c>
    </row>
    <row r="15" spans="1:7" x14ac:dyDescent="0.25">
      <c r="A15" t="s">
        <v>291</v>
      </c>
      <c r="C15" s="46">
        <v>112308003</v>
      </c>
      <c r="E15">
        <v>6</v>
      </c>
      <c r="F15" s="3">
        <f>+'Data Entry'!D31</f>
        <v>0.28999999999999998</v>
      </c>
      <c r="G15" s="3">
        <f t="shared" si="0"/>
        <v>1.7399999999999998</v>
      </c>
    </row>
    <row r="16" spans="1:7" x14ac:dyDescent="0.25">
      <c r="A16" t="s">
        <v>292</v>
      </c>
      <c r="C16" s="46">
        <v>120036106</v>
      </c>
      <c r="E16">
        <v>0.25</v>
      </c>
      <c r="F16" s="3">
        <f>+'Data Entry'!D34</f>
        <v>0.85</v>
      </c>
      <c r="G16" s="3">
        <f t="shared" si="0"/>
        <v>0.21249999999999999</v>
      </c>
    </row>
    <row r="17" spans="1:7" x14ac:dyDescent="0.25">
      <c r="A17" t="s">
        <v>253</v>
      </c>
      <c r="C17" s="46">
        <v>120111001</v>
      </c>
      <c r="E17">
        <v>1</v>
      </c>
      <c r="F17" s="3">
        <f>+'Data Entry'!D35</f>
        <v>0.55000000000000004</v>
      </c>
      <c r="G17" s="3">
        <f t="shared" si="0"/>
        <v>0.55000000000000004</v>
      </c>
    </row>
    <row r="18" spans="1:7" x14ac:dyDescent="0.25">
      <c r="A18" t="s">
        <v>293</v>
      </c>
      <c r="C18" s="46">
        <v>130405104</v>
      </c>
      <c r="E18">
        <v>0.75</v>
      </c>
      <c r="F18" s="3">
        <f>+'Data Entry'!D36</f>
        <v>2.2999999999999998</v>
      </c>
      <c r="G18" s="3">
        <f t="shared" si="0"/>
        <v>1.7249999999999999</v>
      </c>
    </row>
    <row r="19" spans="1:7" x14ac:dyDescent="0.25">
      <c r="A19" t="s">
        <v>294</v>
      </c>
      <c r="C19" s="46">
        <v>130614005</v>
      </c>
      <c r="E19">
        <v>1</v>
      </c>
      <c r="F19" s="3">
        <f>+'Data Entry'!D37</f>
        <v>10.81</v>
      </c>
      <c r="G19" s="3">
        <f t="shared" si="0"/>
        <v>10.81</v>
      </c>
    </row>
    <row r="20" spans="1:7" x14ac:dyDescent="0.25">
      <c r="A20" t="s">
        <v>257</v>
      </c>
      <c r="C20" s="46">
        <v>140588007</v>
      </c>
      <c r="E20">
        <v>2</v>
      </c>
      <c r="F20" s="3">
        <f>+'Data Entry'!D39</f>
        <v>0.79</v>
      </c>
      <c r="G20" s="3">
        <f t="shared" si="0"/>
        <v>1.58</v>
      </c>
    </row>
    <row r="21" spans="1:7" x14ac:dyDescent="0.25">
      <c r="A21" t="s">
        <v>295</v>
      </c>
      <c r="C21" s="46">
        <v>141708006</v>
      </c>
      <c r="E21">
        <v>2</v>
      </c>
      <c r="F21" s="3">
        <f>+'Data Entry'!D41</f>
        <v>9.39</v>
      </c>
      <c r="G21" s="3">
        <f t="shared" si="0"/>
        <v>18.78</v>
      </c>
    </row>
    <row r="22" spans="1:7" x14ac:dyDescent="0.25">
      <c r="A22" t="s">
        <v>296</v>
      </c>
      <c r="C22" s="46">
        <v>144405004</v>
      </c>
      <c r="E22">
        <v>2</v>
      </c>
      <c r="F22" s="3">
        <f>+'Data Entry'!D44</f>
        <v>0.61</v>
      </c>
      <c r="G22" s="3">
        <f t="shared" si="0"/>
        <v>1.22</v>
      </c>
    </row>
    <row r="23" spans="1:7" x14ac:dyDescent="0.25">
      <c r="A23" t="s">
        <v>260</v>
      </c>
      <c r="C23" s="46">
        <v>145395002</v>
      </c>
      <c r="E23">
        <v>2</v>
      </c>
      <c r="F23" s="3">
        <f>+'Data Entry'!D51</f>
        <v>0.2</v>
      </c>
      <c r="G23" s="3">
        <f t="shared" si="0"/>
        <v>0.4</v>
      </c>
    </row>
    <row r="24" spans="1:7" x14ac:dyDescent="0.25">
      <c r="A24" t="s">
        <v>298</v>
      </c>
      <c r="C24" s="46">
        <v>151352003</v>
      </c>
      <c r="E24">
        <v>1</v>
      </c>
      <c r="F24" s="3">
        <f>'Data Entry'!$D$62</f>
        <v>644.13</v>
      </c>
      <c r="G24" s="3">
        <f t="shared" si="0"/>
        <v>644.13</v>
      </c>
    </row>
    <row r="25" spans="1:7" x14ac:dyDescent="0.25">
      <c r="C25" s="46"/>
      <c r="F25" s="3"/>
      <c r="G25" s="3"/>
    </row>
    <row r="26" spans="1:7" x14ac:dyDescent="0.25">
      <c r="C26" s="46"/>
      <c r="F26" s="3"/>
      <c r="G26" s="51"/>
    </row>
    <row r="27" spans="1:7" x14ac:dyDescent="0.25">
      <c r="C27" s="46"/>
      <c r="G27" s="52">
        <f>SUM(G12:G25)</f>
        <v>738.02750000000003</v>
      </c>
    </row>
    <row r="28" spans="1:7" x14ac:dyDescent="0.25">
      <c r="C28" s="46"/>
    </row>
    <row r="29" spans="1:7" ht="21" x14ac:dyDescent="0.4">
      <c r="B29" s="1" t="s">
        <v>266</v>
      </c>
      <c r="C29" s="53" t="s">
        <v>267</v>
      </c>
      <c r="D29" s="54" t="s">
        <v>268</v>
      </c>
      <c r="E29" s="1"/>
      <c r="F29" s="55" t="s">
        <v>269</v>
      </c>
      <c r="G29" s="1" t="s">
        <v>247</v>
      </c>
    </row>
    <row r="30" spans="1:7" x14ac:dyDescent="0.25">
      <c r="B30" s="32" t="s">
        <v>252</v>
      </c>
      <c r="C30" s="71" t="s">
        <v>270</v>
      </c>
      <c r="D30" s="32" t="s">
        <v>271</v>
      </c>
      <c r="E30" s="1"/>
      <c r="F30" s="1"/>
      <c r="G30" s="32" t="s">
        <v>272</v>
      </c>
    </row>
    <row r="31" spans="1:7" x14ac:dyDescent="0.25">
      <c r="B31" s="3">
        <f>+G27</f>
        <v>738.02750000000003</v>
      </c>
      <c r="C31" s="3">
        <f>+B31*(+'Data Entry'!C21)</f>
        <v>44.281649999999999</v>
      </c>
      <c r="D31" s="3">
        <f>+B31*(+'Data Entry'!C16)</f>
        <v>43.8388335</v>
      </c>
      <c r="G31" s="3">
        <f>SUM(B31:F31)</f>
        <v>826.14798350000001</v>
      </c>
    </row>
    <row r="33" spans="1:7" x14ac:dyDescent="0.25">
      <c r="A33" s="1" t="s">
        <v>498</v>
      </c>
      <c r="B33" s="1"/>
      <c r="C33" s="91"/>
      <c r="D33" s="1"/>
      <c r="E33" s="1"/>
      <c r="F33" s="1"/>
      <c r="G33" s="1"/>
    </row>
    <row r="34" spans="1:7" x14ac:dyDescent="0.25">
      <c r="A34" s="1" t="s">
        <v>304</v>
      </c>
      <c r="B34" s="1"/>
      <c r="C34" s="91"/>
      <c r="D34" s="1"/>
      <c r="E34" s="1"/>
      <c r="F34" s="1"/>
      <c r="G34" s="1"/>
    </row>
    <row r="35" spans="1:7" x14ac:dyDescent="0.25">
      <c r="A35" s="1" t="s">
        <v>189</v>
      </c>
      <c r="B35" s="1"/>
      <c r="C35" s="91"/>
      <c r="D35" s="1"/>
      <c r="E35" s="1"/>
      <c r="F35" s="1"/>
      <c r="G35" s="1"/>
    </row>
    <row r="36" spans="1:7" x14ac:dyDescent="0.25">
      <c r="A36" s="1"/>
      <c r="B36" s="1"/>
      <c r="C36" s="91"/>
      <c r="D36" s="1"/>
      <c r="E36" s="1"/>
      <c r="F36" s="1"/>
      <c r="G36" s="1"/>
    </row>
    <row r="37" spans="1:7" x14ac:dyDescent="0.25">
      <c r="A37" s="1"/>
      <c r="B37" s="1"/>
      <c r="C37" s="91"/>
      <c r="D37" s="1"/>
      <c r="E37" s="1"/>
      <c r="F37" s="1"/>
      <c r="G37" s="1"/>
    </row>
    <row r="38" spans="1:7" x14ac:dyDescent="0.25">
      <c r="A38" s="73" t="s">
        <v>244</v>
      </c>
      <c r="B38" s="73"/>
      <c r="C38" s="92"/>
      <c r="D38" s="93"/>
      <c r="E38" s="73" t="s">
        <v>245</v>
      </c>
      <c r="F38" s="73" t="s">
        <v>246</v>
      </c>
      <c r="G38" s="73" t="s">
        <v>247</v>
      </c>
    </row>
    <row r="39" spans="1:7" x14ac:dyDescent="0.25">
      <c r="A39" s="93" t="s">
        <v>248</v>
      </c>
      <c r="B39" s="73"/>
      <c r="C39" s="92" t="s">
        <v>249</v>
      </c>
      <c r="D39" s="93"/>
      <c r="E39" s="93" t="s">
        <v>250</v>
      </c>
      <c r="F39" s="93" t="s">
        <v>251</v>
      </c>
      <c r="G39" s="93" t="s">
        <v>252</v>
      </c>
    </row>
    <row r="40" spans="1:7" x14ac:dyDescent="0.25">
      <c r="A40" s="47"/>
      <c r="B40" s="47"/>
      <c r="C40" s="48"/>
      <c r="D40" s="47"/>
    </row>
    <row r="41" spans="1:7" x14ac:dyDescent="0.25">
      <c r="A41" t="s">
        <v>289</v>
      </c>
      <c r="C41" s="46">
        <v>100406005</v>
      </c>
      <c r="E41">
        <v>12</v>
      </c>
      <c r="F41" s="3">
        <f>+'Data Entry'!D27</f>
        <v>0.09</v>
      </c>
      <c r="G41" s="3">
        <f t="shared" ref="G41:G53" si="1">+E41*F41</f>
        <v>1.08</v>
      </c>
    </row>
    <row r="42" spans="1:7" x14ac:dyDescent="0.25">
      <c r="A42" t="s">
        <v>290</v>
      </c>
      <c r="C42" s="46">
        <v>100587000</v>
      </c>
      <c r="E42">
        <v>618</v>
      </c>
      <c r="F42" s="3">
        <f>+'Data Entry'!D28</f>
        <v>0.09</v>
      </c>
      <c r="G42" s="3">
        <f t="shared" si="1"/>
        <v>55.62</v>
      </c>
    </row>
    <row r="43" spans="1:7" x14ac:dyDescent="0.25">
      <c r="A43" t="s">
        <v>253</v>
      </c>
      <c r="C43" s="46">
        <v>103070211</v>
      </c>
      <c r="E43">
        <v>1</v>
      </c>
      <c r="F43" s="3">
        <f>+'Data Entry'!D29</f>
        <v>0.18</v>
      </c>
      <c r="G43" s="3">
        <f t="shared" si="1"/>
        <v>0.18</v>
      </c>
    </row>
    <row r="44" spans="1:7" x14ac:dyDescent="0.25">
      <c r="A44" t="s">
        <v>291</v>
      </c>
      <c r="C44" s="46">
        <v>112308003</v>
      </c>
      <c r="E44">
        <v>6</v>
      </c>
      <c r="F44" s="3">
        <f>+'Data Entry'!D31</f>
        <v>0.28999999999999998</v>
      </c>
      <c r="G44" s="3">
        <f t="shared" si="1"/>
        <v>1.7399999999999998</v>
      </c>
    </row>
    <row r="45" spans="1:7" x14ac:dyDescent="0.25">
      <c r="A45" t="s">
        <v>292</v>
      </c>
      <c r="C45" s="46">
        <v>120036106</v>
      </c>
      <c r="E45">
        <v>0.25</v>
      </c>
      <c r="F45" s="3">
        <f>+'Data Entry'!D34</f>
        <v>0.85</v>
      </c>
      <c r="G45" s="3">
        <f t="shared" si="1"/>
        <v>0.21249999999999999</v>
      </c>
    </row>
    <row r="46" spans="1:7" x14ac:dyDescent="0.25">
      <c r="A46" t="s">
        <v>253</v>
      </c>
      <c r="C46" s="46">
        <v>120111001</v>
      </c>
      <c r="E46">
        <v>1</v>
      </c>
      <c r="F46" s="3">
        <f>+'Data Entry'!D35</f>
        <v>0.55000000000000004</v>
      </c>
      <c r="G46" s="3">
        <f t="shared" si="1"/>
        <v>0.55000000000000004</v>
      </c>
    </row>
    <row r="47" spans="1:7" x14ac:dyDescent="0.25">
      <c r="A47" t="s">
        <v>293</v>
      </c>
      <c r="C47" s="46">
        <v>130405104</v>
      </c>
      <c r="E47">
        <v>0.75</v>
      </c>
      <c r="F47" s="3">
        <f>+'Data Entry'!D36</f>
        <v>2.2999999999999998</v>
      </c>
      <c r="G47" s="3">
        <f t="shared" si="1"/>
        <v>1.7249999999999999</v>
      </c>
    </row>
    <row r="48" spans="1:7" x14ac:dyDescent="0.25">
      <c r="A48" t="s">
        <v>294</v>
      </c>
      <c r="C48" s="46">
        <v>130614005</v>
      </c>
      <c r="E48">
        <v>1</v>
      </c>
      <c r="F48" s="3">
        <f>+'Data Entry'!D37</f>
        <v>10.81</v>
      </c>
      <c r="G48" s="3">
        <f t="shared" si="1"/>
        <v>10.81</v>
      </c>
    </row>
    <row r="49" spans="1:7" x14ac:dyDescent="0.25">
      <c r="A49" t="s">
        <v>257</v>
      </c>
      <c r="C49" s="46">
        <v>140588007</v>
      </c>
      <c r="E49">
        <v>2</v>
      </c>
      <c r="F49" s="3">
        <f>+'Data Entry'!D39</f>
        <v>0.79</v>
      </c>
      <c r="G49" s="3">
        <f t="shared" si="1"/>
        <v>1.58</v>
      </c>
    </row>
    <row r="50" spans="1:7" x14ac:dyDescent="0.25">
      <c r="A50" t="s">
        <v>295</v>
      </c>
      <c r="C50" s="46">
        <v>141708006</v>
      </c>
      <c r="E50">
        <v>2</v>
      </c>
      <c r="F50" s="3">
        <f>+'Data Entry'!D41</f>
        <v>9.39</v>
      </c>
      <c r="G50" s="3">
        <f t="shared" si="1"/>
        <v>18.78</v>
      </c>
    </row>
    <row r="51" spans="1:7" x14ac:dyDescent="0.25">
      <c r="A51" t="s">
        <v>296</v>
      </c>
      <c r="C51" s="46">
        <v>144405004</v>
      </c>
      <c r="E51">
        <v>2</v>
      </c>
      <c r="F51" s="3">
        <f>+'Data Entry'!D44</f>
        <v>0.61</v>
      </c>
      <c r="G51" s="3">
        <f t="shared" si="1"/>
        <v>1.22</v>
      </c>
    </row>
    <row r="52" spans="1:7" x14ac:dyDescent="0.25">
      <c r="A52" t="s">
        <v>260</v>
      </c>
      <c r="C52" s="46">
        <v>145395002</v>
      </c>
      <c r="E52">
        <v>2</v>
      </c>
      <c r="F52" s="3">
        <f>+'Data Entry'!D51</f>
        <v>0.2</v>
      </c>
      <c r="G52" s="3">
        <f t="shared" si="1"/>
        <v>0.4</v>
      </c>
    </row>
    <row r="53" spans="1:7" x14ac:dyDescent="0.25">
      <c r="A53" t="s">
        <v>298</v>
      </c>
      <c r="C53" s="240" t="s">
        <v>505</v>
      </c>
      <c r="E53">
        <v>1</v>
      </c>
      <c r="F53" s="3">
        <f>'Data Entry'!$D$63</f>
        <v>742</v>
      </c>
      <c r="G53" s="3">
        <f t="shared" si="1"/>
        <v>742</v>
      </c>
    </row>
    <row r="54" spans="1:7" x14ac:dyDescent="0.25">
      <c r="C54" s="46"/>
      <c r="F54" s="3"/>
      <c r="G54" s="3"/>
    </row>
    <row r="55" spans="1:7" x14ac:dyDescent="0.25">
      <c r="C55" s="46"/>
      <c r="F55" s="3"/>
      <c r="G55" s="51"/>
    </row>
    <row r="56" spans="1:7" x14ac:dyDescent="0.25">
      <c r="C56" s="46"/>
      <c r="G56" s="52">
        <f>SUM(G41:G54)</f>
        <v>835.89750000000004</v>
      </c>
    </row>
    <row r="57" spans="1:7" x14ac:dyDescent="0.25">
      <c r="C57" s="46"/>
    </row>
    <row r="58" spans="1:7" ht="21" x14ac:dyDescent="0.4">
      <c r="B58" s="1" t="s">
        <v>266</v>
      </c>
      <c r="C58" s="53" t="s">
        <v>267</v>
      </c>
      <c r="D58" s="54" t="s">
        <v>268</v>
      </c>
      <c r="E58" s="1"/>
      <c r="F58" s="55" t="s">
        <v>269</v>
      </c>
      <c r="G58" s="1" t="s">
        <v>247</v>
      </c>
    </row>
    <row r="59" spans="1:7" x14ac:dyDescent="0.25">
      <c r="B59" s="32" t="s">
        <v>252</v>
      </c>
      <c r="C59" s="71" t="s">
        <v>270</v>
      </c>
      <c r="D59" s="32" t="s">
        <v>271</v>
      </c>
      <c r="E59" s="1"/>
      <c r="F59" s="1"/>
      <c r="G59" s="32" t="s">
        <v>272</v>
      </c>
    </row>
    <row r="60" spans="1:7" x14ac:dyDescent="0.25">
      <c r="B60" s="3">
        <f>+G56</f>
        <v>835.89750000000004</v>
      </c>
      <c r="C60" s="3">
        <f>+B60*(+'Data Entry'!C21)</f>
        <v>50.153849999999998</v>
      </c>
      <c r="D60" s="3">
        <f>+B60*(+'Data Entry'!C16)</f>
        <v>49.652311500000003</v>
      </c>
      <c r="G60" s="3">
        <f>SUM(B60:F60)</f>
        <v>935.70366150000007</v>
      </c>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0"/>
  <sheetViews>
    <sheetView workbookViewId="0">
      <selection activeCell="A2" sqref="A2"/>
    </sheetView>
  </sheetViews>
  <sheetFormatPr defaultRowHeight="13.2" x14ac:dyDescent="0.25"/>
  <cols>
    <col min="1" max="1" width="21.109375" customWidth="1"/>
    <col min="2" max="2" width="8.109375" customWidth="1"/>
    <col min="3" max="3" width="14.6640625" style="46" customWidth="1"/>
  </cols>
  <sheetData>
    <row r="1" spans="1:7" x14ac:dyDescent="0.25">
      <c r="A1" s="773" t="s">
        <v>986</v>
      </c>
    </row>
    <row r="2" spans="1:7" x14ac:dyDescent="0.25">
      <c r="A2" s="773" t="s">
        <v>923</v>
      </c>
    </row>
    <row r="4" spans="1:7" x14ac:dyDescent="0.25">
      <c r="A4" s="1" t="s">
        <v>306</v>
      </c>
      <c r="B4" s="1"/>
      <c r="C4" s="91"/>
      <c r="D4" s="1"/>
      <c r="E4" s="1"/>
      <c r="F4" s="1"/>
      <c r="G4" s="1"/>
    </row>
    <row r="5" spans="1:7" x14ac:dyDescent="0.25">
      <c r="A5" s="1" t="s">
        <v>304</v>
      </c>
      <c r="B5" s="1"/>
      <c r="C5" s="91"/>
      <c r="D5" s="1"/>
      <c r="E5" s="1"/>
      <c r="F5" s="1"/>
      <c r="G5" s="1"/>
    </row>
    <row r="6" spans="1:7" x14ac:dyDescent="0.25">
      <c r="A6" s="1" t="s">
        <v>214</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19" si="0">+E12*F12</f>
        <v>0.36</v>
      </c>
    </row>
    <row r="13" spans="1:7" x14ac:dyDescent="0.25">
      <c r="A13" t="s">
        <v>290</v>
      </c>
      <c r="C13" s="46">
        <v>110104001</v>
      </c>
      <c r="E13">
        <v>20</v>
      </c>
      <c r="F13" s="3">
        <f>+'Data Entry'!D30</f>
        <v>0.63</v>
      </c>
      <c r="G13" s="3">
        <f t="shared" si="0"/>
        <v>12.6</v>
      </c>
    </row>
    <row r="14" spans="1:7" x14ac:dyDescent="0.25">
      <c r="A14" t="s">
        <v>291</v>
      </c>
      <c r="C14" s="46">
        <v>112308003</v>
      </c>
      <c r="E14">
        <v>3</v>
      </c>
      <c r="F14" s="3">
        <f>+'Data Entry'!D31</f>
        <v>0.28999999999999998</v>
      </c>
      <c r="G14" s="3">
        <f t="shared" si="0"/>
        <v>0.86999999999999988</v>
      </c>
    </row>
    <row r="15" spans="1:7" x14ac:dyDescent="0.25">
      <c r="A15" t="s">
        <v>292</v>
      </c>
      <c r="C15" s="46">
        <v>120036106</v>
      </c>
      <c r="E15">
        <v>0.25</v>
      </c>
      <c r="F15" s="3">
        <f>+'Data Entry'!D34</f>
        <v>0.85</v>
      </c>
      <c r="G15" s="3">
        <f t="shared" si="0"/>
        <v>0.21249999999999999</v>
      </c>
    </row>
    <row r="16" spans="1:7" x14ac:dyDescent="0.25">
      <c r="A16" t="s">
        <v>293</v>
      </c>
      <c r="C16" s="46">
        <v>130405104</v>
      </c>
      <c r="E16">
        <v>0.75</v>
      </c>
      <c r="F16" s="3">
        <f>+'Data Entry'!D36</f>
        <v>2.2999999999999998</v>
      </c>
      <c r="G16" s="3">
        <f t="shared" si="0"/>
        <v>1.7249999999999999</v>
      </c>
    </row>
    <row r="17" spans="1:7" x14ac:dyDescent="0.25">
      <c r="A17" t="s">
        <v>294</v>
      </c>
      <c r="C17" s="46">
        <v>130614005</v>
      </c>
      <c r="E17">
        <v>1</v>
      </c>
      <c r="F17" s="3">
        <f>+'Data Entry'!D37</f>
        <v>10.81</v>
      </c>
      <c r="G17" s="3">
        <f t="shared" si="0"/>
        <v>10.81</v>
      </c>
    </row>
    <row r="18" spans="1:7" x14ac:dyDescent="0.25">
      <c r="A18" t="s">
        <v>298</v>
      </c>
      <c r="C18" s="46">
        <v>152220000</v>
      </c>
      <c r="E18">
        <v>1</v>
      </c>
      <c r="F18" s="3">
        <f>+'Data Entry'!D57</f>
        <v>178.87</v>
      </c>
      <c r="G18" s="3">
        <f t="shared" si="0"/>
        <v>178.87</v>
      </c>
    </row>
    <row r="19" spans="1:7" x14ac:dyDescent="0.25">
      <c r="A19" t="s">
        <v>307</v>
      </c>
      <c r="C19" s="46">
        <v>163659008</v>
      </c>
      <c r="E19">
        <v>2</v>
      </c>
      <c r="F19" s="3">
        <f>+'Data Entry'!D66</f>
        <v>2.8</v>
      </c>
      <c r="G19" s="3">
        <f t="shared" si="0"/>
        <v>5.6</v>
      </c>
    </row>
    <row r="20" spans="1:7" x14ac:dyDescent="0.25">
      <c r="F20" s="3"/>
      <c r="G20" s="3"/>
    </row>
    <row r="21" spans="1:7" x14ac:dyDescent="0.25">
      <c r="F21" s="3"/>
      <c r="G21" s="51"/>
    </row>
    <row r="22" spans="1:7" x14ac:dyDescent="0.25">
      <c r="G22" s="52">
        <f>SUM(G12:G20)</f>
        <v>211.04749999999999</v>
      </c>
    </row>
    <row r="24" spans="1:7" ht="21" x14ac:dyDescent="0.4">
      <c r="B24" s="1" t="s">
        <v>266</v>
      </c>
      <c r="C24" s="53" t="s">
        <v>267</v>
      </c>
      <c r="D24" s="54" t="s">
        <v>268</v>
      </c>
      <c r="E24" s="1"/>
      <c r="F24" s="55" t="s">
        <v>269</v>
      </c>
      <c r="G24" s="1" t="s">
        <v>247</v>
      </c>
    </row>
    <row r="25" spans="1:7" x14ac:dyDescent="0.25">
      <c r="B25" s="32" t="s">
        <v>252</v>
      </c>
      <c r="C25" s="71" t="s">
        <v>270</v>
      </c>
      <c r="D25" s="32" t="s">
        <v>271</v>
      </c>
      <c r="E25" s="1"/>
      <c r="F25" s="1"/>
      <c r="G25" s="32" t="s">
        <v>272</v>
      </c>
    </row>
    <row r="26" spans="1:7" x14ac:dyDescent="0.25">
      <c r="B26" s="3">
        <f>+G22</f>
        <v>211.04749999999999</v>
      </c>
      <c r="C26" s="3">
        <f>+B26*(+'Data Entry'!C21)</f>
        <v>12.662849999999999</v>
      </c>
      <c r="D26" s="3">
        <f>+B26*(+'Data Entry'!C16)</f>
        <v>12.5362215</v>
      </c>
      <c r="G26" s="3">
        <f>SUM(B26:F26)</f>
        <v>236.24657149999999</v>
      </c>
    </row>
    <row r="27" spans="1:7" x14ac:dyDescent="0.25">
      <c r="C27"/>
    </row>
    <row r="30" spans="1:7" x14ac:dyDescent="0.25">
      <c r="A30" t="s">
        <v>468</v>
      </c>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1"/>
  <sheetViews>
    <sheetView workbookViewId="0">
      <selection activeCell="A2" sqref="A2"/>
    </sheetView>
  </sheetViews>
  <sheetFormatPr defaultRowHeight="13.2" x14ac:dyDescent="0.25"/>
  <cols>
    <col min="1" max="1" width="21.109375" customWidth="1"/>
    <col min="2" max="2" width="8.109375" customWidth="1"/>
    <col min="3" max="3" width="14.6640625" style="46" customWidth="1"/>
  </cols>
  <sheetData>
    <row r="1" spans="1:7" x14ac:dyDescent="0.25">
      <c r="A1" s="773" t="s">
        <v>987</v>
      </c>
    </row>
    <row r="2" spans="1:7" x14ac:dyDescent="0.25">
      <c r="A2" s="773" t="s">
        <v>923</v>
      </c>
    </row>
    <row r="4" spans="1:7" x14ac:dyDescent="0.25">
      <c r="A4" s="1" t="s">
        <v>308</v>
      </c>
      <c r="B4" s="1"/>
      <c r="C4" s="91"/>
      <c r="D4" s="1"/>
      <c r="E4" s="1"/>
      <c r="F4" s="1"/>
      <c r="G4" s="1"/>
    </row>
    <row r="5" spans="1:7" x14ac:dyDescent="0.25">
      <c r="A5" s="1" t="s">
        <v>309</v>
      </c>
      <c r="B5" s="1"/>
      <c r="C5" s="91"/>
      <c r="D5" s="1"/>
      <c r="E5" s="1"/>
      <c r="F5" s="1"/>
      <c r="G5" s="1"/>
    </row>
    <row r="6" spans="1:7" x14ac:dyDescent="0.25">
      <c r="A6" s="1" t="s">
        <v>214</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20" si="0">+E12*F12</f>
        <v>0.36</v>
      </c>
    </row>
    <row r="13" spans="1:7" x14ac:dyDescent="0.25">
      <c r="A13" t="s">
        <v>290</v>
      </c>
      <c r="C13" s="46">
        <v>110104001</v>
      </c>
      <c r="E13">
        <v>20</v>
      </c>
      <c r="F13" s="3">
        <f>+'Data Entry'!D30</f>
        <v>0.63</v>
      </c>
      <c r="G13" s="3">
        <f t="shared" si="0"/>
        <v>12.6</v>
      </c>
    </row>
    <row r="14" spans="1:7" x14ac:dyDescent="0.25">
      <c r="A14" t="s">
        <v>291</v>
      </c>
      <c r="C14" s="46">
        <v>112308003</v>
      </c>
      <c r="E14">
        <v>3</v>
      </c>
      <c r="F14" s="3">
        <f>+'Data Entry'!D31</f>
        <v>0.28999999999999998</v>
      </c>
      <c r="G14" s="3">
        <f t="shared" si="0"/>
        <v>0.86999999999999988</v>
      </c>
    </row>
    <row r="15" spans="1:7" x14ac:dyDescent="0.25">
      <c r="A15" t="s">
        <v>291</v>
      </c>
      <c r="C15" s="46">
        <v>115090009</v>
      </c>
      <c r="E15">
        <v>20</v>
      </c>
      <c r="F15" s="3">
        <f>+'Data Entry'!D33</f>
        <v>0.14000000000000001</v>
      </c>
      <c r="G15" s="3">
        <f t="shared" si="0"/>
        <v>2.8000000000000003</v>
      </c>
    </row>
    <row r="16" spans="1:7" x14ac:dyDescent="0.25">
      <c r="A16" t="s">
        <v>292</v>
      </c>
      <c r="C16" s="46">
        <v>120036106</v>
      </c>
      <c r="E16">
        <v>0.25</v>
      </c>
      <c r="F16" s="3">
        <f>+'Data Entry'!D34</f>
        <v>0.85</v>
      </c>
      <c r="G16" s="3">
        <f t="shared" si="0"/>
        <v>0.21249999999999999</v>
      </c>
    </row>
    <row r="17" spans="1:7" x14ac:dyDescent="0.25">
      <c r="A17" t="s">
        <v>293</v>
      </c>
      <c r="C17" s="46">
        <v>130405104</v>
      </c>
      <c r="E17">
        <v>0.75</v>
      </c>
      <c r="F17" s="3">
        <f>+'Data Entry'!D36</f>
        <v>2.2999999999999998</v>
      </c>
      <c r="G17" s="3">
        <f t="shared" si="0"/>
        <v>1.7249999999999999</v>
      </c>
    </row>
    <row r="18" spans="1:7" x14ac:dyDescent="0.25">
      <c r="A18" t="s">
        <v>294</v>
      </c>
      <c r="C18" s="46">
        <v>130614005</v>
      </c>
      <c r="E18">
        <v>1</v>
      </c>
      <c r="F18" s="3">
        <f>+'Data Entry'!D37</f>
        <v>10.81</v>
      </c>
      <c r="G18" s="3">
        <f t="shared" si="0"/>
        <v>10.81</v>
      </c>
    </row>
    <row r="19" spans="1:7" x14ac:dyDescent="0.25">
      <c r="A19" t="s">
        <v>298</v>
      </c>
      <c r="C19" s="46">
        <v>154119004</v>
      </c>
      <c r="E19">
        <v>1</v>
      </c>
      <c r="F19" s="3">
        <f>+'Data Entry'!D64</f>
        <v>122.11</v>
      </c>
      <c r="G19" s="3">
        <f t="shared" si="0"/>
        <v>122.11</v>
      </c>
    </row>
    <row r="20" spans="1:7" x14ac:dyDescent="0.25">
      <c r="A20" t="s">
        <v>307</v>
      </c>
      <c r="C20" s="46">
        <v>163659008</v>
      </c>
      <c r="E20">
        <v>2</v>
      </c>
      <c r="F20" s="3">
        <f>+'Data Entry'!D66</f>
        <v>2.8</v>
      </c>
      <c r="G20" s="3">
        <f t="shared" si="0"/>
        <v>5.6</v>
      </c>
    </row>
    <row r="21" spans="1:7" x14ac:dyDescent="0.25">
      <c r="F21" s="3"/>
      <c r="G21" s="3"/>
    </row>
    <row r="22" spans="1:7" x14ac:dyDescent="0.25">
      <c r="F22" s="3"/>
      <c r="G22" s="51"/>
    </row>
    <row r="23" spans="1:7" x14ac:dyDescent="0.25">
      <c r="G23" s="52">
        <f>SUM(G12:G21)</f>
        <v>157.08750000000001</v>
      </c>
    </row>
    <row r="25" spans="1:7" ht="21" x14ac:dyDescent="0.4">
      <c r="B25" s="1" t="s">
        <v>266</v>
      </c>
      <c r="C25" s="53" t="s">
        <v>267</v>
      </c>
      <c r="D25" s="54" t="s">
        <v>268</v>
      </c>
      <c r="E25" s="1"/>
      <c r="F25" s="55" t="s">
        <v>269</v>
      </c>
      <c r="G25" s="1" t="s">
        <v>247</v>
      </c>
    </row>
    <row r="26" spans="1:7" x14ac:dyDescent="0.25">
      <c r="B26" s="32" t="s">
        <v>252</v>
      </c>
      <c r="C26" s="71" t="s">
        <v>270</v>
      </c>
      <c r="D26" s="32" t="s">
        <v>271</v>
      </c>
      <c r="E26" s="1"/>
      <c r="F26" s="1"/>
      <c r="G26" s="32" t="s">
        <v>272</v>
      </c>
    </row>
    <row r="27" spans="1:7" x14ac:dyDescent="0.25">
      <c r="B27" s="3">
        <f>+G23</f>
        <v>157.08750000000001</v>
      </c>
      <c r="C27" s="3">
        <f>+B27*(+'Data Entry'!C21)</f>
        <v>9.4252500000000001</v>
      </c>
      <c r="D27" s="3">
        <f>+B27*(+'Data Entry'!C16)</f>
        <v>9.3309975000000005</v>
      </c>
      <c r="G27" s="3">
        <f>SUM(B27:F27)</f>
        <v>175.84374750000001</v>
      </c>
    </row>
    <row r="28" spans="1:7" x14ac:dyDescent="0.25">
      <c r="C28"/>
    </row>
    <row r="31" spans="1:7" x14ac:dyDescent="0.25">
      <c r="A31" t="s">
        <v>468</v>
      </c>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0"/>
  <sheetViews>
    <sheetView workbookViewId="0">
      <selection activeCell="A2" sqref="A2"/>
    </sheetView>
  </sheetViews>
  <sheetFormatPr defaultRowHeight="13.2" x14ac:dyDescent="0.25"/>
  <cols>
    <col min="1" max="1" width="21.109375" customWidth="1"/>
    <col min="2" max="2" width="8.109375" customWidth="1"/>
    <col min="3" max="3" width="14.6640625" style="46" customWidth="1"/>
  </cols>
  <sheetData>
    <row r="1" spans="1:7" x14ac:dyDescent="0.25">
      <c r="A1" s="773" t="s">
        <v>988</v>
      </c>
    </row>
    <row r="2" spans="1:7" x14ac:dyDescent="0.25">
      <c r="A2" s="773" t="s">
        <v>923</v>
      </c>
    </row>
    <row r="4" spans="1:7" x14ac:dyDescent="0.25">
      <c r="A4" s="1" t="s">
        <v>303</v>
      </c>
      <c r="B4" s="1"/>
      <c r="C4" s="91"/>
      <c r="D4" s="1"/>
      <c r="E4" s="1"/>
      <c r="F4" s="1"/>
      <c r="G4" s="1"/>
    </row>
    <row r="5" spans="1:7" x14ac:dyDescent="0.25">
      <c r="A5" s="1" t="s">
        <v>304</v>
      </c>
      <c r="B5" s="1"/>
      <c r="C5" s="91"/>
      <c r="D5" s="1"/>
      <c r="E5" s="1"/>
      <c r="F5" s="1"/>
      <c r="G5" s="1"/>
    </row>
    <row r="6" spans="1:7" x14ac:dyDescent="0.25">
      <c r="A6" s="1" t="s">
        <v>214</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19" si="0">+E12*F12</f>
        <v>0.36</v>
      </c>
    </row>
    <row r="13" spans="1:7" x14ac:dyDescent="0.25">
      <c r="A13" t="s">
        <v>290</v>
      </c>
      <c r="C13" s="46">
        <v>110104001</v>
      </c>
      <c r="E13">
        <v>30</v>
      </c>
      <c r="F13" s="3">
        <f>+'Data Entry'!D30</f>
        <v>0.63</v>
      </c>
      <c r="G13" s="3">
        <f t="shared" si="0"/>
        <v>18.899999999999999</v>
      </c>
    </row>
    <row r="14" spans="1:7" x14ac:dyDescent="0.25">
      <c r="A14" t="s">
        <v>291</v>
      </c>
      <c r="C14" s="46">
        <v>112308003</v>
      </c>
      <c r="E14">
        <v>3</v>
      </c>
      <c r="F14" s="3">
        <f>+'Data Entry'!D31</f>
        <v>0.28999999999999998</v>
      </c>
      <c r="G14" s="3">
        <f t="shared" si="0"/>
        <v>0.86999999999999988</v>
      </c>
    </row>
    <row r="15" spans="1:7" x14ac:dyDescent="0.25">
      <c r="A15" t="s">
        <v>292</v>
      </c>
      <c r="C15" s="46">
        <v>120036106</v>
      </c>
      <c r="E15">
        <v>0.25</v>
      </c>
      <c r="F15" s="3">
        <f>+'Data Entry'!D34</f>
        <v>0.85</v>
      </c>
      <c r="G15" s="3">
        <f t="shared" si="0"/>
        <v>0.21249999999999999</v>
      </c>
    </row>
    <row r="16" spans="1:7" x14ac:dyDescent="0.25">
      <c r="A16" t="s">
        <v>293</v>
      </c>
      <c r="C16" s="46">
        <v>130405104</v>
      </c>
      <c r="E16">
        <v>0.75</v>
      </c>
      <c r="F16" s="3">
        <f>+'Data Entry'!D36</f>
        <v>2.2999999999999998</v>
      </c>
      <c r="G16" s="3">
        <f t="shared" si="0"/>
        <v>1.7249999999999999</v>
      </c>
    </row>
    <row r="17" spans="1:7" x14ac:dyDescent="0.25">
      <c r="A17" t="s">
        <v>294</v>
      </c>
      <c r="C17" s="46">
        <v>130614005</v>
      </c>
      <c r="E17">
        <v>1</v>
      </c>
      <c r="F17" s="3">
        <f>+'Data Entry'!D37</f>
        <v>10.81</v>
      </c>
      <c r="G17" s="3">
        <f t="shared" si="0"/>
        <v>10.81</v>
      </c>
    </row>
    <row r="18" spans="1:7" x14ac:dyDescent="0.25">
      <c r="A18" t="s">
        <v>298</v>
      </c>
      <c r="C18" s="46">
        <v>152234001</v>
      </c>
      <c r="E18">
        <v>1</v>
      </c>
      <c r="F18" s="3">
        <f>+'Data Entry'!D58</f>
        <v>292.63</v>
      </c>
      <c r="G18" s="3">
        <f t="shared" si="0"/>
        <v>292.63</v>
      </c>
    </row>
    <row r="19" spans="1:7" x14ac:dyDescent="0.25">
      <c r="A19" t="s">
        <v>307</v>
      </c>
      <c r="C19" s="46">
        <v>163659008</v>
      </c>
      <c r="E19">
        <v>2</v>
      </c>
      <c r="F19" s="3">
        <f>+'Data Entry'!D66</f>
        <v>2.8</v>
      </c>
      <c r="G19" s="3">
        <f t="shared" si="0"/>
        <v>5.6</v>
      </c>
    </row>
    <row r="20" spans="1:7" x14ac:dyDescent="0.25">
      <c r="F20" s="3"/>
      <c r="G20" s="3"/>
    </row>
    <row r="21" spans="1:7" x14ac:dyDescent="0.25">
      <c r="F21" s="3"/>
      <c r="G21" s="51"/>
    </row>
    <row r="22" spans="1:7" x14ac:dyDescent="0.25">
      <c r="G22" s="245">
        <f>SUM(G12:G21)</f>
        <v>331.10750000000002</v>
      </c>
    </row>
    <row r="24" spans="1:7" ht="21" x14ac:dyDescent="0.4">
      <c r="B24" s="1" t="s">
        <v>266</v>
      </c>
      <c r="C24" s="53" t="s">
        <v>267</v>
      </c>
      <c r="D24" s="54" t="s">
        <v>268</v>
      </c>
      <c r="E24" s="1"/>
      <c r="F24" s="55" t="s">
        <v>269</v>
      </c>
      <c r="G24" s="1" t="s">
        <v>247</v>
      </c>
    </row>
    <row r="25" spans="1:7" x14ac:dyDescent="0.25">
      <c r="B25" s="32" t="s">
        <v>252</v>
      </c>
      <c r="C25" s="71" t="s">
        <v>270</v>
      </c>
      <c r="D25" s="32" t="s">
        <v>271</v>
      </c>
      <c r="E25" s="1"/>
      <c r="F25" s="1"/>
      <c r="G25" s="32" t="s">
        <v>272</v>
      </c>
    </row>
    <row r="26" spans="1:7" x14ac:dyDescent="0.25">
      <c r="B26" s="3">
        <f>+G22</f>
        <v>331.10750000000002</v>
      </c>
      <c r="C26" s="3">
        <f>+B26*(+'Data Entry'!C21)</f>
        <v>19.86645</v>
      </c>
      <c r="D26" s="3">
        <f>+B26*(+'Data Entry'!C16)</f>
        <v>19.667785500000001</v>
      </c>
      <c r="G26" s="3">
        <f>SUM(B26:F26)</f>
        <v>370.64173549999998</v>
      </c>
    </row>
    <row r="27" spans="1:7" x14ac:dyDescent="0.25">
      <c r="C27"/>
    </row>
    <row r="30" spans="1:7" x14ac:dyDescent="0.25">
      <c r="A30" t="s">
        <v>468</v>
      </c>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0"/>
  <sheetViews>
    <sheetView workbookViewId="0">
      <selection activeCell="A2" sqref="A2"/>
    </sheetView>
  </sheetViews>
  <sheetFormatPr defaultRowHeight="13.2" x14ac:dyDescent="0.25"/>
  <cols>
    <col min="1" max="1" width="21.109375" customWidth="1"/>
    <col min="2" max="2" width="8.109375" customWidth="1"/>
    <col min="3" max="3" width="14.6640625" style="46" customWidth="1"/>
  </cols>
  <sheetData>
    <row r="1" spans="1:7" x14ac:dyDescent="0.25">
      <c r="A1" s="773" t="s">
        <v>989</v>
      </c>
    </row>
    <row r="2" spans="1:7" x14ac:dyDescent="0.25">
      <c r="A2" s="773" t="s">
        <v>923</v>
      </c>
    </row>
    <row r="4" spans="1:7" x14ac:dyDescent="0.25">
      <c r="A4" s="1" t="s">
        <v>305</v>
      </c>
      <c r="B4" s="1"/>
      <c r="C4" s="91"/>
      <c r="D4" s="1"/>
      <c r="E4" s="1"/>
      <c r="F4" s="1"/>
      <c r="G4" s="1"/>
    </row>
    <row r="5" spans="1:7" x14ac:dyDescent="0.25">
      <c r="A5" s="1" t="s">
        <v>304</v>
      </c>
      <c r="B5" s="1"/>
      <c r="C5" s="91"/>
      <c r="D5" s="1"/>
      <c r="E5" s="1"/>
      <c r="F5" s="1"/>
      <c r="G5" s="1"/>
    </row>
    <row r="6" spans="1:7" x14ac:dyDescent="0.25">
      <c r="A6" s="1" t="s">
        <v>214</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19" si="0">+E12*F12</f>
        <v>0.36</v>
      </c>
    </row>
    <row r="13" spans="1:7" x14ac:dyDescent="0.25">
      <c r="A13" t="s">
        <v>290</v>
      </c>
      <c r="C13" s="46">
        <v>110104001</v>
      </c>
      <c r="E13">
        <v>35</v>
      </c>
      <c r="F13" s="3">
        <f>+'Data Entry'!D30</f>
        <v>0.63</v>
      </c>
      <c r="G13" s="3">
        <f t="shared" si="0"/>
        <v>22.05</v>
      </c>
    </row>
    <row r="14" spans="1:7" x14ac:dyDescent="0.25">
      <c r="A14" t="s">
        <v>291</v>
      </c>
      <c r="C14" s="46">
        <v>112308003</v>
      </c>
      <c r="E14">
        <v>3</v>
      </c>
      <c r="F14" s="3">
        <f>+'Data Entry'!D31</f>
        <v>0.28999999999999998</v>
      </c>
      <c r="G14" s="3">
        <f t="shared" si="0"/>
        <v>0.86999999999999988</v>
      </c>
    </row>
    <row r="15" spans="1:7" x14ac:dyDescent="0.25">
      <c r="A15" t="s">
        <v>292</v>
      </c>
      <c r="C15" s="46">
        <v>120036106</v>
      </c>
      <c r="E15">
        <v>0.25</v>
      </c>
      <c r="F15" s="3">
        <f>+'Data Entry'!D34</f>
        <v>0.85</v>
      </c>
      <c r="G15" s="3">
        <f t="shared" si="0"/>
        <v>0.21249999999999999</v>
      </c>
    </row>
    <row r="16" spans="1:7" x14ac:dyDescent="0.25">
      <c r="A16" t="s">
        <v>293</v>
      </c>
      <c r="C16" s="46">
        <v>130405104</v>
      </c>
      <c r="E16">
        <v>0.75</v>
      </c>
      <c r="F16" s="3">
        <f>+'Data Entry'!D36</f>
        <v>2.2999999999999998</v>
      </c>
      <c r="G16" s="3">
        <f t="shared" si="0"/>
        <v>1.7249999999999999</v>
      </c>
    </row>
    <row r="17" spans="1:7" x14ac:dyDescent="0.25">
      <c r="A17" t="s">
        <v>294</v>
      </c>
      <c r="C17" s="46">
        <v>130614005</v>
      </c>
      <c r="E17">
        <v>1</v>
      </c>
      <c r="F17" s="3">
        <f>+'Data Entry'!D37</f>
        <v>10.81</v>
      </c>
      <c r="G17" s="3">
        <f t="shared" si="0"/>
        <v>10.81</v>
      </c>
    </row>
    <row r="18" spans="1:7" x14ac:dyDescent="0.25">
      <c r="A18" t="s">
        <v>298</v>
      </c>
      <c r="C18" s="46">
        <v>152239002</v>
      </c>
      <c r="E18">
        <v>1</v>
      </c>
      <c r="F18" s="3">
        <f>+'Data Entry'!D59</f>
        <v>322.54000000000002</v>
      </c>
      <c r="G18" s="3">
        <f t="shared" si="0"/>
        <v>322.54000000000002</v>
      </c>
    </row>
    <row r="19" spans="1:7" x14ac:dyDescent="0.25">
      <c r="A19" t="s">
        <v>307</v>
      </c>
      <c r="C19" s="46">
        <v>163659008</v>
      </c>
      <c r="E19">
        <v>2</v>
      </c>
      <c r="F19" s="3">
        <f>+'Data Entry'!D66</f>
        <v>2.8</v>
      </c>
      <c r="G19" s="3">
        <f t="shared" si="0"/>
        <v>5.6</v>
      </c>
    </row>
    <row r="20" spans="1:7" x14ac:dyDescent="0.25">
      <c r="F20" s="3"/>
      <c r="G20" s="3"/>
    </row>
    <row r="21" spans="1:7" x14ac:dyDescent="0.25">
      <c r="F21" s="3"/>
      <c r="G21" s="51"/>
    </row>
    <row r="22" spans="1:7" x14ac:dyDescent="0.25">
      <c r="G22" s="245">
        <f>SUM(G12:G21)</f>
        <v>364.16750000000002</v>
      </c>
    </row>
    <row r="24" spans="1:7" ht="21" x14ac:dyDescent="0.4">
      <c r="B24" s="1" t="s">
        <v>266</v>
      </c>
      <c r="C24" s="53" t="s">
        <v>267</v>
      </c>
      <c r="D24" s="54" t="s">
        <v>268</v>
      </c>
      <c r="E24" s="1"/>
      <c r="F24" s="55" t="s">
        <v>269</v>
      </c>
      <c r="G24" s="1" t="s">
        <v>247</v>
      </c>
    </row>
    <row r="25" spans="1:7" x14ac:dyDescent="0.25">
      <c r="B25" s="32" t="s">
        <v>252</v>
      </c>
      <c r="C25" s="71" t="s">
        <v>270</v>
      </c>
      <c r="D25" s="32" t="s">
        <v>271</v>
      </c>
      <c r="E25" s="1"/>
      <c r="F25" s="1"/>
      <c r="G25" s="32" t="s">
        <v>272</v>
      </c>
    </row>
    <row r="26" spans="1:7" x14ac:dyDescent="0.25">
      <c r="B26" s="3">
        <f>+G22</f>
        <v>364.16750000000002</v>
      </c>
      <c r="C26" s="3">
        <f>+B26*(+'Data Entry'!C21)</f>
        <v>21.85005</v>
      </c>
      <c r="D26" s="3">
        <f>+B26*(+'Data Entry'!C16)</f>
        <v>21.631549500000002</v>
      </c>
      <c r="G26" s="3">
        <f>SUM(B26:F26)</f>
        <v>407.64909950000003</v>
      </c>
    </row>
    <row r="27" spans="1:7" x14ac:dyDescent="0.25">
      <c r="C27"/>
    </row>
    <row r="30" spans="1:7" x14ac:dyDescent="0.25">
      <c r="A30" t="s">
        <v>468</v>
      </c>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H30"/>
  <sheetViews>
    <sheetView workbookViewId="0">
      <selection activeCell="A2" sqref="A2"/>
    </sheetView>
  </sheetViews>
  <sheetFormatPr defaultRowHeight="13.2" x14ac:dyDescent="0.25"/>
  <cols>
    <col min="1" max="1" width="21.109375" customWidth="1"/>
    <col min="2" max="2" width="8.109375" customWidth="1"/>
    <col min="3" max="3" width="14.6640625" style="46" customWidth="1"/>
  </cols>
  <sheetData>
    <row r="1" spans="1:7" x14ac:dyDescent="0.25">
      <c r="A1" s="773" t="s">
        <v>990</v>
      </c>
    </row>
    <row r="2" spans="1:7" x14ac:dyDescent="0.25">
      <c r="A2" s="773" t="s">
        <v>923</v>
      </c>
    </row>
    <row r="4" spans="1:7" x14ac:dyDescent="0.25">
      <c r="A4" s="1" t="s">
        <v>310</v>
      </c>
      <c r="B4" s="1"/>
      <c r="C4" s="91"/>
      <c r="D4" s="1"/>
      <c r="E4" s="1"/>
      <c r="F4" s="1"/>
      <c r="G4" s="1"/>
    </row>
    <row r="5" spans="1:7" x14ac:dyDescent="0.25">
      <c r="A5" s="1" t="s">
        <v>304</v>
      </c>
      <c r="B5" s="1"/>
      <c r="C5" s="91"/>
      <c r="D5" s="1"/>
      <c r="E5" s="1"/>
      <c r="F5" s="1"/>
      <c r="G5" s="1"/>
    </row>
    <row r="6" spans="1:7" x14ac:dyDescent="0.25">
      <c r="A6" s="1" t="s">
        <v>214</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19" si="0">+E12*F12</f>
        <v>0.36</v>
      </c>
    </row>
    <row r="13" spans="1:7" x14ac:dyDescent="0.25">
      <c r="A13" t="s">
        <v>290</v>
      </c>
      <c r="C13" s="46">
        <v>110104001</v>
      </c>
      <c r="E13">
        <v>40</v>
      </c>
      <c r="F13" s="3">
        <f>+'Data Entry'!D30</f>
        <v>0.63</v>
      </c>
      <c r="G13" s="3">
        <f t="shared" si="0"/>
        <v>25.2</v>
      </c>
    </row>
    <row r="14" spans="1:7" x14ac:dyDescent="0.25">
      <c r="A14" t="s">
        <v>291</v>
      </c>
      <c r="C14" s="46">
        <v>112308003</v>
      </c>
      <c r="E14">
        <v>3</v>
      </c>
      <c r="F14" s="3">
        <f>+'Data Entry'!D31</f>
        <v>0.28999999999999998</v>
      </c>
      <c r="G14" s="3">
        <f t="shared" si="0"/>
        <v>0.86999999999999988</v>
      </c>
    </row>
    <row r="15" spans="1:7" x14ac:dyDescent="0.25">
      <c r="A15" t="s">
        <v>292</v>
      </c>
      <c r="C15" s="46">
        <v>120036106</v>
      </c>
      <c r="E15">
        <v>0.25</v>
      </c>
      <c r="F15" s="3">
        <f>+'Data Entry'!D34</f>
        <v>0.85</v>
      </c>
      <c r="G15" s="3">
        <f t="shared" si="0"/>
        <v>0.21249999999999999</v>
      </c>
    </row>
    <row r="16" spans="1:7" x14ac:dyDescent="0.25">
      <c r="A16" t="s">
        <v>293</v>
      </c>
      <c r="C16" s="46">
        <v>130405104</v>
      </c>
      <c r="E16">
        <v>0.75</v>
      </c>
      <c r="F16" s="3">
        <f>+'Data Entry'!D36</f>
        <v>2.2999999999999998</v>
      </c>
      <c r="G16" s="3">
        <f t="shared" si="0"/>
        <v>1.7249999999999999</v>
      </c>
    </row>
    <row r="17" spans="1:8" x14ac:dyDescent="0.25">
      <c r="A17" t="s">
        <v>294</v>
      </c>
      <c r="C17" s="46">
        <v>130614005</v>
      </c>
      <c r="E17">
        <v>1</v>
      </c>
      <c r="F17" s="3">
        <f>+'Data Entry'!D37</f>
        <v>10.81</v>
      </c>
      <c r="G17" s="3">
        <f t="shared" si="0"/>
        <v>10.81</v>
      </c>
    </row>
    <row r="18" spans="1:8" x14ac:dyDescent="0.25">
      <c r="A18" t="s">
        <v>298</v>
      </c>
      <c r="C18" s="46">
        <v>152351007</v>
      </c>
      <c r="E18">
        <v>1</v>
      </c>
      <c r="F18" s="3">
        <f>+'Data Entry'!D61</f>
        <v>584.71</v>
      </c>
      <c r="G18" s="3">
        <f t="shared" si="0"/>
        <v>584.71</v>
      </c>
    </row>
    <row r="19" spans="1:8" x14ac:dyDescent="0.25">
      <c r="A19" t="s">
        <v>307</v>
      </c>
      <c r="C19" s="46">
        <v>163659008</v>
      </c>
      <c r="E19">
        <v>2</v>
      </c>
      <c r="F19" s="3">
        <f>+'Data Entry'!D66</f>
        <v>2.8</v>
      </c>
      <c r="G19" s="3">
        <f t="shared" si="0"/>
        <v>5.6</v>
      </c>
    </row>
    <row r="20" spans="1:8" x14ac:dyDescent="0.25">
      <c r="F20" s="3"/>
      <c r="G20" s="3"/>
    </row>
    <row r="21" spans="1:8" x14ac:dyDescent="0.25">
      <c r="F21" s="3"/>
      <c r="G21" s="51"/>
    </row>
    <row r="22" spans="1:8" x14ac:dyDescent="0.25">
      <c r="G22" s="245">
        <f>SUM(G12:G21)</f>
        <v>629.48750000000007</v>
      </c>
      <c r="H22" s="3"/>
    </row>
    <row r="24" spans="1:8" ht="21" x14ac:dyDescent="0.4">
      <c r="B24" s="1" t="s">
        <v>266</v>
      </c>
      <c r="C24" s="53" t="s">
        <v>267</v>
      </c>
      <c r="D24" s="54" t="s">
        <v>268</v>
      </c>
      <c r="E24" s="1"/>
      <c r="F24" s="55" t="s">
        <v>269</v>
      </c>
      <c r="G24" s="1" t="s">
        <v>247</v>
      </c>
    </row>
    <row r="25" spans="1:8" x14ac:dyDescent="0.25">
      <c r="B25" s="32" t="s">
        <v>252</v>
      </c>
      <c r="C25" s="71" t="s">
        <v>270</v>
      </c>
      <c r="D25" s="32" t="s">
        <v>271</v>
      </c>
      <c r="E25" s="1"/>
      <c r="F25" s="1"/>
      <c r="G25" s="32" t="s">
        <v>272</v>
      </c>
    </row>
    <row r="26" spans="1:8" x14ac:dyDescent="0.25">
      <c r="B26" s="3">
        <f>+G22</f>
        <v>629.48750000000007</v>
      </c>
      <c r="C26" s="3">
        <f>+B26*(+'Data Entry'!C21)</f>
        <v>37.76925</v>
      </c>
      <c r="D26" s="3">
        <f>+B26*(+'Data Entry'!C16)</f>
        <v>37.391557500000005</v>
      </c>
      <c r="G26" s="3">
        <f>SUM(B26:F26)</f>
        <v>704.64830749999999</v>
      </c>
    </row>
    <row r="27" spans="1:8" x14ac:dyDescent="0.25">
      <c r="C27"/>
    </row>
    <row r="30" spans="1:8" x14ac:dyDescent="0.25">
      <c r="A30" t="s">
        <v>302</v>
      </c>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election activeCell="A2" sqref="A1:A2"/>
    </sheetView>
  </sheetViews>
  <sheetFormatPr defaultRowHeight="13.2" x14ac:dyDescent="0.25"/>
  <cols>
    <col min="1" max="1" width="39.44140625" customWidth="1"/>
    <col min="2" max="2" width="7.5546875" bestFit="1" customWidth="1"/>
    <col min="3" max="3" width="13.44140625" bestFit="1" customWidth="1"/>
    <col min="4" max="4" width="12.33203125" bestFit="1" customWidth="1"/>
    <col min="5" max="5" width="12.5546875" bestFit="1" customWidth="1"/>
  </cols>
  <sheetData>
    <row r="1" spans="1:5" x14ac:dyDescent="0.25">
      <c r="A1" s="773" t="s">
        <v>929</v>
      </c>
    </row>
    <row r="2" spans="1:5" x14ac:dyDescent="0.25">
      <c r="A2" s="773" t="s">
        <v>923</v>
      </c>
    </row>
    <row r="3" spans="1:5" s="630" customFormat="1" ht="15.6" x14ac:dyDescent="0.3">
      <c r="A3" s="753" t="s">
        <v>858</v>
      </c>
      <c r="B3" s="753"/>
      <c r="C3" s="753"/>
      <c r="D3" s="753"/>
      <c r="E3" s="753"/>
    </row>
    <row r="4" spans="1:5" s="630" customFormat="1" ht="15.6" x14ac:dyDescent="0.3">
      <c r="A4" s="753" t="s">
        <v>859</v>
      </c>
      <c r="B4" s="753"/>
      <c r="C4" s="753"/>
      <c r="D4" s="753"/>
      <c r="E4" s="753"/>
    </row>
    <row r="5" spans="1:5" s="630" customFormat="1" ht="15.6" x14ac:dyDescent="0.3">
      <c r="A5" s="753" t="s">
        <v>921</v>
      </c>
      <c r="B5" s="753"/>
      <c r="C5" s="753"/>
      <c r="D5" s="753"/>
      <c r="E5" s="753"/>
    </row>
    <row r="8" spans="1:5" ht="13.8" thickBot="1" x14ac:dyDescent="0.3">
      <c r="E8" s="33"/>
    </row>
    <row r="9" spans="1:5" ht="13.8" thickBot="1" x14ac:dyDescent="0.3">
      <c r="A9" s="754" t="s">
        <v>860</v>
      </c>
      <c r="B9" s="755"/>
      <c r="C9" s="751" t="s">
        <v>861</v>
      </c>
      <c r="D9" s="752"/>
      <c r="E9" s="631"/>
    </row>
    <row r="10" spans="1:5" ht="13.8" thickBot="1" x14ac:dyDescent="0.3">
      <c r="A10" s="756"/>
      <c r="B10" s="757"/>
      <c r="C10" s="531" t="s">
        <v>862</v>
      </c>
      <c r="D10" s="531" t="s">
        <v>504</v>
      </c>
      <c r="E10" s="631"/>
    </row>
    <row r="11" spans="1:5" x14ac:dyDescent="0.25">
      <c r="A11" s="285" t="s">
        <v>863</v>
      </c>
      <c r="B11" s="277"/>
      <c r="C11" s="632">
        <v>2.487E-2</v>
      </c>
      <c r="D11" s="632">
        <v>2.1049999999999999E-2</v>
      </c>
      <c r="E11" s="633"/>
    </row>
    <row r="12" spans="1:5" x14ac:dyDescent="0.25">
      <c r="A12" t="s">
        <v>864</v>
      </c>
      <c r="B12" s="277"/>
      <c r="C12" s="634">
        <f>CARRYING_CHARGE!B13</f>
        <v>1.8200000000000001E-2</v>
      </c>
      <c r="D12" s="634">
        <v>1.8200000000000001E-2</v>
      </c>
      <c r="E12" s="635"/>
    </row>
    <row r="13" spans="1:5" x14ac:dyDescent="0.25">
      <c r="A13" t="s">
        <v>865</v>
      </c>
      <c r="B13" s="277"/>
      <c r="C13" s="634">
        <f>CARRYING_CHARGE!B14</f>
        <v>5.2999999999999998E-4</v>
      </c>
      <c r="D13" s="634">
        <f>C13</f>
        <v>5.2999999999999998E-4</v>
      </c>
      <c r="E13" s="635"/>
    </row>
    <row r="14" spans="1:5" s="1" customFormat="1" ht="13.8" thickBot="1" x14ac:dyDescent="0.3">
      <c r="A14" s="1" t="s">
        <v>866</v>
      </c>
      <c r="B14" s="277"/>
      <c r="C14" s="636">
        <f>SUM(C11:C13)</f>
        <v>4.36E-2</v>
      </c>
      <c r="D14" s="637">
        <f>SUM(D11:D13)</f>
        <v>3.9780000000000003E-2</v>
      </c>
      <c r="E14" s="638"/>
    </row>
    <row r="15" spans="1:5" ht="13.8" thickTop="1" x14ac:dyDescent="0.25">
      <c r="B15" s="277"/>
      <c r="C15" s="634"/>
      <c r="D15" s="634"/>
      <c r="E15" s="633"/>
    </row>
    <row r="16" spans="1:5" x14ac:dyDescent="0.25">
      <c r="A16" t="s">
        <v>867</v>
      </c>
      <c r="B16" s="539"/>
      <c r="C16" s="639">
        <v>12</v>
      </c>
      <c r="D16" s="639">
        <v>12</v>
      </c>
      <c r="E16" s="640"/>
    </row>
    <row r="17" spans="1:5" s="641" customFormat="1" ht="14.4" thickBot="1" x14ac:dyDescent="0.3">
      <c r="A17" s="641" t="s">
        <v>868</v>
      </c>
      <c r="B17" s="539"/>
      <c r="C17" s="642">
        <f>C14/12</f>
        <v>3.6333333333333335E-3</v>
      </c>
      <c r="D17" s="642">
        <f>D14/12</f>
        <v>3.3150000000000002E-3</v>
      </c>
      <c r="E17" s="643"/>
    </row>
    <row r="18" spans="1:5" ht="13.8" thickTop="1" x14ac:dyDescent="0.25">
      <c r="B18" s="539"/>
      <c r="E18" s="33"/>
    </row>
    <row r="19" spans="1:5" x14ac:dyDescent="0.25">
      <c r="A19" s="277" t="s">
        <v>869</v>
      </c>
      <c r="B19" s="539"/>
      <c r="E19" s="33"/>
    </row>
    <row r="20" spans="1:5" x14ac:dyDescent="0.25">
      <c r="B20" s="539"/>
      <c r="C20">
        <v>3.5100698840350338E-3</v>
      </c>
      <c r="D20">
        <v>3.1923187109167538E-3</v>
      </c>
      <c r="E20" s="33"/>
    </row>
    <row r="21" spans="1:5" x14ac:dyDescent="0.25">
      <c r="B21" s="539"/>
    </row>
    <row r="22" spans="1:5" x14ac:dyDescent="0.25">
      <c r="A22" s="285" t="s">
        <v>870</v>
      </c>
      <c r="B22" s="539"/>
    </row>
    <row r="23" spans="1:5" x14ac:dyDescent="0.25">
      <c r="B23" s="539"/>
    </row>
    <row r="24" spans="1:5" x14ac:dyDescent="0.25">
      <c r="B24" s="539"/>
    </row>
    <row r="25" spans="1:5" x14ac:dyDescent="0.25">
      <c r="B25" s="539"/>
    </row>
    <row r="26" spans="1:5" x14ac:dyDescent="0.25">
      <c r="B26" s="539"/>
    </row>
    <row r="27" spans="1:5" x14ac:dyDescent="0.25">
      <c r="B27" s="539"/>
    </row>
    <row r="28" spans="1:5" x14ac:dyDescent="0.25">
      <c r="B28" s="539"/>
    </row>
    <row r="29" spans="1:5" x14ac:dyDescent="0.25">
      <c r="B29" s="539"/>
    </row>
    <row r="30" spans="1:5" x14ac:dyDescent="0.25">
      <c r="B30" s="539"/>
    </row>
    <row r="31" spans="1:5" x14ac:dyDescent="0.25">
      <c r="B31" s="539"/>
    </row>
    <row r="32" spans="1:5" x14ac:dyDescent="0.25">
      <c r="B32" s="539"/>
    </row>
    <row r="33" spans="1:5" x14ac:dyDescent="0.25">
      <c r="B33" s="539"/>
    </row>
    <row r="34" spans="1:5" x14ac:dyDescent="0.25">
      <c r="B34" s="539"/>
    </row>
    <row r="35" spans="1:5" x14ac:dyDescent="0.25">
      <c r="B35" s="539"/>
    </row>
    <row r="36" spans="1:5" x14ac:dyDescent="0.25">
      <c r="B36" s="539"/>
    </row>
    <row r="37" spans="1:5" x14ac:dyDescent="0.25">
      <c r="B37" s="539"/>
    </row>
    <row r="38" spans="1:5" s="641" customFormat="1" ht="14.4" hidden="1" thickBot="1" x14ac:dyDescent="0.3">
      <c r="A38" s="745" t="s">
        <v>871</v>
      </c>
      <c r="B38" s="746"/>
      <c r="C38" s="749" t="s">
        <v>861</v>
      </c>
      <c r="D38" s="750"/>
      <c r="E38" s="644" t="s">
        <v>872</v>
      </c>
    </row>
    <row r="39" spans="1:5" ht="13.8" hidden="1" thickBot="1" x14ac:dyDescent="0.3">
      <c r="A39" s="747"/>
      <c r="B39" s="748"/>
      <c r="C39" s="645" t="s">
        <v>862</v>
      </c>
      <c r="D39" s="645" t="s">
        <v>504</v>
      </c>
      <c r="E39" s="646" t="s">
        <v>873</v>
      </c>
    </row>
    <row r="40" spans="1:5" hidden="1" x14ac:dyDescent="0.25">
      <c r="A40" s="647" t="s">
        <v>874</v>
      </c>
      <c r="B40" s="648">
        <v>2005</v>
      </c>
      <c r="C40" s="649">
        <f>C11</f>
        <v>2.487E-2</v>
      </c>
      <c r="D40" s="649">
        <f>D11</f>
        <v>2.1049999999999999E-2</v>
      </c>
      <c r="E40" s="649">
        <f>D40</f>
        <v>2.1049999999999999E-2</v>
      </c>
    </row>
    <row r="41" spans="1:5" hidden="1" x14ac:dyDescent="0.25">
      <c r="A41" s="647" t="s">
        <v>874</v>
      </c>
      <c r="B41" s="648">
        <v>2004</v>
      </c>
      <c r="C41" s="649">
        <v>3.4200000000000001E-2</v>
      </c>
      <c r="D41" s="649">
        <v>3.952E-2</v>
      </c>
      <c r="E41" s="649">
        <f>D41</f>
        <v>3.952E-2</v>
      </c>
    </row>
    <row r="42" spans="1:5" hidden="1" x14ac:dyDescent="0.25">
      <c r="A42" s="647" t="s">
        <v>874</v>
      </c>
      <c r="B42" s="648">
        <v>2003</v>
      </c>
      <c r="C42" s="649">
        <v>3.9890000000000002E-2</v>
      </c>
      <c r="D42" s="649">
        <v>4.8399999999999999E-2</v>
      </c>
      <c r="E42" s="649">
        <f>D42</f>
        <v>4.8399999999999999E-2</v>
      </c>
    </row>
    <row r="43" spans="1:5" hidden="1" x14ac:dyDescent="0.25">
      <c r="A43" s="647" t="s">
        <v>874</v>
      </c>
      <c r="B43" s="648">
        <v>2002</v>
      </c>
      <c r="C43" s="649">
        <v>4.2619999999999998E-2</v>
      </c>
      <c r="D43" s="649">
        <v>5.8520000000000003E-2</v>
      </c>
      <c r="E43" s="649">
        <f>D43</f>
        <v>5.8520000000000003E-2</v>
      </c>
    </row>
    <row r="44" spans="1:5" hidden="1" x14ac:dyDescent="0.25">
      <c r="A44" s="647"/>
      <c r="B44" s="647"/>
      <c r="C44" s="647"/>
      <c r="D44" s="647"/>
      <c r="E44" s="649"/>
    </row>
    <row r="45" spans="1:5" hidden="1" x14ac:dyDescent="0.25">
      <c r="A45" s="647"/>
      <c r="B45" s="650" t="s">
        <v>875</v>
      </c>
      <c r="C45" s="651">
        <f>C40-C41</f>
        <v>-9.3300000000000015E-3</v>
      </c>
      <c r="D45" s="651">
        <f>D40-D41</f>
        <v>-1.847E-2</v>
      </c>
      <c r="E45" s="651">
        <f>E40-E41</f>
        <v>-1.847E-2</v>
      </c>
    </row>
    <row r="46" spans="1:5" hidden="1" x14ac:dyDescent="0.25">
      <c r="A46" s="647"/>
      <c r="B46" s="650" t="s">
        <v>876</v>
      </c>
      <c r="C46" s="649">
        <f>C45/C41</f>
        <v>-0.27280701754385966</v>
      </c>
      <c r="D46" s="649">
        <f>D45/D41</f>
        <v>-0.46735829959514169</v>
      </c>
      <c r="E46" s="649">
        <f>E45/E41</f>
        <v>-0.46735829959514169</v>
      </c>
    </row>
    <row r="47" spans="1:5" hidden="1" x14ac:dyDescent="0.25">
      <c r="A47" s="647"/>
      <c r="B47" s="647"/>
      <c r="C47" s="647"/>
      <c r="D47" s="647"/>
      <c r="E47" s="647"/>
    </row>
    <row r="48" spans="1:5" hidden="1" x14ac:dyDescent="0.25">
      <c r="A48" s="647"/>
      <c r="B48" s="650" t="s">
        <v>877</v>
      </c>
      <c r="C48" s="652">
        <v>10102350</v>
      </c>
      <c r="D48" s="652">
        <v>2246646</v>
      </c>
      <c r="E48" s="652">
        <f>D48</f>
        <v>2246646</v>
      </c>
    </row>
    <row r="49" spans="1:5" hidden="1" x14ac:dyDescent="0.25">
      <c r="A49" s="647"/>
      <c r="B49" s="650" t="s">
        <v>878</v>
      </c>
      <c r="C49" s="653">
        <v>10295535</v>
      </c>
      <c r="D49" s="653">
        <v>2227066</v>
      </c>
      <c r="E49" s="653">
        <f>D49</f>
        <v>2227066</v>
      </c>
    </row>
    <row r="50" spans="1:5" hidden="1" x14ac:dyDescent="0.25">
      <c r="A50" s="647"/>
      <c r="B50" s="650" t="s">
        <v>879</v>
      </c>
      <c r="C50" s="654">
        <f>C48-C49</f>
        <v>-193185</v>
      </c>
      <c r="D50" s="654">
        <f>D48-D49</f>
        <v>19580</v>
      </c>
      <c r="E50" s="654">
        <f>E48-E49</f>
        <v>19580</v>
      </c>
    </row>
    <row r="51" spans="1:5" ht="13.8" hidden="1" thickBot="1" x14ac:dyDescent="0.3">
      <c r="A51" s="647"/>
      <c r="B51" s="650" t="s">
        <v>880</v>
      </c>
      <c r="C51" s="655">
        <f>C50/C49</f>
        <v>-1.8763959327999954E-2</v>
      </c>
      <c r="D51" s="655">
        <f>D50/D49</f>
        <v>8.7918364341245392E-3</v>
      </c>
      <c r="E51" s="655">
        <f>E50/E49</f>
        <v>8.7918364341245392E-3</v>
      </c>
    </row>
    <row r="52" spans="1:5" hidden="1" x14ac:dyDescent="0.25">
      <c r="A52" s="647"/>
      <c r="B52" s="647"/>
      <c r="C52" s="647"/>
      <c r="D52" s="647"/>
      <c r="E52" s="647"/>
    </row>
    <row r="53" spans="1:5" hidden="1" x14ac:dyDescent="0.25">
      <c r="A53" s="647"/>
      <c r="B53" s="650" t="s">
        <v>881</v>
      </c>
      <c r="C53" s="652">
        <v>315809205</v>
      </c>
      <c r="D53" s="652">
        <v>57112323</v>
      </c>
      <c r="E53" s="652">
        <f>D53</f>
        <v>57112323</v>
      </c>
    </row>
    <row r="54" spans="1:5" hidden="1" x14ac:dyDescent="0.25">
      <c r="A54" s="647"/>
      <c r="B54" s="650" t="s">
        <v>882</v>
      </c>
      <c r="C54" s="653">
        <v>301035358</v>
      </c>
      <c r="D54" s="653">
        <v>56359826</v>
      </c>
      <c r="E54" s="653">
        <f>D54</f>
        <v>56359826</v>
      </c>
    </row>
    <row r="55" spans="1:5" hidden="1" x14ac:dyDescent="0.25">
      <c r="A55" s="647"/>
      <c r="B55" s="650" t="s">
        <v>879</v>
      </c>
      <c r="C55" s="654">
        <f>C53-C54</f>
        <v>14773847</v>
      </c>
      <c r="D55" s="654">
        <f>D53-D54</f>
        <v>752497</v>
      </c>
      <c r="E55" s="654">
        <f>E53-E54</f>
        <v>752497</v>
      </c>
    </row>
    <row r="56" spans="1:5" ht="13.8" hidden="1" thickBot="1" x14ac:dyDescent="0.3">
      <c r="A56" s="647"/>
      <c r="B56" s="650" t="s">
        <v>880</v>
      </c>
      <c r="C56" s="655">
        <f>C55/C54</f>
        <v>4.9076783199666532E-2</v>
      </c>
      <c r="D56" s="655">
        <f>D55/D54</f>
        <v>1.3351655840811149E-2</v>
      </c>
      <c r="E56" s="655">
        <f>E55/E54</f>
        <v>1.3351655840811149E-2</v>
      </c>
    </row>
    <row r="57" spans="1:5" hidden="1" x14ac:dyDescent="0.25"/>
  </sheetData>
  <mergeCells count="7">
    <mergeCell ref="A38:B39"/>
    <mergeCell ref="C38:D38"/>
    <mergeCell ref="C9:D9"/>
    <mergeCell ref="A3:E3"/>
    <mergeCell ref="A4:E4"/>
    <mergeCell ref="A5:E5"/>
    <mergeCell ref="A9:B10"/>
  </mergeCells>
  <printOptions horizontalCentered="1"/>
  <pageMargins left="0.25" right="0.25" top="1" bottom="1" header="0.5" footer="0.5"/>
  <pageSetup scale="120" orientation="landscape" verticalDpi="300"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0"/>
  <sheetViews>
    <sheetView workbookViewId="0">
      <selection activeCell="A2" sqref="A2"/>
    </sheetView>
  </sheetViews>
  <sheetFormatPr defaultRowHeight="13.2" x14ac:dyDescent="0.25"/>
  <cols>
    <col min="1" max="1" width="21.109375" customWidth="1"/>
    <col min="2" max="2" width="8.109375" customWidth="1"/>
    <col min="3" max="3" width="14.6640625" style="46" customWidth="1"/>
  </cols>
  <sheetData>
    <row r="1" spans="1:7" x14ac:dyDescent="0.25">
      <c r="A1" s="773" t="s">
        <v>991</v>
      </c>
    </row>
    <row r="2" spans="1:7" x14ac:dyDescent="0.25">
      <c r="A2" s="773" t="s">
        <v>923</v>
      </c>
    </row>
    <row r="4" spans="1:7" x14ac:dyDescent="0.25">
      <c r="A4" s="1" t="s">
        <v>311</v>
      </c>
      <c r="B4" s="1"/>
      <c r="C4" s="91"/>
      <c r="D4" s="1"/>
      <c r="E4" s="1"/>
      <c r="F4" s="1"/>
      <c r="G4" s="1"/>
    </row>
    <row r="5" spans="1:7" x14ac:dyDescent="0.25">
      <c r="A5" s="1" t="s">
        <v>304</v>
      </c>
      <c r="B5" s="1"/>
      <c r="C5" s="91"/>
      <c r="D5" s="1"/>
      <c r="E5" s="1"/>
      <c r="F5" s="1"/>
      <c r="G5" s="1"/>
    </row>
    <row r="6" spans="1:7" x14ac:dyDescent="0.25">
      <c r="A6" s="1" t="s">
        <v>214</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19" si="0">+E12*F12</f>
        <v>0.36</v>
      </c>
    </row>
    <row r="13" spans="1:7" x14ac:dyDescent="0.25">
      <c r="A13" t="s">
        <v>290</v>
      </c>
      <c r="C13" s="46">
        <v>110104001</v>
      </c>
      <c r="E13">
        <v>45</v>
      </c>
      <c r="F13" s="3">
        <f>+'Data Entry'!D30</f>
        <v>0.63</v>
      </c>
      <c r="G13" s="3">
        <f t="shared" si="0"/>
        <v>28.35</v>
      </c>
    </row>
    <row r="14" spans="1:7" x14ac:dyDescent="0.25">
      <c r="A14" t="s">
        <v>291</v>
      </c>
      <c r="C14" s="46">
        <v>112308003</v>
      </c>
      <c r="E14">
        <v>3</v>
      </c>
      <c r="F14" s="3">
        <f>+'Data Entry'!D31</f>
        <v>0.28999999999999998</v>
      </c>
      <c r="G14" s="3">
        <f t="shared" si="0"/>
        <v>0.86999999999999988</v>
      </c>
    </row>
    <row r="15" spans="1:7" x14ac:dyDescent="0.25">
      <c r="A15" t="s">
        <v>292</v>
      </c>
      <c r="C15" s="46">
        <v>120036106</v>
      </c>
      <c r="E15">
        <v>0.25</v>
      </c>
      <c r="F15" s="3">
        <f>+'Data Entry'!D34</f>
        <v>0.85</v>
      </c>
      <c r="G15" s="3">
        <f t="shared" si="0"/>
        <v>0.21249999999999999</v>
      </c>
    </row>
    <row r="16" spans="1:7" x14ac:dyDescent="0.25">
      <c r="A16" t="s">
        <v>293</v>
      </c>
      <c r="C16" s="46">
        <v>130405104</v>
      </c>
      <c r="E16">
        <v>0.75</v>
      </c>
      <c r="F16" s="3">
        <f>+'Data Entry'!D36</f>
        <v>2.2999999999999998</v>
      </c>
      <c r="G16" s="3">
        <f t="shared" si="0"/>
        <v>1.7249999999999999</v>
      </c>
    </row>
    <row r="17" spans="1:7" x14ac:dyDescent="0.25">
      <c r="A17" t="s">
        <v>294</v>
      </c>
      <c r="C17" s="46">
        <v>130614005</v>
      </c>
      <c r="E17">
        <v>1</v>
      </c>
      <c r="F17" s="3">
        <f>+'Data Entry'!D37</f>
        <v>10.81</v>
      </c>
      <c r="G17" s="3">
        <f t="shared" si="0"/>
        <v>10.81</v>
      </c>
    </row>
    <row r="18" spans="1:7" x14ac:dyDescent="0.25">
      <c r="A18" t="s">
        <v>298</v>
      </c>
      <c r="C18" s="46">
        <v>152352003</v>
      </c>
      <c r="E18">
        <v>1</v>
      </c>
      <c r="F18" s="3">
        <f>+'Data Entry'!D62</f>
        <v>644.13</v>
      </c>
      <c r="G18" s="3">
        <f t="shared" si="0"/>
        <v>644.13</v>
      </c>
    </row>
    <row r="19" spans="1:7" x14ac:dyDescent="0.25">
      <c r="A19" t="s">
        <v>307</v>
      </c>
      <c r="C19" s="46">
        <v>163659008</v>
      </c>
      <c r="E19">
        <v>2</v>
      </c>
      <c r="F19" s="3">
        <f>+'Data Entry'!D66</f>
        <v>2.8</v>
      </c>
      <c r="G19" s="3">
        <f t="shared" si="0"/>
        <v>5.6</v>
      </c>
    </row>
    <row r="20" spans="1:7" x14ac:dyDescent="0.25">
      <c r="F20" s="3"/>
      <c r="G20" s="3"/>
    </row>
    <row r="21" spans="1:7" x14ac:dyDescent="0.25">
      <c r="F21" s="3"/>
      <c r="G21" s="51"/>
    </row>
    <row r="22" spans="1:7" x14ac:dyDescent="0.25">
      <c r="G22" s="245">
        <f>SUM(G12:G21)</f>
        <v>692.0575</v>
      </c>
    </row>
    <row r="24" spans="1:7" ht="21" x14ac:dyDescent="0.4">
      <c r="B24" s="1" t="s">
        <v>266</v>
      </c>
      <c r="C24" s="53" t="s">
        <v>267</v>
      </c>
      <c r="D24" s="54" t="s">
        <v>268</v>
      </c>
      <c r="E24" s="1"/>
      <c r="F24" s="55" t="s">
        <v>269</v>
      </c>
      <c r="G24" s="1" t="s">
        <v>247</v>
      </c>
    </row>
    <row r="25" spans="1:7" x14ac:dyDescent="0.25">
      <c r="B25" s="32" t="s">
        <v>252</v>
      </c>
      <c r="C25" s="71" t="s">
        <v>270</v>
      </c>
      <c r="D25" s="32" t="s">
        <v>271</v>
      </c>
      <c r="E25" s="1"/>
      <c r="F25" s="1"/>
      <c r="G25" s="32" t="s">
        <v>272</v>
      </c>
    </row>
    <row r="26" spans="1:7" x14ac:dyDescent="0.25">
      <c r="B26" s="3">
        <f>+G22</f>
        <v>692.0575</v>
      </c>
      <c r="C26" s="3">
        <f>+B26*(+'Data Entry'!C21)</f>
        <v>41.523449999999997</v>
      </c>
      <c r="D26" s="3">
        <f>+B26*(+'Data Entry'!C16)</f>
        <v>41.1082155</v>
      </c>
      <c r="G26" s="3">
        <f>SUM(B26:F26)</f>
        <v>774.68916550000006</v>
      </c>
    </row>
    <row r="27" spans="1:7" x14ac:dyDescent="0.25">
      <c r="C27"/>
    </row>
    <row r="30" spans="1:7" x14ac:dyDescent="0.25">
      <c r="A30" t="s">
        <v>468</v>
      </c>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0"/>
  <sheetViews>
    <sheetView workbookViewId="0">
      <selection activeCell="A2" sqref="A2"/>
    </sheetView>
  </sheetViews>
  <sheetFormatPr defaultRowHeight="13.2" x14ac:dyDescent="0.25"/>
  <cols>
    <col min="1" max="1" width="21.109375" customWidth="1"/>
    <col min="2" max="2" width="8.109375" customWidth="1"/>
    <col min="3" max="3" width="14.6640625" style="46" customWidth="1"/>
    <col min="7" max="7" width="10.33203125" customWidth="1"/>
    <col min="8" max="8" width="7.88671875" customWidth="1"/>
  </cols>
  <sheetData>
    <row r="1" spans="1:7" x14ac:dyDescent="0.25">
      <c r="A1" s="773" t="s">
        <v>992</v>
      </c>
    </row>
    <row r="2" spans="1:7" x14ac:dyDescent="0.25">
      <c r="A2" s="773" t="s">
        <v>923</v>
      </c>
    </row>
    <row r="4" spans="1:7" x14ac:dyDescent="0.25">
      <c r="A4" s="1" t="s">
        <v>312</v>
      </c>
      <c r="B4" s="1"/>
      <c r="C4" s="91"/>
      <c r="D4" s="1"/>
      <c r="E4" s="1"/>
      <c r="F4" s="1"/>
      <c r="G4" s="1"/>
    </row>
    <row r="5" spans="1:7" x14ac:dyDescent="0.25">
      <c r="A5" s="1" t="s">
        <v>304</v>
      </c>
      <c r="B5" s="1"/>
      <c r="C5" s="91"/>
      <c r="D5" s="1"/>
      <c r="E5" s="1"/>
      <c r="F5" s="1"/>
      <c r="G5" s="1"/>
    </row>
    <row r="6" spans="1:7" x14ac:dyDescent="0.25">
      <c r="A6" s="1" t="s">
        <v>214</v>
      </c>
      <c r="B6" s="1"/>
      <c r="C6" s="91"/>
      <c r="D6" s="1"/>
      <c r="E6" s="1"/>
      <c r="F6" s="1"/>
      <c r="G6" s="1"/>
    </row>
    <row r="7" spans="1:7" x14ac:dyDescent="0.25">
      <c r="A7" s="1"/>
      <c r="B7" s="1"/>
      <c r="C7" s="91"/>
      <c r="D7" s="1"/>
      <c r="E7" s="1"/>
      <c r="F7" s="1"/>
      <c r="G7" s="1"/>
    </row>
    <row r="8" spans="1:7" x14ac:dyDescent="0.25">
      <c r="A8" s="1"/>
      <c r="B8" s="1"/>
      <c r="C8" s="91"/>
      <c r="D8" s="1"/>
      <c r="E8" s="1"/>
      <c r="F8" s="1"/>
      <c r="G8" s="1"/>
    </row>
    <row r="9" spans="1:7" x14ac:dyDescent="0.25">
      <c r="A9" s="73" t="s">
        <v>244</v>
      </c>
      <c r="B9" s="73"/>
      <c r="C9" s="92"/>
      <c r="D9" s="93"/>
      <c r="E9" s="73" t="s">
        <v>245</v>
      </c>
      <c r="F9" s="73" t="s">
        <v>246</v>
      </c>
      <c r="G9" s="73" t="s">
        <v>247</v>
      </c>
    </row>
    <row r="10" spans="1:7" x14ac:dyDescent="0.25">
      <c r="A10" s="93" t="s">
        <v>248</v>
      </c>
      <c r="B10" s="73"/>
      <c r="C10" s="92" t="s">
        <v>249</v>
      </c>
      <c r="D10" s="93"/>
      <c r="E10" s="93" t="s">
        <v>250</v>
      </c>
      <c r="F10" s="93" t="s">
        <v>251</v>
      </c>
      <c r="G10" s="93" t="s">
        <v>252</v>
      </c>
    </row>
    <row r="11" spans="1:7" x14ac:dyDescent="0.25">
      <c r="A11" s="47"/>
      <c r="B11" s="47"/>
      <c r="C11" s="48"/>
      <c r="D11" s="47"/>
    </row>
    <row r="12" spans="1:7" x14ac:dyDescent="0.25">
      <c r="A12" t="s">
        <v>253</v>
      </c>
      <c r="C12" s="46">
        <v>103070211</v>
      </c>
      <c r="E12">
        <v>2</v>
      </c>
      <c r="F12" s="3">
        <f>+'Data Entry'!D29</f>
        <v>0.18</v>
      </c>
      <c r="G12" s="3">
        <f t="shared" ref="G12:G19" si="0">+E12*F12</f>
        <v>0.36</v>
      </c>
    </row>
    <row r="13" spans="1:7" x14ac:dyDescent="0.25">
      <c r="A13" t="s">
        <v>290</v>
      </c>
      <c r="C13" s="46">
        <v>110104001</v>
      </c>
      <c r="E13">
        <v>50</v>
      </c>
      <c r="F13" s="3">
        <f>+'Data Entry'!D30</f>
        <v>0.63</v>
      </c>
      <c r="G13" s="3">
        <f t="shared" si="0"/>
        <v>31.5</v>
      </c>
    </row>
    <row r="14" spans="1:7" x14ac:dyDescent="0.25">
      <c r="A14" t="s">
        <v>291</v>
      </c>
      <c r="C14" s="46">
        <v>112308003</v>
      </c>
      <c r="E14">
        <v>3</v>
      </c>
      <c r="F14" s="3">
        <f>+'Data Entry'!D31</f>
        <v>0.28999999999999998</v>
      </c>
      <c r="G14" s="3">
        <f t="shared" si="0"/>
        <v>0.86999999999999988</v>
      </c>
    </row>
    <row r="15" spans="1:7" x14ac:dyDescent="0.25">
      <c r="A15" t="s">
        <v>292</v>
      </c>
      <c r="C15" s="46">
        <v>120036106</v>
      </c>
      <c r="E15">
        <v>0.25</v>
      </c>
      <c r="F15" s="3">
        <f>+'Data Entry'!D34</f>
        <v>0.85</v>
      </c>
      <c r="G15" s="3">
        <f t="shared" si="0"/>
        <v>0.21249999999999999</v>
      </c>
    </row>
    <row r="16" spans="1:7" x14ac:dyDescent="0.25">
      <c r="A16" t="s">
        <v>293</v>
      </c>
      <c r="C16" s="46">
        <v>130405104</v>
      </c>
      <c r="E16">
        <v>0.75</v>
      </c>
      <c r="F16" s="3">
        <f>+'Data Entry'!D36</f>
        <v>2.2999999999999998</v>
      </c>
      <c r="G16" s="3">
        <f t="shared" si="0"/>
        <v>1.7249999999999999</v>
      </c>
    </row>
    <row r="17" spans="1:7" x14ac:dyDescent="0.25">
      <c r="A17" t="s">
        <v>294</v>
      </c>
      <c r="C17" s="46">
        <v>130614005</v>
      </c>
      <c r="E17">
        <v>1</v>
      </c>
      <c r="F17" s="3">
        <f>+'Data Entry'!D37</f>
        <v>10.81</v>
      </c>
      <c r="G17" s="3">
        <f t="shared" si="0"/>
        <v>10.81</v>
      </c>
    </row>
    <row r="18" spans="1:7" x14ac:dyDescent="0.25">
      <c r="A18" t="s">
        <v>298</v>
      </c>
      <c r="C18" s="46">
        <v>152353000</v>
      </c>
      <c r="E18">
        <v>1</v>
      </c>
      <c r="F18" s="3">
        <f>+'Data Entry'!D63</f>
        <v>742</v>
      </c>
      <c r="G18" s="3">
        <f t="shared" si="0"/>
        <v>742</v>
      </c>
    </row>
    <row r="19" spans="1:7" x14ac:dyDescent="0.25">
      <c r="A19" t="s">
        <v>307</v>
      </c>
      <c r="C19" s="46">
        <v>163659008</v>
      </c>
      <c r="E19">
        <v>2</v>
      </c>
      <c r="F19" s="3">
        <f>+'Data Entry'!D66</f>
        <v>2.8</v>
      </c>
      <c r="G19" s="3">
        <f t="shared" si="0"/>
        <v>5.6</v>
      </c>
    </row>
    <row r="20" spans="1:7" x14ac:dyDescent="0.25">
      <c r="F20" s="3"/>
      <c r="G20" s="3"/>
    </row>
    <row r="21" spans="1:7" x14ac:dyDescent="0.25">
      <c r="F21" s="3"/>
      <c r="G21" s="51"/>
    </row>
    <row r="22" spans="1:7" x14ac:dyDescent="0.25">
      <c r="G22" s="245">
        <f>SUM(G12:G21)</f>
        <v>793.07749999999999</v>
      </c>
    </row>
    <row r="24" spans="1:7" ht="21" x14ac:dyDescent="0.4">
      <c r="B24" s="1" t="s">
        <v>266</v>
      </c>
      <c r="C24" s="53" t="s">
        <v>267</v>
      </c>
      <c r="D24" s="54" t="s">
        <v>268</v>
      </c>
      <c r="E24" s="1"/>
      <c r="F24" s="55" t="s">
        <v>269</v>
      </c>
      <c r="G24" s="1" t="s">
        <v>247</v>
      </c>
    </row>
    <row r="25" spans="1:7" x14ac:dyDescent="0.25">
      <c r="B25" s="32" t="s">
        <v>252</v>
      </c>
      <c r="C25" s="71" t="s">
        <v>270</v>
      </c>
      <c r="D25" s="32" t="s">
        <v>271</v>
      </c>
      <c r="E25" s="1"/>
      <c r="F25" s="1"/>
      <c r="G25" s="32" t="s">
        <v>272</v>
      </c>
    </row>
    <row r="26" spans="1:7" x14ac:dyDescent="0.25">
      <c r="B26" s="3">
        <f>+G22</f>
        <v>793.07749999999999</v>
      </c>
      <c r="C26" s="3">
        <f>+B26*(+'Data Entry'!C21)</f>
        <v>47.584649999999996</v>
      </c>
      <c r="D26" s="3">
        <f>+B26*(+'Data Entry'!C16)</f>
        <v>47.1088035</v>
      </c>
      <c r="G26" s="3">
        <f>SUM(B26:F26)</f>
        <v>887.77095350000002</v>
      </c>
    </row>
    <row r="27" spans="1:7" x14ac:dyDescent="0.25">
      <c r="C27"/>
    </row>
    <row r="30" spans="1:7" x14ac:dyDescent="0.25">
      <c r="A30" t="s">
        <v>468</v>
      </c>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pageSetUpPr fitToPage="1"/>
  </sheetPr>
  <dimension ref="A1:G58"/>
  <sheetViews>
    <sheetView workbookViewId="0">
      <selection activeCell="A2" sqref="A2"/>
    </sheetView>
  </sheetViews>
  <sheetFormatPr defaultRowHeight="13.2" x14ac:dyDescent="0.25"/>
  <cols>
    <col min="1" max="1" width="21.109375" customWidth="1"/>
    <col min="2" max="2" width="8.109375" customWidth="1"/>
    <col min="3" max="3" width="14.6640625" style="46" customWidth="1"/>
  </cols>
  <sheetData>
    <row r="1" spans="1:7" x14ac:dyDescent="0.25">
      <c r="A1" s="773" t="s">
        <v>993</v>
      </c>
    </row>
    <row r="2" spans="1:7" x14ac:dyDescent="0.25">
      <c r="A2" s="773" t="s">
        <v>923</v>
      </c>
    </row>
    <row r="4" spans="1:7" x14ac:dyDescent="0.25">
      <c r="A4" s="1" t="s">
        <v>313</v>
      </c>
      <c r="B4" s="1"/>
      <c r="C4" s="91"/>
      <c r="D4" s="1"/>
      <c r="E4" s="1"/>
      <c r="F4" s="1"/>
      <c r="G4" s="1"/>
    </row>
    <row r="5" spans="1:7" x14ac:dyDescent="0.25">
      <c r="A5" s="1" t="s">
        <v>235</v>
      </c>
      <c r="B5" s="1"/>
      <c r="C5" s="91"/>
      <c r="D5" s="1"/>
      <c r="E5" s="1"/>
      <c r="F5" s="1"/>
      <c r="G5" s="1"/>
    </row>
    <row r="6" spans="1:7" x14ac:dyDescent="0.25">
      <c r="A6" s="1"/>
      <c r="B6" s="1"/>
      <c r="C6" s="91"/>
      <c r="D6" s="1"/>
      <c r="E6" s="1"/>
      <c r="F6" s="1"/>
      <c r="G6" s="1"/>
    </row>
    <row r="7" spans="1:7" x14ac:dyDescent="0.25">
      <c r="A7" s="73" t="s">
        <v>244</v>
      </c>
      <c r="B7" s="73"/>
      <c r="C7" s="92"/>
      <c r="D7" s="93"/>
      <c r="E7" s="73" t="s">
        <v>245</v>
      </c>
      <c r="F7" s="73" t="s">
        <v>246</v>
      </c>
      <c r="G7" s="73" t="s">
        <v>247</v>
      </c>
    </row>
    <row r="8" spans="1:7" x14ac:dyDescent="0.25">
      <c r="A8" s="93" t="s">
        <v>248</v>
      </c>
      <c r="B8" s="73"/>
      <c r="C8" s="92" t="s">
        <v>249</v>
      </c>
      <c r="D8" s="93"/>
      <c r="E8" s="93" t="s">
        <v>250</v>
      </c>
      <c r="F8" s="93" t="s">
        <v>251</v>
      </c>
      <c r="G8" s="93" t="s">
        <v>252</v>
      </c>
    </row>
    <row r="9" spans="1:7" x14ac:dyDescent="0.25">
      <c r="A9" s="47"/>
      <c r="B9" s="47"/>
      <c r="C9" s="48"/>
      <c r="D9" s="47"/>
    </row>
    <row r="10" spans="1:7" x14ac:dyDescent="0.25">
      <c r="A10" s="112" t="s">
        <v>314</v>
      </c>
      <c r="B10" s="47"/>
      <c r="C10" s="113">
        <v>142224002</v>
      </c>
      <c r="D10" s="47"/>
      <c r="E10">
        <v>25</v>
      </c>
      <c r="F10" s="3">
        <f>+'Data Entry'!D126</f>
        <v>0.56000000000000005</v>
      </c>
      <c r="G10" s="3">
        <f>+E10*F10</f>
        <v>14.000000000000002</v>
      </c>
    </row>
    <row r="11" spans="1:7" x14ac:dyDescent="0.25">
      <c r="A11" s="112" t="s">
        <v>315</v>
      </c>
      <c r="B11" s="47"/>
      <c r="C11" s="113">
        <v>141804005</v>
      </c>
      <c r="D11" s="47"/>
      <c r="E11">
        <v>2</v>
      </c>
      <c r="F11" s="3">
        <f>+'Data Entry'!D127</f>
        <v>2.0699999999999998</v>
      </c>
      <c r="G11" s="3">
        <f>+E11*F11</f>
        <v>4.1399999999999997</v>
      </c>
    </row>
    <row r="12" spans="1:7" x14ac:dyDescent="0.25">
      <c r="A12" s="112" t="s">
        <v>316</v>
      </c>
      <c r="B12" s="47"/>
      <c r="C12" s="113">
        <v>140051003</v>
      </c>
      <c r="D12" s="47"/>
      <c r="E12">
        <v>1</v>
      </c>
      <c r="F12" s="3">
        <f>+'Data Entry'!D128</f>
        <v>39.46</v>
      </c>
      <c r="G12" s="3">
        <f>+E12*F12</f>
        <v>39.46</v>
      </c>
    </row>
    <row r="13" spans="1:7" x14ac:dyDescent="0.25">
      <c r="A13" s="112" t="s">
        <v>290</v>
      </c>
      <c r="C13" s="113">
        <v>100587000</v>
      </c>
      <c r="E13">
        <v>618</v>
      </c>
      <c r="F13" s="3">
        <f>+'Data Entry'!D28</f>
        <v>0.09</v>
      </c>
      <c r="G13" s="3">
        <f>+E13*F13</f>
        <v>55.62</v>
      </c>
    </row>
    <row r="14" spans="1:7" x14ac:dyDescent="0.25">
      <c r="F14" s="3"/>
      <c r="G14" s="51"/>
    </row>
    <row r="15" spans="1:7" x14ac:dyDescent="0.25">
      <c r="G15" s="52">
        <f>SUM(G10:G14)</f>
        <v>113.22</v>
      </c>
    </row>
    <row r="17" spans="1:7" ht="21" x14ac:dyDescent="0.4">
      <c r="B17" s="1" t="s">
        <v>266</v>
      </c>
      <c r="C17" s="53" t="s">
        <v>267</v>
      </c>
      <c r="D17" s="54" t="s">
        <v>268</v>
      </c>
      <c r="E17" s="1"/>
      <c r="F17" s="55" t="s">
        <v>269</v>
      </c>
      <c r="G17" s="1" t="s">
        <v>247</v>
      </c>
    </row>
    <row r="18" spans="1:7" x14ac:dyDescent="0.25">
      <c r="B18" s="32" t="s">
        <v>252</v>
      </c>
      <c r="C18" s="71" t="s">
        <v>270</v>
      </c>
      <c r="D18" s="32" t="s">
        <v>271</v>
      </c>
      <c r="E18" s="1"/>
      <c r="F18" s="1"/>
      <c r="G18" s="32" t="s">
        <v>272</v>
      </c>
    </row>
    <row r="19" spans="1:7" x14ac:dyDescent="0.25">
      <c r="B19" s="3">
        <f>+G15</f>
        <v>113.22</v>
      </c>
      <c r="C19" s="3">
        <f>+B19*(+'Data Entry'!C21)</f>
        <v>6.7931999999999997</v>
      </c>
      <c r="D19" s="3">
        <f>+B19*(+'Data Entry'!C16)</f>
        <v>6.7252679999999998</v>
      </c>
      <c r="G19" s="3">
        <f>SUM(B19:F19)</f>
        <v>126.738468</v>
      </c>
    </row>
    <row r="20" spans="1:7" x14ac:dyDescent="0.25">
      <c r="C20"/>
    </row>
    <row r="22" spans="1:7" x14ac:dyDescent="0.25">
      <c r="A22" s="1" t="s">
        <v>313</v>
      </c>
      <c r="B22" s="1"/>
      <c r="C22" s="91"/>
      <c r="D22" s="1"/>
      <c r="E22" s="1"/>
      <c r="F22" s="1"/>
      <c r="G22" s="1"/>
    </row>
    <row r="23" spans="1:7" x14ac:dyDescent="0.25">
      <c r="A23" s="1" t="s">
        <v>317</v>
      </c>
      <c r="B23" s="1"/>
      <c r="C23" s="91"/>
      <c r="D23" s="1"/>
      <c r="E23" s="1"/>
      <c r="F23" s="1"/>
      <c r="G23" s="1"/>
    </row>
    <row r="24" spans="1:7" x14ac:dyDescent="0.25">
      <c r="A24" s="1" t="s">
        <v>318</v>
      </c>
      <c r="B24" s="1"/>
      <c r="C24" s="91"/>
      <c r="D24" s="1"/>
      <c r="E24" s="1"/>
      <c r="F24" s="1"/>
      <c r="G24" s="1"/>
    </row>
    <row r="25" spans="1:7" x14ac:dyDescent="0.25">
      <c r="A25" s="1"/>
      <c r="B25" s="1"/>
      <c r="C25" s="91"/>
      <c r="D25" s="1"/>
      <c r="E25" s="1"/>
      <c r="F25" s="1"/>
      <c r="G25" s="1"/>
    </row>
    <row r="26" spans="1:7" x14ac:dyDescent="0.25">
      <c r="A26" s="73" t="s">
        <v>244</v>
      </c>
      <c r="B26" s="73"/>
      <c r="C26" s="92"/>
      <c r="D26" s="93"/>
      <c r="E26" s="73" t="s">
        <v>245</v>
      </c>
      <c r="F26" s="73" t="s">
        <v>246</v>
      </c>
      <c r="G26" s="73" t="s">
        <v>247</v>
      </c>
    </row>
    <row r="27" spans="1:7" x14ac:dyDescent="0.25">
      <c r="A27" s="93" t="s">
        <v>248</v>
      </c>
      <c r="B27" s="73"/>
      <c r="C27" s="92" t="s">
        <v>249</v>
      </c>
      <c r="D27" s="93"/>
      <c r="E27" s="93" t="s">
        <v>250</v>
      </c>
      <c r="F27" s="93" t="s">
        <v>251</v>
      </c>
      <c r="G27" s="93" t="s">
        <v>252</v>
      </c>
    </row>
    <row r="28" spans="1:7" x14ac:dyDescent="0.25">
      <c r="A28" s="47"/>
      <c r="B28" s="47"/>
      <c r="C28" s="48"/>
      <c r="D28" s="47"/>
    </row>
    <row r="29" spans="1:7" x14ac:dyDescent="0.25">
      <c r="A29" t="s">
        <v>290</v>
      </c>
      <c r="C29" s="46">
        <v>100302005</v>
      </c>
      <c r="E29">
        <v>309</v>
      </c>
      <c r="F29" s="3">
        <f>+'Data Entry'!D26</f>
        <v>0.21</v>
      </c>
      <c r="G29" s="3">
        <f t="shared" ref="G29:G35" si="0">+E29*F29</f>
        <v>64.89</v>
      </c>
    </row>
    <row r="30" spans="1:7" x14ac:dyDescent="0.25">
      <c r="A30" t="s">
        <v>319</v>
      </c>
      <c r="B30" s="47"/>
      <c r="C30" s="46">
        <v>162304001</v>
      </c>
      <c r="E30">
        <v>1</v>
      </c>
      <c r="F30" s="3">
        <f>+'Data Entry'!D65</f>
        <v>62.42</v>
      </c>
      <c r="G30" s="3">
        <f t="shared" si="0"/>
        <v>62.42</v>
      </c>
    </row>
    <row r="31" spans="1:7" x14ac:dyDescent="0.25">
      <c r="A31" t="s">
        <v>320</v>
      </c>
      <c r="B31" s="47"/>
      <c r="C31" s="46">
        <v>164238006</v>
      </c>
      <c r="E31">
        <v>4</v>
      </c>
      <c r="F31" s="3">
        <f>+'Data Entry'!D67</f>
        <v>4.4400000000000004</v>
      </c>
      <c r="G31" s="3">
        <f t="shared" si="0"/>
        <v>17.760000000000002</v>
      </c>
    </row>
    <row r="32" spans="1:7" x14ac:dyDescent="0.25">
      <c r="A32" t="s">
        <v>321</v>
      </c>
      <c r="B32" s="47"/>
      <c r="C32" s="46">
        <v>164331006</v>
      </c>
      <c r="E32">
        <v>300</v>
      </c>
      <c r="F32" s="3">
        <f>+'Data Entry'!D68</f>
        <v>0.35</v>
      </c>
      <c r="G32" s="3">
        <f t="shared" si="0"/>
        <v>105</v>
      </c>
    </row>
    <row r="33" spans="1:7" x14ac:dyDescent="0.25">
      <c r="A33" t="s">
        <v>322</v>
      </c>
      <c r="B33" s="47"/>
      <c r="C33" s="46">
        <v>164470006</v>
      </c>
      <c r="E33">
        <v>4</v>
      </c>
      <c r="F33" s="3">
        <f>+'Data Entry'!D69</f>
        <v>0.41</v>
      </c>
      <c r="G33" s="3">
        <f t="shared" si="0"/>
        <v>1.64</v>
      </c>
    </row>
    <row r="34" spans="1:7" x14ac:dyDescent="0.25">
      <c r="A34" t="s">
        <v>323</v>
      </c>
      <c r="B34" s="47"/>
      <c r="C34" s="46">
        <v>522116002</v>
      </c>
      <c r="E34">
        <v>1</v>
      </c>
      <c r="F34" s="3">
        <f>+'Data Entry'!D116</f>
        <v>16.16</v>
      </c>
      <c r="G34" s="3">
        <f t="shared" si="0"/>
        <v>16.16</v>
      </c>
    </row>
    <row r="35" spans="1:7" x14ac:dyDescent="0.25">
      <c r="A35" t="s">
        <v>324</v>
      </c>
      <c r="C35" s="46">
        <v>522141007</v>
      </c>
      <c r="E35">
        <v>1</v>
      </c>
      <c r="F35" s="3">
        <f>+'Data Entry'!D118</f>
        <v>2.86</v>
      </c>
      <c r="G35" s="3">
        <f t="shared" si="0"/>
        <v>2.86</v>
      </c>
    </row>
    <row r="36" spans="1:7" x14ac:dyDescent="0.25">
      <c r="C36"/>
    </row>
    <row r="37" spans="1:7" x14ac:dyDescent="0.25">
      <c r="F37" s="3"/>
      <c r="G37" s="51">
        <f>SUM(G29:G36)</f>
        <v>270.73</v>
      </c>
    </row>
    <row r="38" spans="1:7" x14ac:dyDescent="0.25">
      <c r="G38" s="52"/>
    </row>
    <row r="39" spans="1:7" ht="21" x14ac:dyDescent="0.4">
      <c r="B39" s="1" t="s">
        <v>266</v>
      </c>
      <c r="C39" s="53" t="s">
        <v>267</v>
      </c>
      <c r="D39" s="54" t="s">
        <v>268</v>
      </c>
      <c r="E39" s="1"/>
      <c r="F39" s="55" t="s">
        <v>269</v>
      </c>
      <c r="G39" s="1" t="s">
        <v>247</v>
      </c>
    </row>
    <row r="40" spans="1:7" x14ac:dyDescent="0.25">
      <c r="B40" s="32" t="s">
        <v>252</v>
      </c>
      <c r="C40" s="71" t="s">
        <v>270</v>
      </c>
      <c r="D40" s="32" t="s">
        <v>271</v>
      </c>
      <c r="E40" s="1"/>
      <c r="F40" s="1"/>
      <c r="G40" s="32" t="s">
        <v>272</v>
      </c>
    </row>
    <row r="41" spans="1:7" x14ac:dyDescent="0.25">
      <c r="B41" s="3">
        <f>+G37</f>
        <v>270.73</v>
      </c>
      <c r="C41" s="3">
        <f>+B41*(+'Data Entry'!C21)</f>
        <v>16.2438</v>
      </c>
      <c r="D41" s="3">
        <f>+B41*(+'Data Entry'!C16)</f>
        <v>16.081362000000002</v>
      </c>
      <c r="G41" s="3">
        <f>SUM(B41:F41)</f>
        <v>303.05516200000005</v>
      </c>
    </row>
    <row r="42" spans="1:7" x14ac:dyDescent="0.25">
      <c r="C42"/>
    </row>
    <row r="44" spans="1:7" x14ac:dyDescent="0.25">
      <c r="A44" s="1" t="s">
        <v>313</v>
      </c>
      <c r="B44" s="1"/>
      <c r="C44" s="91"/>
      <c r="D44" s="1"/>
      <c r="E44" s="1"/>
      <c r="F44" s="1"/>
      <c r="G44" s="1"/>
    </row>
    <row r="45" spans="1:7" x14ac:dyDescent="0.25">
      <c r="A45" s="1" t="s">
        <v>325</v>
      </c>
      <c r="B45" s="1"/>
      <c r="C45" s="91"/>
      <c r="D45" s="1"/>
      <c r="E45" s="1"/>
      <c r="F45" s="1"/>
      <c r="G45" s="1"/>
    </row>
    <row r="46" spans="1:7" x14ac:dyDescent="0.25">
      <c r="A46" s="1"/>
      <c r="B46" s="1"/>
      <c r="C46" s="91"/>
      <c r="D46" s="1"/>
      <c r="E46" s="1"/>
      <c r="F46" s="1"/>
      <c r="G46" s="1"/>
    </row>
    <row r="47" spans="1:7" x14ac:dyDescent="0.25">
      <c r="A47" s="73" t="s">
        <v>244</v>
      </c>
      <c r="B47" s="73"/>
      <c r="C47" s="92"/>
      <c r="D47" s="93"/>
      <c r="E47" s="73" t="s">
        <v>245</v>
      </c>
      <c r="F47" s="73" t="s">
        <v>246</v>
      </c>
      <c r="G47" s="73" t="s">
        <v>247</v>
      </c>
    </row>
    <row r="48" spans="1:7" x14ac:dyDescent="0.25">
      <c r="A48" s="93" t="s">
        <v>248</v>
      </c>
      <c r="B48" s="73"/>
      <c r="C48" s="92" t="s">
        <v>249</v>
      </c>
      <c r="D48" s="93"/>
      <c r="E48" s="93" t="s">
        <v>250</v>
      </c>
      <c r="F48" s="93" t="s">
        <v>251</v>
      </c>
      <c r="G48" s="93" t="s">
        <v>252</v>
      </c>
    </row>
    <row r="49" spans="1:7" x14ac:dyDescent="0.25">
      <c r="A49" s="47"/>
      <c r="B49" s="47"/>
      <c r="C49" s="48"/>
      <c r="D49" s="47"/>
    </row>
    <row r="50" spans="1:7" x14ac:dyDescent="0.25">
      <c r="A50" s="112" t="s">
        <v>314</v>
      </c>
      <c r="B50" s="47"/>
      <c r="C50" s="113">
        <v>142224002</v>
      </c>
      <c r="D50" s="47"/>
      <c r="E50">
        <v>25</v>
      </c>
      <c r="F50" s="3">
        <f>+'Data Entry'!D126</f>
        <v>0.56000000000000005</v>
      </c>
      <c r="G50" s="3">
        <f>+E50*F50</f>
        <v>14.000000000000002</v>
      </c>
    </row>
    <row r="51" spans="1:7" x14ac:dyDescent="0.25">
      <c r="A51" s="112" t="s">
        <v>315</v>
      </c>
      <c r="B51" s="47"/>
      <c r="C51" s="113">
        <v>141804005</v>
      </c>
      <c r="D51" s="47"/>
      <c r="E51">
        <v>2</v>
      </c>
      <c r="F51" s="3">
        <f>+'Data Entry'!D127</f>
        <v>2.0699999999999998</v>
      </c>
      <c r="G51" s="3">
        <f>+E51*F51</f>
        <v>4.1399999999999997</v>
      </c>
    </row>
    <row r="52" spans="1:7" x14ac:dyDescent="0.25">
      <c r="A52" s="112" t="s">
        <v>316</v>
      </c>
      <c r="B52" s="47"/>
      <c r="C52" s="113">
        <v>140051003</v>
      </c>
      <c r="D52" s="47"/>
      <c r="E52">
        <v>1</v>
      </c>
      <c r="F52" s="3">
        <f>+'Data Entry'!D128</f>
        <v>39.46</v>
      </c>
      <c r="G52" s="3">
        <f>+E52*F52</f>
        <v>39.46</v>
      </c>
    </row>
    <row r="53" spans="1:7" x14ac:dyDescent="0.25">
      <c r="F53" s="3"/>
      <c r="G53" s="51"/>
    </row>
    <row r="54" spans="1:7" x14ac:dyDescent="0.25">
      <c r="G54" s="52">
        <f>SUM(G50:G53)</f>
        <v>57.6</v>
      </c>
    </row>
    <row r="56" spans="1:7" ht="21" x14ac:dyDescent="0.4">
      <c r="B56" s="1" t="s">
        <v>266</v>
      </c>
      <c r="C56" s="53" t="s">
        <v>267</v>
      </c>
      <c r="D56" s="54" t="s">
        <v>268</v>
      </c>
      <c r="E56" s="1"/>
      <c r="F56" s="55" t="s">
        <v>269</v>
      </c>
      <c r="G56" s="1" t="s">
        <v>247</v>
      </c>
    </row>
    <row r="57" spans="1:7" x14ac:dyDescent="0.25">
      <c r="B57" s="32" t="s">
        <v>252</v>
      </c>
      <c r="C57" s="71" t="s">
        <v>270</v>
      </c>
      <c r="D57" s="32" t="s">
        <v>271</v>
      </c>
      <c r="E57" s="1"/>
      <c r="F57" s="1"/>
      <c r="G57" s="32" t="s">
        <v>272</v>
      </c>
    </row>
    <row r="58" spans="1:7" x14ac:dyDescent="0.25">
      <c r="B58" s="3">
        <f>+G54</f>
        <v>57.6</v>
      </c>
      <c r="C58" s="3">
        <f>+B58*(+'Data Entry'!C21)</f>
        <v>3.456</v>
      </c>
      <c r="D58" s="3">
        <f>+B58*(+'Data Entry'!C16)</f>
        <v>3.42144</v>
      </c>
      <c r="G58" s="3">
        <f>SUM(B58:F58)</f>
        <v>64.477440000000001</v>
      </c>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pageSetUpPr fitToPage="1"/>
  </sheetPr>
  <dimension ref="A1:G26"/>
  <sheetViews>
    <sheetView workbookViewId="0">
      <selection activeCell="A2" sqref="A2"/>
    </sheetView>
  </sheetViews>
  <sheetFormatPr defaultRowHeight="13.2" x14ac:dyDescent="0.25"/>
  <cols>
    <col min="1" max="1" width="21.109375" customWidth="1"/>
    <col min="2" max="2" width="8.109375" customWidth="1"/>
    <col min="3" max="3" width="14.6640625" style="46" customWidth="1"/>
  </cols>
  <sheetData>
    <row r="1" spans="1:7" x14ac:dyDescent="0.25">
      <c r="A1" s="773" t="s">
        <v>994</v>
      </c>
    </row>
    <row r="2" spans="1:7" x14ac:dyDescent="0.25">
      <c r="A2" s="773" t="s">
        <v>923</v>
      </c>
    </row>
    <row r="4" spans="1:7" x14ac:dyDescent="0.25">
      <c r="A4" s="1" t="s">
        <v>313</v>
      </c>
      <c r="B4" s="1"/>
      <c r="C4" s="91"/>
      <c r="D4" s="1"/>
      <c r="E4" s="1"/>
      <c r="F4" s="1"/>
      <c r="G4" s="1"/>
    </row>
    <row r="5" spans="1:7" x14ac:dyDescent="0.25">
      <c r="A5" s="1" t="s">
        <v>317</v>
      </c>
      <c r="B5" s="1"/>
      <c r="C5" s="91"/>
      <c r="D5" s="1"/>
      <c r="E5" s="1"/>
      <c r="F5" s="1"/>
      <c r="G5" s="1"/>
    </row>
    <row r="6" spans="1:7" x14ac:dyDescent="0.25">
      <c r="A6" s="1" t="s">
        <v>326</v>
      </c>
      <c r="B6" s="1"/>
      <c r="C6" s="91"/>
      <c r="D6" s="1"/>
      <c r="E6" s="1"/>
      <c r="F6" s="1"/>
      <c r="G6" s="1"/>
    </row>
    <row r="7" spans="1:7" x14ac:dyDescent="0.25">
      <c r="A7" s="1"/>
      <c r="B7" s="1"/>
      <c r="C7" s="91"/>
      <c r="D7" s="1"/>
      <c r="E7" s="1"/>
      <c r="F7" s="1"/>
      <c r="G7" s="1"/>
    </row>
    <row r="8" spans="1:7" x14ac:dyDescent="0.25">
      <c r="A8" s="73" t="s">
        <v>244</v>
      </c>
      <c r="B8" s="73"/>
      <c r="C8" s="92"/>
      <c r="D8" s="93"/>
      <c r="E8" s="73" t="s">
        <v>245</v>
      </c>
      <c r="F8" s="73" t="s">
        <v>246</v>
      </c>
      <c r="G8" s="73" t="s">
        <v>247</v>
      </c>
    </row>
    <row r="9" spans="1:7" x14ac:dyDescent="0.25">
      <c r="A9" s="93" t="s">
        <v>248</v>
      </c>
      <c r="B9" s="73"/>
      <c r="C9" s="92" t="s">
        <v>249</v>
      </c>
      <c r="D9" s="93"/>
      <c r="E9" s="93" t="s">
        <v>250</v>
      </c>
      <c r="F9" s="93" t="s">
        <v>251</v>
      </c>
      <c r="G9" s="93" t="s">
        <v>252</v>
      </c>
    </row>
    <row r="10" spans="1:7" x14ac:dyDescent="0.25">
      <c r="A10" s="47"/>
      <c r="B10" s="47"/>
      <c r="C10" s="48"/>
      <c r="D10" s="47"/>
    </row>
    <row r="11" spans="1:7" x14ac:dyDescent="0.25">
      <c r="A11" t="s">
        <v>290</v>
      </c>
      <c r="C11" s="46">
        <v>100302005</v>
      </c>
      <c r="E11">
        <v>309</v>
      </c>
      <c r="F11" s="3">
        <f>+'Data Entry'!D26</f>
        <v>0.21</v>
      </c>
      <c r="G11" s="3">
        <f t="shared" ref="G11:G18" si="0">+E11*F11</f>
        <v>64.89</v>
      </c>
    </row>
    <row r="12" spans="1:7" x14ac:dyDescent="0.25">
      <c r="A12" t="s">
        <v>319</v>
      </c>
      <c r="B12" s="47"/>
      <c r="C12" s="46">
        <v>162304001</v>
      </c>
      <c r="E12">
        <v>1</v>
      </c>
      <c r="F12" s="3">
        <f>+'Data Entry'!D65</f>
        <v>62.42</v>
      </c>
      <c r="G12" s="3">
        <f t="shared" si="0"/>
        <v>62.42</v>
      </c>
    </row>
    <row r="13" spans="1:7" x14ac:dyDescent="0.25">
      <c r="A13" t="s">
        <v>320</v>
      </c>
      <c r="B13" s="47"/>
      <c r="C13" s="46">
        <v>164238006</v>
      </c>
      <c r="E13">
        <v>4</v>
      </c>
      <c r="F13" s="3">
        <f>+'Data Entry'!D67</f>
        <v>4.4400000000000004</v>
      </c>
      <c r="G13" s="3">
        <f t="shared" si="0"/>
        <v>17.760000000000002</v>
      </c>
    </row>
    <row r="14" spans="1:7" x14ac:dyDescent="0.25">
      <c r="A14" t="s">
        <v>322</v>
      </c>
      <c r="B14" s="47"/>
      <c r="C14" s="46">
        <v>164470006</v>
      </c>
      <c r="E14">
        <v>4</v>
      </c>
      <c r="F14" s="3">
        <f>+'Data Entry'!D69</f>
        <v>0.41</v>
      </c>
      <c r="G14" s="3">
        <f t="shared" si="0"/>
        <v>1.64</v>
      </c>
    </row>
    <row r="15" spans="1:7" x14ac:dyDescent="0.25">
      <c r="A15" s="33" t="s">
        <v>485</v>
      </c>
      <c r="B15" s="47"/>
      <c r="C15" s="164" t="s">
        <v>473</v>
      </c>
      <c r="E15">
        <v>309</v>
      </c>
      <c r="F15" s="3">
        <f>'Data Entry'!$D$70</f>
        <v>0.54</v>
      </c>
      <c r="G15" s="3">
        <f t="shared" si="0"/>
        <v>166.86</v>
      </c>
    </row>
    <row r="16" spans="1:7" x14ac:dyDescent="0.25">
      <c r="A16" s="33" t="s">
        <v>486</v>
      </c>
      <c r="B16" s="47"/>
      <c r="C16" s="164" t="s">
        <v>475</v>
      </c>
      <c r="E16">
        <v>2</v>
      </c>
      <c r="F16" s="3">
        <f>'Data Entry'!$D$71</f>
        <v>5.53</v>
      </c>
      <c r="G16" s="3">
        <f t="shared" si="0"/>
        <v>11.06</v>
      </c>
    </row>
    <row r="17" spans="1:7" x14ac:dyDescent="0.25">
      <c r="A17" t="s">
        <v>323</v>
      </c>
      <c r="B17" s="47"/>
      <c r="C17" s="46">
        <v>522116002</v>
      </c>
      <c r="E17">
        <v>1</v>
      </c>
      <c r="F17" s="3">
        <f>+'Data Entry'!D116</f>
        <v>16.16</v>
      </c>
      <c r="G17" s="3">
        <f t="shared" si="0"/>
        <v>16.16</v>
      </c>
    </row>
    <row r="18" spans="1:7" x14ac:dyDescent="0.25">
      <c r="A18" t="s">
        <v>324</v>
      </c>
      <c r="C18" s="46">
        <v>522141007</v>
      </c>
      <c r="E18">
        <v>1</v>
      </c>
      <c r="F18" s="3">
        <f>+'Data Entry'!D118</f>
        <v>2.86</v>
      </c>
      <c r="G18" s="3">
        <f t="shared" si="0"/>
        <v>2.86</v>
      </c>
    </row>
    <row r="19" spans="1:7" x14ac:dyDescent="0.25">
      <c r="C19"/>
    </row>
    <row r="20" spans="1:7" x14ac:dyDescent="0.25">
      <c r="F20" s="3"/>
      <c r="G20" s="51">
        <f>SUM(G11:G19)</f>
        <v>343.65000000000003</v>
      </c>
    </row>
    <row r="21" spans="1:7" x14ac:dyDescent="0.25">
      <c r="G21" s="52"/>
    </row>
    <row r="23" spans="1:7" ht="21" x14ac:dyDescent="0.4">
      <c r="B23" s="1" t="s">
        <v>266</v>
      </c>
      <c r="C23" s="53" t="s">
        <v>267</v>
      </c>
      <c r="D23" s="54" t="s">
        <v>268</v>
      </c>
      <c r="E23" s="1"/>
      <c r="F23" s="55" t="s">
        <v>269</v>
      </c>
      <c r="G23" s="1" t="s">
        <v>247</v>
      </c>
    </row>
    <row r="24" spans="1:7" x14ac:dyDescent="0.25">
      <c r="B24" s="32" t="s">
        <v>252</v>
      </c>
      <c r="C24" s="71" t="s">
        <v>270</v>
      </c>
      <c r="D24" s="32" t="s">
        <v>271</v>
      </c>
      <c r="E24" s="1"/>
      <c r="F24" s="1"/>
      <c r="G24" s="32" t="s">
        <v>272</v>
      </c>
    </row>
    <row r="25" spans="1:7" x14ac:dyDescent="0.25">
      <c r="B25" s="3">
        <f>+G20</f>
        <v>343.65000000000003</v>
      </c>
      <c r="C25" s="3">
        <f>+B25*(+'Data Entry'!C21)</f>
        <v>20.619</v>
      </c>
      <c r="D25" s="3">
        <f>+B25*(+'Data Entry'!C16)</f>
        <v>20.412810000000004</v>
      </c>
      <c r="G25" s="3">
        <f>SUM(B25:F25)</f>
        <v>384.68180999999998</v>
      </c>
    </row>
    <row r="26" spans="1:7" x14ac:dyDescent="0.25">
      <c r="C26"/>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pageSetUpPr fitToPage="1"/>
  </sheetPr>
  <dimension ref="A1:H40"/>
  <sheetViews>
    <sheetView workbookViewId="0">
      <selection activeCell="A2" sqref="A2"/>
    </sheetView>
  </sheetViews>
  <sheetFormatPr defaultRowHeight="13.2" x14ac:dyDescent="0.25"/>
  <cols>
    <col min="1" max="1" width="21.109375" customWidth="1"/>
    <col min="2" max="2" width="9.88671875" customWidth="1"/>
    <col min="3" max="3" width="10.109375" style="46" customWidth="1"/>
    <col min="6" max="6" width="2.5546875" customWidth="1"/>
    <col min="7" max="7" width="10.6640625" customWidth="1"/>
  </cols>
  <sheetData>
    <row r="1" spans="1:8" x14ac:dyDescent="0.25">
      <c r="A1" s="773" t="s">
        <v>995</v>
      </c>
    </row>
    <row r="2" spans="1:8" x14ac:dyDescent="0.25">
      <c r="A2" s="773" t="s">
        <v>923</v>
      </c>
    </row>
    <row r="4" spans="1:8" x14ac:dyDescent="0.25">
      <c r="A4" s="1" t="s">
        <v>327</v>
      </c>
      <c r="B4" s="1"/>
      <c r="C4" s="91"/>
      <c r="D4" s="1"/>
      <c r="E4" s="1"/>
      <c r="F4" s="1"/>
      <c r="G4" s="1"/>
      <c r="H4" s="1"/>
    </row>
    <row r="5" spans="1:8" x14ac:dyDescent="0.25">
      <c r="A5" s="1" t="s">
        <v>328</v>
      </c>
      <c r="B5" s="1"/>
      <c r="C5" s="91"/>
      <c r="D5" s="1"/>
      <c r="E5" s="1"/>
      <c r="F5" s="1"/>
      <c r="G5" s="1" t="s">
        <v>329</v>
      </c>
      <c r="H5" s="1"/>
    </row>
    <row r="6" spans="1:8" x14ac:dyDescent="0.25">
      <c r="A6" s="1"/>
      <c r="B6" s="1"/>
      <c r="C6" s="91"/>
      <c r="D6" s="1"/>
      <c r="E6" s="1"/>
      <c r="F6" s="1"/>
      <c r="G6" s="1" t="s">
        <v>330</v>
      </c>
      <c r="H6" s="1"/>
    </row>
    <row r="7" spans="1:8" x14ac:dyDescent="0.25">
      <c r="A7" s="73" t="s">
        <v>331</v>
      </c>
      <c r="B7" s="73"/>
      <c r="C7" s="95" t="s">
        <v>331</v>
      </c>
      <c r="D7" s="93"/>
      <c r="E7" s="73" t="s">
        <v>245</v>
      </c>
      <c r="F7" s="73"/>
      <c r="G7" s="73" t="s">
        <v>332</v>
      </c>
      <c r="H7" s="73" t="s">
        <v>247</v>
      </c>
    </row>
    <row r="8" spans="1:8" x14ac:dyDescent="0.25">
      <c r="A8" s="93" t="s">
        <v>248</v>
      </c>
      <c r="B8" s="73"/>
      <c r="C8" s="92" t="s">
        <v>333</v>
      </c>
      <c r="D8" s="93"/>
      <c r="E8" s="93" t="s">
        <v>250</v>
      </c>
      <c r="F8" s="93"/>
      <c r="G8" s="93" t="s">
        <v>334</v>
      </c>
      <c r="H8" s="93" t="s">
        <v>335</v>
      </c>
    </row>
    <row r="9" spans="1:8" x14ac:dyDescent="0.25">
      <c r="A9" s="47"/>
      <c r="B9" s="47"/>
      <c r="C9" s="48"/>
      <c r="D9" s="47"/>
    </row>
    <row r="10" spans="1:8" x14ac:dyDescent="0.25">
      <c r="A10" t="s">
        <v>336</v>
      </c>
      <c r="C10" s="57" t="s">
        <v>337</v>
      </c>
      <c r="E10" s="58">
        <v>0.1</v>
      </c>
      <c r="F10" t="s">
        <v>338</v>
      </c>
      <c r="G10" s="58">
        <v>5.9</v>
      </c>
      <c r="H10" s="58">
        <f>+E10*G10</f>
        <v>0.59000000000000008</v>
      </c>
    </row>
    <row r="11" spans="1:8" x14ac:dyDescent="0.25">
      <c r="A11" t="s">
        <v>339</v>
      </c>
      <c r="B11" s="47"/>
      <c r="C11" s="57" t="s">
        <v>340</v>
      </c>
      <c r="E11" s="58">
        <v>0.1</v>
      </c>
      <c r="F11" t="s">
        <v>338</v>
      </c>
      <c r="G11" s="58">
        <v>3.7</v>
      </c>
      <c r="H11" s="58">
        <f>+E11*G11</f>
        <v>0.37000000000000005</v>
      </c>
    </row>
    <row r="12" spans="1:8" x14ac:dyDescent="0.25">
      <c r="A12" t="s">
        <v>341</v>
      </c>
      <c r="B12" s="47"/>
      <c r="C12" s="57" t="s">
        <v>342</v>
      </c>
      <c r="E12" s="58">
        <v>0.1</v>
      </c>
      <c r="F12" t="s">
        <v>338</v>
      </c>
      <c r="G12" s="58">
        <v>0.8</v>
      </c>
      <c r="H12" s="58">
        <f>+E12*G12</f>
        <v>8.0000000000000016E-2</v>
      </c>
    </row>
    <row r="13" spans="1:8" x14ac:dyDescent="0.25">
      <c r="B13" s="47"/>
      <c r="C13" s="57"/>
      <c r="E13" s="58"/>
      <c r="G13" s="58"/>
      <c r="H13" s="59"/>
    </row>
    <row r="14" spans="1:8" x14ac:dyDescent="0.25">
      <c r="C14"/>
      <c r="H14" s="58"/>
    </row>
    <row r="15" spans="1:8" x14ac:dyDescent="0.25">
      <c r="G15" s="3"/>
      <c r="H15" s="59">
        <f>SUM(H10:H12)</f>
        <v>1.0400000000000003</v>
      </c>
    </row>
    <row r="16" spans="1:8" x14ac:dyDescent="0.25">
      <c r="H16" s="52"/>
    </row>
    <row r="18" spans="1:8" ht="21" x14ac:dyDescent="0.4">
      <c r="B18" s="1" t="s">
        <v>247</v>
      </c>
      <c r="C18" s="53"/>
      <c r="D18" s="12" t="s">
        <v>343</v>
      </c>
      <c r="E18" s="1"/>
      <c r="F18" s="1"/>
      <c r="G18" s="55" t="s">
        <v>269</v>
      </c>
      <c r="H18" s="1" t="s">
        <v>247</v>
      </c>
    </row>
    <row r="19" spans="1:8" x14ac:dyDescent="0.25">
      <c r="B19" s="32" t="s">
        <v>335</v>
      </c>
      <c r="C19" s="56" t="s">
        <v>338</v>
      </c>
      <c r="D19" s="32" t="s">
        <v>344</v>
      </c>
      <c r="E19" s="1"/>
      <c r="F19" s="1"/>
      <c r="G19" s="1"/>
      <c r="H19" s="32" t="s">
        <v>272</v>
      </c>
    </row>
    <row r="20" spans="1:8" x14ac:dyDescent="0.25">
      <c r="B20" s="58">
        <f>+H15</f>
        <v>1.0400000000000003</v>
      </c>
      <c r="C20" s="3"/>
      <c r="D20" s="3">
        <f>+'Data Entry'!C17</f>
        <v>97</v>
      </c>
      <c r="H20" s="60">
        <f>+B20*D20</f>
        <v>100.88000000000002</v>
      </c>
    </row>
    <row r="21" spans="1:8" x14ac:dyDescent="0.25">
      <c r="C21"/>
    </row>
    <row r="24" spans="1:8" x14ac:dyDescent="0.25">
      <c r="A24" s="1" t="s">
        <v>327</v>
      </c>
      <c r="B24" s="1"/>
      <c r="C24" s="91"/>
      <c r="D24" s="1"/>
      <c r="E24" s="1"/>
      <c r="F24" s="1"/>
      <c r="G24" s="1"/>
      <c r="H24" s="1"/>
    </row>
    <row r="25" spans="1:8" x14ac:dyDescent="0.25">
      <c r="A25" s="1" t="s">
        <v>345</v>
      </c>
      <c r="B25" s="1"/>
      <c r="C25" s="91"/>
      <c r="D25" s="1"/>
      <c r="E25" s="1"/>
      <c r="F25" s="1"/>
      <c r="G25" s="1" t="s">
        <v>329</v>
      </c>
      <c r="H25" s="1"/>
    </row>
    <row r="26" spans="1:8" x14ac:dyDescent="0.25">
      <c r="A26" s="1"/>
      <c r="B26" s="1"/>
      <c r="C26" s="91"/>
      <c r="D26" s="1"/>
      <c r="E26" s="1"/>
      <c r="F26" s="1"/>
      <c r="G26" s="1" t="s">
        <v>330</v>
      </c>
      <c r="H26" s="1"/>
    </row>
    <row r="27" spans="1:8" x14ac:dyDescent="0.25">
      <c r="A27" s="73" t="s">
        <v>331</v>
      </c>
      <c r="B27" s="73"/>
      <c r="C27" s="95" t="s">
        <v>331</v>
      </c>
      <c r="D27" s="93"/>
      <c r="E27" s="73" t="s">
        <v>245</v>
      </c>
      <c r="F27" s="73"/>
      <c r="G27" s="73" t="s">
        <v>332</v>
      </c>
      <c r="H27" s="73" t="s">
        <v>247</v>
      </c>
    </row>
    <row r="28" spans="1:8" x14ac:dyDescent="0.25">
      <c r="A28" s="93" t="s">
        <v>248</v>
      </c>
      <c r="B28" s="73"/>
      <c r="C28" s="92" t="s">
        <v>333</v>
      </c>
      <c r="D28" s="93"/>
      <c r="E28" s="93" t="s">
        <v>250</v>
      </c>
      <c r="F28" s="93"/>
      <c r="G28" s="93" t="s">
        <v>334</v>
      </c>
      <c r="H28" s="93" t="s">
        <v>335</v>
      </c>
    </row>
    <row r="29" spans="1:8" x14ac:dyDescent="0.25">
      <c r="A29" s="47"/>
      <c r="B29" s="47"/>
      <c r="C29" s="48"/>
      <c r="D29" s="47"/>
    </row>
    <row r="30" spans="1:8" x14ac:dyDescent="0.25">
      <c r="A30" t="s">
        <v>339</v>
      </c>
      <c r="B30" s="47"/>
      <c r="C30" s="57" t="s">
        <v>340</v>
      </c>
      <c r="E30" s="58">
        <v>0.1</v>
      </c>
      <c r="F30" t="s">
        <v>338</v>
      </c>
      <c r="G30" s="58">
        <v>3.7</v>
      </c>
      <c r="H30" s="58">
        <f>+E30*G30</f>
        <v>0.37000000000000005</v>
      </c>
    </row>
    <row r="31" spans="1:8" x14ac:dyDescent="0.25">
      <c r="A31" t="s">
        <v>341</v>
      </c>
      <c r="B31" s="47"/>
      <c r="C31" s="57" t="s">
        <v>342</v>
      </c>
      <c r="E31" s="58">
        <v>0.1</v>
      </c>
      <c r="F31" t="s">
        <v>338</v>
      </c>
      <c r="G31" s="58">
        <v>0.8</v>
      </c>
      <c r="H31" s="58">
        <f>+E31*G31</f>
        <v>8.0000000000000016E-2</v>
      </c>
    </row>
    <row r="32" spans="1:8" x14ac:dyDescent="0.25">
      <c r="B32" s="47"/>
      <c r="C32" s="57"/>
      <c r="E32" s="58"/>
      <c r="G32" s="58"/>
      <c r="H32" s="59"/>
    </row>
    <row r="33" spans="2:8" x14ac:dyDescent="0.25">
      <c r="C33"/>
      <c r="G33" s="61"/>
      <c r="H33" s="58"/>
    </row>
    <row r="34" spans="2:8" x14ac:dyDescent="0.25">
      <c r="G34" s="60"/>
      <c r="H34" s="59">
        <f>SUM(H30:H31)</f>
        <v>0.45000000000000007</v>
      </c>
    </row>
    <row r="35" spans="2:8" x14ac:dyDescent="0.25">
      <c r="H35" s="52"/>
    </row>
    <row r="37" spans="2:8" ht="21" x14ac:dyDescent="0.4">
      <c r="B37" s="1" t="s">
        <v>247</v>
      </c>
      <c r="C37" s="53"/>
      <c r="D37" s="12" t="s">
        <v>343</v>
      </c>
      <c r="E37" s="1"/>
      <c r="F37" s="1"/>
      <c r="G37" s="55" t="s">
        <v>269</v>
      </c>
      <c r="H37" s="1" t="s">
        <v>247</v>
      </c>
    </row>
    <row r="38" spans="2:8" x14ac:dyDescent="0.25">
      <c r="B38" s="32" t="s">
        <v>335</v>
      </c>
      <c r="C38" s="56" t="s">
        <v>338</v>
      </c>
      <c r="D38" s="32" t="s">
        <v>344</v>
      </c>
      <c r="E38" s="1"/>
      <c r="F38" s="1"/>
      <c r="G38" s="1"/>
      <c r="H38" s="32" t="s">
        <v>272</v>
      </c>
    </row>
    <row r="39" spans="2:8" x14ac:dyDescent="0.25">
      <c r="B39" s="58">
        <f>+H34</f>
        <v>0.45000000000000007</v>
      </c>
      <c r="C39" s="3"/>
      <c r="D39" s="3">
        <f>+'Data Entry'!C17</f>
        <v>97</v>
      </c>
      <c r="H39" s="3">
        <f>+B39*+D39</f>
        <v>43.650000000000006</v>
      </c>
    </row>
    <row r="40" spans="2:8" x14ac:dyDescent="0.25">
      <c r="C40"/>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3"/>
    <pageSetUpPr fitToPage="1"/>
  </sheetPr>
  <dimension ref="A1:J54"/>
  <sheetViews>
    <sheetView workbookViewId="0">
      <selection activeCell="A14" sqref="A14"/>
    </sheetView>
  </sheetViews>
  <sheetFormatPr defaultRowHeight="13.2" x14ac:dyDescent="0.25"/>
  <cols>
    <col min="1" max="1" width="21.109375" customWidth="1"/>
    <col min="2" max="2" width="9.88671875" customWidth="1"/>
    <col min="3" max="3" width="10.109375" style="46" customWidth="1"/>
    <col min="6" max="6" width="1.88671875" customWidth="1"/>
    <col min="7" max="7" width="10.6640625" customWidth="1"/>
  </cols>
  <sheetData>
    <row r="1" spans="1:8" x14ac:dyDescent="0.25">
      <c r="A1" s="773" t="s">
        <v>996</v>
      </c>
    </row>
    <row r="2" spans="1:8" x14ac:dyDescent="0.25">
      <c r="A2" s="773" t="s">
        <v>923</v>
      </c>
    </row>
    <row r="4" spans="1:8" x14ac:dyDescent="0.25">
      <c r="A4" s="1" t="s">
        <v>346</v>
      </c>
      <c r="B4" s="1"/>
      <c r="C4" s="91"/>
      <c r="D4" s="1"/>
      <c r="E4" s="1"/>
      <c r="F4" s="1"/>
      <c r="G4" s="1"/>
      <c r="H4" s="1"/>
    </row>
    <row r="5" spans="1:8" x14ac:dyDescent="0.25">
      <c r="A5" s="1" t="s">
        <v>190</v>
      </c>
      <c r="B5" s="1"/>
      <c r="C5" s="91"/>
      <c r="D5" s="1"/>
      <c r="E5" s="1"/>
      <c r="F5" s="1"/>
      <c r="G5" s="1"/>
      <c r="H5" s="1"/>
    </row>
    <row r="6" spans="1:8" x14ac:dyDescent="0.25">
      <c r="A6" s="1" t="s">
        <v>189</v>
      </c>
      <c r="B6" s="1"/>
      <c r="C6" s="91"/>
      <c r="D6" s="1"/>
      <c r="E6" s="1"/>
      <c r="F6" s="1"/>
      <c r="G6" s="1" t="s">
        <v>329</v>
      </c>
      <c r="H6" s="1"/>
    </row>
    <row r="7" spans="1:8" x14ac:dyDescent="0.25">
      <c r="A7" s="1"/>
      <c r="B7" s="1"/>
      <c r="C7" s="91"/>
      <c r="D7" s="1"/>
      <c r="E7" s="1"/>
      <c r="F7" s="1"/>
      <c r="G7" s="1" t="s">
        <v>330</v>
      </c>
      <c r="H7" s="1"/>
    </row>
    <row r="8" spans="1:8" x14ac:dyDescent="0.25">
      <c r="A8" s="73" t="s">
        <v>331</v>
      </c>
      <c r="B8" s="73"/>
      <c r="C8" s="95" t="s">
        <v>331</v>
      </c>
      <c r="D8" s="93"/>
      <c r="E8" s="73" t="s">
        <v>245</v>
      </c>
      <c r="F8" s="73"/>
      <c r="G8" s="73" t="s">
        <v>332</v>
      </c>
      <c r="H8" s="73" t="s">
        <v>247</v>
      </c>
    </row>
    <row r="9" spans="1:8" x14ac:dyDescent="0.25">
      <c r="A9" s="93" t="s">
        <v>248</v>
      </c>
      <c r="B9" s="73"/>
      <c r="C9" s="92" t="s">
        <v>333</v>
      </c>
      <c r="D9" s="93"/>
      <c r="E9" s="93" t="s">
        <v>250</v>
      </c>
      <c r="F9" s="93"/>
      <c r="G9" s="93" t="s">
        <v>334</v>
      </c>
      <c r="H9" s="93" t="s">
        <v>335</v>
      </c>
    </row>
    <row r="10" spans="1:8" x14ac:dyDescent="0.25">
      <c r="A10" s="47"/>
      <c r="B10" s="47"/>
      <c r="C10" s="48"/>
      <c r="D10" s="47"/>
    </row>
    <row r="11" spans="1:8" x14ac:dyDescent="0.25">
      <c r="A11" t="s">
        <v>347</v>
      </c>
      <c r="C11" s="57" t="s">
        <v>348</v>
      </c>
      <c r="E11" s="58">
        <v>0.1</v>
      </c>
      <c r="F11" t="s">
        <v>338</v>
      </c>
      <c r="G11" s="58">
        <v>8.1</v>
      </c>
      <c r="H11" s="58">
        <f t="shared" ref="H11:H19" si="0">+E11*G11</f>
        <v>0.81</v>
      </c>
    </row>
    <row r="12" spans="1:8" x14ac:dyDescent="0.25">
      <c r="A12" t="s">
        <v>349</v>
      </c>
      <c r="C12" s="57" t="s">
        <v>350</v>
      </c>
      <c r="E12" s="58">
        <v>0.1</v>
      </c>
      <c r="F12" t="s">
        <v>338</v>
      </c>
      <c r="G12" s="58">
        <v>10.9</v>
      </c>
      <c r="H12" s="58">
        <f t="shared" si="0"/>
        <v>1.0900000000000001</v>
      </c>
    </row>
    <row r="13" spans="1:8" x14ac:dyDescent="0.25">
      <c r="A13" t="s">
        <v>351</v>
      </c>
      <c r="C13" s="57" t="s">
        <v>352</v>
      </c>
      <c r="E13" s="58">
        <v>0.1</v>
      </c>
      <c r="F13" t="s">
        <v>338</v>
      </c>
      <c r="G13" s="58">
        <v>8.9</v>
      </c>
      <c r="H13" s="58">
        <f t="shared" si="0"/>
        <v>0.89000000000000012</v>
      </c>
    </row>
    <row r="14" spans="1:8" x14ac:dyDescent="0.25">
      <c r="A14" t="s">
        <v>469</v>
      </c>
      <c r="C14" s="57" t="s">
        <v>353</v>
      </c>
      <c r="E14" s="58">
        <v>2.5000000000000001E-2</v>
      </c>
      <c r="F14" t="s">
        <v>338</v>
      </c>
      <c r="G14" s="58">
        <v>1.4</v>
      </c>
      <c r="H14" s="58">
        <f t="shared" si="0"/>
        <v>3.4999999999999996E-2</v>
      </c>
    </row>
    <row r="15" spans="1:8" x14ac:dyDescent="0.25">
      <c r="A15" t="s">
        <v>354</v>
      </c>
      <c r="C15" s="57" t="s">
        <v>355</v>
      </c>
      <c r="E15" s="58">
        <v>0.1</v>
      </c>
      <c r="F15" t="s">
        <v>338</v>
      </c>
      <c r="G15" s="58">
        <v>2.6</v>
      </c>
      <c r="H15" s="58">
        <f t="shared" si="0"/>
        <v>0.26</v>
      </c>
    </row>
    <row r="16" spans="1:8" x14ac:dyDescent="0.25">
      <c r="A16" t="s">
        <v>356</v>
      </c>
      <c r="C16" s="57" t="s">
        <v>357</v>
      </c>
      <c r="E16" s="58">
        <v>0.2</v>
      </c>
      <c r="F16" t="s">
        <v>338</v>
      </c>
      <c r="G16" s="58">
        <v>1.2</v>
      </c>
      <c r="H16" s="58">
        <f t="shared" si="0"/>
        <v>0.24</v>
      </c>
    </row>
    <row r="17" spans="1:10" x14ac:dyDescent="0.25">
      <c r="A17" t="s">
        <v>358</v>
      </c>
      <c r="B17" s="47"/>
      <c r="C17" s="57" t="s">
        <v>359</v>
      </c>
      <c r="E17" s="324">
        <v>6</v>
      </c>
      <c r="F17" t="s">
        <v>338</v>
      </c>
      <c r="G17" s="58">
        <v>0.5</v>
      </c>
      <c r="H17" s="324">
        <f t="shared" si="0"/>
        <v>3</v>
      </c>
      <c r="J17" s="277"/>
    </row>
    <row r="18" spans="1:10" x14ac:dyDescent="0.25">
      <c r="A18" t="s">
        <v>360</v>
      </c>
      <c r="B18" s="47"/>
      <c r="C18" s="57" t="s">
        <v>361</v>
      </c>
      <c r="E18" s="58">
        <v>0.2</v>
      </c>
      <c r="F18" t="s">
        <v>338</v>
      </c>
      <c r="G18" s="58">
        <v>1.6</v>
      </c>
      <c r="H18" s="58">
        <f t="shared" si="0"/>
        <v>0.32000000000000006</v>
      </c>
    </row>
    <row r="19" spans="1:10" x14ac:dyDescent="0.25">
      <c r="A19" t="s">
        <v>362</v>
      </c>
      <c r="B19" s="47"/>
      <c r="C19" s="57" t="s">
        <v>363</v>
      </c>
      <c r="E19" s="58">
        <v>0.02</v>
      </c>
      <c r="F19" t="s">
        <v>338</v>
      </c>
      <c r="G19" s="58">
        <v>9</v>
      </c>
      <c r="H19" s="59">
        <f t="shared" si="0"/>
        <v>0.18</v>
      </c>
    </row>
    <row r="20" spans="1:10" x14ac:dyDescent="0.25">
      <c r="C20"/>
      <c r="H20" s="58"/>
    </row>
    <row r="21" spans="1:10" x14ac:dyDescent="0.25">
      <c r="G21" s="3"/>
      <c r="H21" s="59">
        <f>SUM(H11:H20)</f>
        <v>6.8250000000000002</v>
      </c>
    </row>
    <row r="22" spans="1:10" x14ac:dyDescent="0.25">
      <c r="H22" s="52"/>
    </row>
    <row r="23" spans="1:10" ht="21" x14ac:dyDescent="0.4">
      <c r="B23" s="1" t="s">
        <v>247</v>
      </c>
      <c r="C23" s="53"/>
      <c r="D23" s="12" t="s">
        <v>343</v>
      </c>
      <c r="E23" s="1"/>
      <c r="F23" s="1"/>
      <c r="G23" s="55" t="s">
        <v>269</v>
      </c>
      <c r="H23" s="1" t="s">
        <v>247</v>
      </c>
    </row>
    <row r="24" spans="1:10" x14ac:dyDescent="0.25">
      <c r="B24" s="32" t="s">
        <v>335</v>
      </c>
      <c r="C24" s="56" t="s">
        <v>338</v>
      </c>
      <c r="D24" s="32" t="s">
        <v>344</v>
      </c>
      <c r="E24" s="1"/>
      <c r="F24" s="1"/>
      <c r="G24" s="1"/>
      <c r="H24" s="32" t="s">
        <v>272</v>
      </c>
    </row>
    <row r="25" spans="1:10" x14ac:dyDescent="0.25">
      <c r="B25" s="58">
        <f>+H21</f>
        <v>6.8250000000000002</v>
      </c>
      <c r="C25" s="3"/>
      <c r="D25" s="3">
        <f>+'Data Entry'!C17</f>
        <v>97</v>
      </c>
      <c r="H25" s="60">
        <f>+B25*+D25</f>
        <v>662.02499999999998</v>
      </c>
    </row>
    <row r="26" spans="1:10" x14ac:dyDescent="0.25">
      <c r="C26"/>
    </row>
    <row r="28" spans="1:10" x14ac:dyDescent="0.25">
      <c r="A28" s="1" t="s">
        <v>496</v>
      </c>
      <c r="B28" s="1"/>
      <c r="C28" s="91"/>
      <c r="D28" s="1"/>
      <c r="E28" s="1"/>
      <c r="F28" s="1"/>
      <c r="G28" s="1"/>
      <c r="H28" s="1"/>
    </row>
    <row r="29" spans="1:10" x14ac:dyDescent="0.25">
      <c r="A29" s="1" t="s">
        <v>190</v>
      </c>
      <c r="B29" s="1"/>
      <c r="C29" s="91"/>
      <c r="D29" s="1"/>
      <c r="E29" s="1"/>
      <c r="F29" s="1"/>
      <c r="G29" s="1"/>
      <c r="H29" s="1"/>
    </row>
    <row r="30" spans="1:10" x14ac:dyDescent="0.25">
      <c r="A30" s="1" t="s">
        <v>189</v>
      </c>
      <c r="B30" s="1"/>
      <c r="C30" s="91"/>
      <c r="D30" s="1"/>
      <c r="E30" s="1"/>
      <c r="F30" s="1"/>
      <c r="G30" s="1" t="s">
        <v>329</v>
      </c>
      <c r="H30" s="1"/>
    </row>
    <row r="31" spans="1:10" x14ac:dyDescent="0.25">
      <c r="A31" s="1"/>
      <c r="B31" s="1"/>
      <c r="C31" s="91"/>
      <c r="D31" s="1"/>
      <c r="E31" s="1"/>
      <c r="F31" s="1"/>
      <c r="G31" s="1" t="s">
        <v>330</v>
      </c>
      <c r="H31" s="1"/>
    </row>
    <row r="32" spans="1:10" x14ac:dyDescent="0.25">
      <c r="A32" s="73" t="s">
        <v>331</v>
      </c>
      <c r="B32" s="73"/>
      <c r="C32" s="95" t="s">
        <v>331</v>
      </c>
      <c r="D32" s="93"/>
      <c r="E32" s="73" t="s">
        <v>245</v>
      </c>
      <c r="F32" s="73"/>
      <c r="G32" s="73" t="s">
        <v>332</v>
      </c>
      <c r="H32" s="73" t="s">
        <v>247</v>
      </c>
    </row>
    <row r="33" spans="1:8" x14ac:dyDescent="0.25">
      <c r="A33" s="93" t="s">
        <v>248</v>
      </c>
      <c r="B33" s="73"/>
      <c r="C33" s="92" t="s">
        <v>333</v>
      </c>
      <c r="D33" s="93"/>
      <c r="E33" s="93" t="s">
        <v>250</v>
      </c>
      <c r="F33" s="93"/>
      <c r="G33" s="93" t="s">
        <v>334</v>
      </c>
      <c r="H33" s="93" t="s">
        <v>335</v>
      </c>
    </row>
    <row r="34" spans="1:8" x14ac:dyDescent="0.25">
      <c r="A34" s="47"/>
      <c r="B34" s="47"/>
      <c r="C34" s="48"/>
      <c r="D34" s="47"/>
    </row>
    <row r="35" spans="1:8" x14ac:dyDescent="0.25">
      <c r="A35" t="s">
        <v>347</v>
      </c>
      <c r="C35" s="57" t="s">
        <v>348</v>
      </c>
      <c r="E35" s="58">
        <v>0.1</v>
      </c>
      <c r="F35" t="s">
        <v>338</v>
      </c>
      <c r="G35" s="58">
        <v>8.1</v>
      </c>
      <c r="H35" s="58">
        <f t="shared" ref="H35:H43" si="1">+E35*G35</f>
        <v>0.81</v>
      </c>
    </row>
    <row r="36" spans="1:8" x14ac:dyDescent="0.25">
      <c r="A36" t="s">
        <v>349</v>
      </c>
      <c r="C36" s="57" t="s">
        <v>364</v>
      </c>
      <c r="E36" s="58">
        <v>0.1</v>
      </c>
      <c r="F36" t="s">
        <v>338</v>
      </c>
      <c r="G36" s="58">
        <v>12.6</v>
      </c>
      <c r="H36" s="58">
        <f t="shared" si="1"/>
        <v>1.26</v>
      </c>
    </row>
    <row r="37" spans="1:8" x14ac:dyDescent="0.25">
      <c r="A37" t="s">
        <v>351</v>
      </c>
      <c r="C37" s="57" t="s">
        <v>365</v>
      </c>
      <c r="E37" s="58">
        <v>0.1</v>
      </c>
      <c r="F37" t="s">
        <v>338</v>
      </c>
      <c r="G37" s="58">
        <v>10.199999999999999</v>
      </c>
      <c r="H37" s="58">
        <f t="shared" si="1"/>
        <v>1.02</v>
      </c>
    </row>
    <row r="38" spans="1:8" x14ac:dyDescent="0.25">
      <c r="A38" t="s">
        <v>469</v>
      </c>
      <c r="C38" s="57" t="s">
        <v>353</v>
      </c>
      <c r="E38" s="58">
        <v>2.5000000000000001E-2</v>
      </c>
      <c r="F38" t="s">
        <v>338</v>
      </c>
      <c r="G38" s="58">
        <v>1.4</v>
      </c>
      <c r="H38" s="58">
        <f t="shared" si="1"/>
        <v>3.4999999999999996E-2</v>
      </c>
    </row>
    <row r="39" spans="1:8" x14ac:dyDescent="0.25">
      <c r="A39" t="s">
        <v>354</v>
      </c>
      <c r="C39" s="57" t="s">
        <v>355</v>
      </c>
      <c r="E39" s="58">
        <v>0.1</v>
      </c>
      <c r="F39" t="s">
        <v>338</v>
      </c>
      <c r="G39" s="58">
        <v>2.6</v>
      </c>
      <c r="H39" s="58">
        <f t="shared" si="1"/>
        <v>0.26</v>
      </c>
    </row>
    <row r="40" spans="1:8" x14ac:dyDescent="0.25">
      <c r="A40" t="s">
        <v>356</v>
      </c>
      <c r="C40" s="57" t="s">
        <v>357</v>
      </c>
      <c r="E40" s="58">
        <v>0.2</v>
      </c>
      <c r="F40" t="s">
        <v>338</v>
      </c>
      <c r="G40" s="58">
        <v>1.2</v>
      </c>
      <c r="H40" s="58">
        <f t="shared" si="1"/>
        <v>0.24</v>
      </c>
    </row>
    <row r="41" spans="1:8" x14ac:dyDescent="0.25">
      <c r="A41" t="s">
        <v>358</v>
      </c>
      <c r="B41" s="47"/>
      <c r="C41" s="57" t="s">
        <v>359</v>
      </c>
      <c r="E41" s="58">
        <v>6</v>
      </c>
      <c r="F41" t="s">
        <v>338</v>
      </c>
      <c r="G41" s="58">
        <v>0.5</v>
      </c>
      <c r="H41" s="58">
        <f t="shared" si="1"/>
        <v>3</v>
      </c>
    </row>
    <row r="42" spans="1:8" x14ac:dyDescent="0.25">
      <c r="A42" t="s">
        <v>360</v>
      </c>
      <c r="B42" s="47"/>
      <c r="C42" s="57" t="s">
        <v>361</v>
      </c>
      <c r="E42" s="58">
        <v>0.2</v>
      </c>
      <c r="F42" t="s">
        <v>338</v>
      </c>
      <c r="G42" s="58">
        <v>1.6</v>
      </c>
      <c r="H42" s="58">
        <f t="shared" si="1"/>
        <v>0.32000000000000006</v>
      </c>
    </row>
    <row r="43" spans="1:8" x14ac:dyDescent="0.25">
      <c r="A43" t="s">
        <v>362</v>
      </c>
      <c r="B43" s="47"/>
      <c r="C43" s="57" t="s">
        <v>363</v>
      </c>
      <c r="E43" s="58">
        <v>0.02</v>
      </c>
      <c r="F43" t="s">
        <v>338</v>
      </c>
      <c r="G43" s="58">
        <v>9</v>
      </c>
      <c r="H43" s="59">
        <f t="shared" si="1"/>
        <v>0.18</v>
      </c>
    </row>
    <row r="44" spans="1:8" x14ac:dyDescent="0.25">
      <c r="C44"/>
      <c r="H44" s="58"/>
    </row>
    <row r="45" spans="1:8" x14ac:dyDescent="0.25">
      <c r="G45" s="3"/>
      <c r="H45" s="59">
        <f>SUM(H35:H44)</f>
        <v>7.1250000000000009</v>
      </c>
    </row>
    <row r="46" spans="1:8" x14ac:dyDescent="0.25">
      <c r="H46" s="52"/>
    </row>
    <row r="47" spans="1:8" ht="21" x14ac:dyDescent="0.4">
      <c r="B47" s="1" t="s">
        <v>247</v>
      </c>
      <c r="C47" s="53"/>
      <c r="D47" s="12" t="s">
        <v>343</v>
      </c>
      <c r="E47" s="1"/>
      <c r="F47" s="1"/>
      <c r="G47" s="55" t="s">
        <v>269</v>
      </c>
      <c r="H47" s="1" t="s">
        <v>247</v>
      </c>
    </row>
    <row r="48" spans="1:8" x14ac:dyDescent="0.25">
      <c r="B48" s="32" t="s">
        <v>335</v>
      </c>
      <c r="C48" s="56" t="s">
        <v>338</v>
      </c>
      <c r="D48" s="32" t="s">
        <v>344</v>
      </c>
      <c r="E48" s="1"/>
      <c r="F48" s="1"/>
      <c r="G48" s="1"/>
      <c r="H48" s="32" t="s">
        <v>272</v>
      </c>
    </row>
    <row r="49" spans="1:8" x14ac:dyDescent="0.25">
      <c r="B49" s="58">
        <f>+H45</f>
        <v>7.1250000000000009</v>
      </c>
      <c r="C49" s="3"/>
      <c r="D49" s="3">
        <f>+'Data Entry'!C17</f>
        <v>97</v>
      </c>
      <c r="H49" s="60">
        <f>+B49*+D49</f>
        <v>691.12500000000011</v>
      </c>
    </row>
    <row r="50" spans="1:8" x14ac:dyDescent="0.25">
      <c r="C50"/>
    </row>
    <row r="54" spans="1:8" x14ac:dyDescent="0.25">
      <c r="A54" t="s">
        <v>468</v>
      </c>
    </row>
  </sheetData>
  <phoneticPr fontId="28" type="noConversion"/>
  <pageMargins left="0.75" right="0.25" top="0.25" bottom="0.25" header="0.5" footer="0.22"/>
  <pageSetup orientation="portrait" horizontalDpi="300" verticalDpi="300" r:id="rId1"/>
  <headerFooter alignWithMargins="0">
    <oddFooter>&amp;R&amp;A</oddFooter>
  </headerFooter>
  <legacy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pageSetUpPr fitToPage="1"/>
  </sheetPr>
  <dimension ref="A1:H27"/>
  <sheetViews>
    <sheetView workbookViewId="0">
      <selection activeCell="A2" sqref="A2"/>
    </sheetView>
  </sheetViews>
  <sheetFormatPr defaultRowHeight="13.2" x14ac:dyDescent="0.25"/>
  <cols>
    <col min="1" max="1" width="21.109375" customWidth="1"/>
    <col min="2" max="2" width="9.88671875" customWidth="1"/>
    <col min="3" max="3" width="10.109375" style="46" customWidth="1"/>
    <col min="6" max="6" width="1.88671875" customWidth="1"/>
    <col min="7" max="7" width="10.6640625" customWidth="1"/>
  </cols>
  <sheetData>
    <row r="1" spans="1:8" x14ac:dyDescent="0.25">
      <c r="A1" s="773" t="s">
        <v>997</v>
      </c>
    </row>
    <row r="2" spans="1:8" x14ac:dyDescent="0.25">
      <c r="A2" s="773" t="s">
        <v>923</v>
      </c>
    </row>
    <row r="4" spans="1:8" x14ac:dyDescent="0.25">
      <c r="A4" s="1" t="s">
        <v>501</v>
      </c>
      <c r="B4" s="1"/>
      <c r="C4" s="91"/>
      <c r="D4" s="1"/>
      <c r="E4" s="1"/>
      <c r="F4" s="1"/>
      <c r="G4" s="1"/>
      <c r="H4" s="1"/>
    </row>
    <row r="5" spans="1:8" x14ac:dyDescent="0.25">
      <c r="A5" s="1" t="s">
        <v>209</v>
      </c>
      <c r="B5" s="1"/>
      <c r="C5" s="91"/>
      <c r="D5" s="1"/>
      <c r="E5" s="1"/>
      <c r="F5" s="1"/>
      <c r="G5" s="1"/>
      <c r="H5" s="1"/>
    </row>
    <row r="6" spans="1:8" x14ac:dyDescent="0.25">
      <c r="A6" s="1" t="s">
        <v>189</v>
      </c>
      <c r="B6" s="1"/>
      <c r="C6" s="91"/>
      <c r="D6" s="1"/>
      <c r="E6" s="1"/>
      <c r="F6" s="1"/>
      <c r="G6" s="1" t="s">
        <v>329</v>
      </c>
      <c r="H6" s="1"/>
    </row>
    <row r="7" spans="1:8" x14ac:dyDescent="0.25">
      <c r="A7" s="1"/>
      <c r="B7" s="1"/>
      <c r="C7" s="91"/>
      <c r="D7" s="1"/>
      <c r="E7" s="1"/>
      <c r="F7" s="1"/>
      <c r="G7" s="1" t="s">
        <v>330</v>
      </c>
      <c r="H7" s="1"/>
    </row>
    <row r="8" spans="1:8" x14ac:dyDescent="0.25">
      <c r="A8" s="73" t="s">
        <v>331</v>
      </c>
      <c r="B8" s="73"/>
      <c r="C8" s="95" t="s">
        <v>331</v>
      </c>
      <c r="D8" s="93"/>
      <c r="E8" s="73" t="s">
        <v>245</v>
      </c>
      <c r="F8" s="73"/>
      <c r="G8" s="73" t="s">
        <v>332</v>
      </c>
      <c r="H8" s="73" t="s">
        <v>247</v>
      </c>
    </row>
    <row r="9" spans="1:8" x14ac:dyDescent="0.25">
      <c r="A9" s="93" t="s">
        <v>248</v>
      </c>
      <c r="B9" s="73"/>
      <c r="C9" s="92" t="s">
        <v>333</v>
      </c>
      <c r="D9" s="93"/>
      <c r="E9" s="93" t="s">
        <v>250</v>
      </c>
      <c r="F9" s="93"/>
      <c r="G9" s="93" t="s">
        <v>334</v>
      </c>
      <c r="H9" s="93" t="s">
        <v>335</v>
      </c>
    </row>
    <row r="10" spans="1:8" x14ac:dyDescent="0.25">
      <c r="A10" s="47"/>
      <c r="B10" s="47"/>
      <c r="C10" s="48"/>
      <c r="D10" s="47"/>
    </row>
    <row r="11" spans="1:8" x14ac:dyDescent="0.25">
      <c r="A11" t="s">
        <v>347</v>
      </c>
      <c r="C11" s="57" t="s">
        <v>348</v>
      </c>
      <c r="E11" s="58">
        <v>0.1</v>
      </c>
      <c r="F11" t="s">
        <v>338</v>
      </c>
      <c r="G11" s="58">
        <v>8.1</v>
      </c>
      <c r="H11" s="58">
        <f t="shared" ref="H11:H18" si="0">+E11*G11</f>
        <v>0.81</v>
      </c>
    </row>
    <row r="12" spans="1:8" x14ac:dyDescent="0.25">
      <c r="A12" t="s">
        <v>349</v>
      </c>
      <c r="C12" s="57" t="s">
        <v>350</v>
      </c>
      <c r="E12" s="58">
        <v>0.1</v>
      </c>
      <c r="F12" t="s">
        <v>338</v>
      </c>
      <c r="G12" s="58">
        <v>10.9</v>
      </c>
      <c r="H12" s="58">
        <f t="shared" si="0"/>
        <v>1.0900000000000001</v>
      </c>
    </row>
    <row r="13" spans="1:8" x14ac:dyDescent="0.25">
      <c r="A13" t="s">
        <v>351</v>
      </c>
      <c r="C13" s="57" t="s">
        <v>352</v>
      </c>
      <c r="E13" s="58">
        <v>0.1</v>
      </c>
      <c r="F13" t="s">
        <v>338</v>
      </c>
      <c r="G13" s="58">
        <v>8.9</v>
      </c>
      <c r="H13" s="58">
        <f t="shared" si="0"/>
        <v>0.89000000000000012</v>
      </c>
    </row>
    <row r="14" spans="1:8" x14ac:dyDescent="0.25">
      <c r="A14" t="s">
        <v>354</v>
      </c>
      <c r="C14" s="57" t="s">
        <v>355</v>
      </c>
      <c r="E14" s="58">
        <v>0.1</v>
      </c>
      <c r="F14" t="s">
        <v>338</v>
      </c>
      <c r="G14" s="58">
        <v>2.6</v>
      </c>
      <c r="H14" s="58">
        <f t="shared" si="0"/>
        <v>0.26</v>
      </c>
    </row>
    <row r="15" spans="1:8" x14ac:dyDescent="0.25">
      <c r="A15" t="s">
        <v>356</v>
      </c>
      <c r="C15" s="57" t="s">
        <v>357</v>
      </c>
      <c r="E15" s="58">
        <v>0.2</v>
      </c>
      <c r="F15" t="s">
        <v>338</v>
      </c>
      <c r="G15" s="58">
        <v>1.2</v>
      </c>
      <c r="H15" s="58">
        <f t="shared" si="0"/>
        <v>0.24</v>
      </c>
    </row>
    <row r="16" spans="1:8" x14ac:dyDescent="0.25">
      <c r="A16" t="s">
        <v>358</v>
      </c>
      <c r="B16" s="47"/>
      <c r="C16" s="57" t="s">
        <v>359</v>
      </c>
      <c r="E16" s="58">
        <v>6</v>
      </c>
      <c r="F16" t="s">
        <v>338</v>
      </c>
      <c r="G16" s="58">
        <v>0.5</v>
      </c>
      <c r="H16" s="58">
        <f t="shared" si="0"/>
        <v>3</v>
      </c>
    </row>
    <row r="17" spans="1:8" x14ac:dyDescent="0.25">
      <c r="A17" t="s">
        <v>360</v>
      </c>
      <c r="B17" s="47"/>
      <c r="C17" s="57" t="s">
        <v>361</v>
      </c>
      <c r="E17" s="58">
        <v>0.2</v>
      </c>
      <c r="F17" t="s">
        <v>338</v>
      </c>
      <c r="G17" s="58">
        <v>1.6</v>
      </c>
      <c r="H17" s="58">
        <f t="shared" si="0"/>
        <v>0.32000000000000006</v>
      </c>
    </row>
    <row r="18" spans="1:8" x14ac:dyDescent="0.25">
      <c r="A18" t="s">
        <v>362</v>
      </c>
      <c r="B18" s="47"/>
      <c r="C18" s="57" t="s">
        <v>363</v>
      </c>
      <c r="E18" s="58">
        <v>0.02</v>
      </c>
      <c r="F18" t="s">
        <v>338</v>
      </c>
      <c r="G18" s="58">
        <v>9</v>
      </c>
      <c r="H18" s="59">
        <f t="shared" si="0"/>
        <v>0.18</v>
      </c>
    </row>
    <row r="19" spans="1:8" x14ac:dyDescent="0.25">
      <c r="C19"/>
      <c r="H19" s="58"/>
    </row>
    <row r="20" spans="1:8" x14ac:dyDescent="0.25">
      <c r="G20" s="3"/>
      <c r="H20" s="59">
        <f>SUM(H11:H19)</f>
        <v>6.79</v>
      </c>
    </row>
    <row r="21" spans="1:8" x14ac:dyDescent="0.25">
      <c r="H21" s="52"/>
    </row>
    <row r="22" spans="1:8" ht="21" x14ac:dyDescent="0.4">
      <c r="B22" s="1" t="s">
        <v>247</v>
      </c>
      <c r="C22" s="53"/>
      <c r="D22" s="12" t="s">
        <v>343</v>
      </c>
      <c r="E22" s="1"/>
      <c r="F22" s="1"/>
      <c r="G22" s="55" t="s">
        <v>269</v>
      </c>
      <c r="H22" s="1" t="s">
        <v>247</v>
      </c>
    </row>
    <row r="23" spans="1:8" x14ac:dyDescent="0.25">
      <c r="B23" s="32" t="s">
        <v>335</v>
      </c>
      <c r="C23" s="56" t="s">
        <v>338</v>
      </c>
      <c r="D23" s="32" t="s">
        <v>344</v>
      </c>
      <c r="E23" s="1"/>
      <c r="F23" s="1"/>
      <c r="G23" s="1"/>
      <c r="H23" s="32" t="s">
        <v>272</v>
      </c>
    </row>
    <row r="24" spans="1:8" x14ac:dyDescent="0.25">
      <c r="B24" s="58">
        <f>+H20</f>
        <v>6.79</v>
      </c>
      <c r="C24" s="3"/>
      <c r="D24" s="3">
        <f>+'Data Entry'!C17</f>
        <v>97</v>
      </c>
      <c r="H24" s="60">
        <f>+B24*+D24</f>
        <v>658.63</v>
      </c>
    </row>
    <row r="25" spans="1:8" x14ac:dyDescent="0.25">
      <c r="C25"/>
    </row>
    <row r="27" spans="1:8" x14ac:dyDescent="0.25">
      <c r="A27" t="s">
        <v>468</v>
      </c>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pageSetUpPr fitToPage="1"/>
  </sheetPr>
  <dimension ref="A1:H48"/>
  <sheetViews>
    <sheetView workbookViewId="0">
      <selection activeCell="A2" sqref="A2"/>
    </sheetView>
  </sheetViews>
  <sheetFormatPr defaultRowHeight="13.2" x14ac:dyDescent="0.25"/>
  <cols>
    <col min="1" max="1" width="21.109375" customWidth="1"/>
    <col min="2" max="2" width="9.88671875" customWidth="1"/>
    <col min="3" max="3" width="10.109375" style="46" customWidth="1"/>
    <col min="4" max="4" width="9.6640625" customWidth="1"/>
    <col min="6" max="6" width="1.88671875" customWidth="1"/>
    <col min="7" max="7" width="10.6640625" customWidth="1"/>
  </cols>
  <sheetData>
    <row r="1" spans="1:8" x14ac:dyDescent="0.25">
      <c r="A1" s="773" t="s">
        <v>998</v>
      </c>
    </row>
    <row r="2" spans="1:8" x14ac:dyDescent="0.25">
      <c r="A2" s="773" t="s">
        <v>923</v>
      </c>
    </row>
    <row r="4" spans="1:8" x14ac:dyDescent="0.25">
      <c r="A4" s="1" t="s">
        <v>366</v>
      </c>
      <c r="B4" s="1"/>
      <c r="C4" s="91"/>
      <c r="D4" s="1"/>
      <c r="E4" s="1"/>
      <c r="F4" s="1"/>
      <c r="G4" s="1"/>
      <c r="H4" s="1"/>
    </row>
    <row r="5" spans="1:8" x14ac:dyDescent="0.25">
      <c r="A5" s="1" t="s">
        <v>215</v>
      </c>
      <c r="B5" s="1"/>
      <c r="C5" s="91"/>
      <c r="D5" s="1"/>
      <c r="E5" s="1"/>
      <c r="F5" s="1"/>
      <c r="G5" s="1"/>
      <c r="H5" s="1"/>
    </row>
    <row r="6" spans="1:8" x14ac:dyDescent="0.25">
      <c r="A6" s="1" t="s">
        <v>214</v>
      </c>
      <c r="B6" s="1"/>
      <c r="C6" s="91"/>
      <c r="D6" s="1"/>
      <c r="E6" s="1"/>
      <c r="F6" s="1"/>
      <c r="G6" s="1" t="s">
        <v>329</v>
      </c>
      <c r="H6" s="1"/>
    </row>
    <row r="7" spans="1:8" x14ac:dyDescent="0.25">
      <c r="A7" s="1"/>
      <c r="B7" s="1"/>
      <c r="C7" s="91"/>
      <c r="D7" s="1"/>
      <c r="E7" s="1"/>
      <c r="F7" s="1"/>
      <c r="G7" s="1" t="s">
        <v>330</v>
      </c>
      <c r="H7" s="1"/>
    </row>
    <row r="8" spans="1:8" x14ac:dyDescent="0.25">
      <c r="A8" s="73" t="s">
        <v>331</v>
      </c>
      <c r="B8" s="73"/>
      <c r="C8" s="95" t="s">
        <v>331</v>
      </c>
      <c r="D8" s="93"/>
      <c r="E8" s="73" t="s">
        <v>245</v>
      </c>
      <c r="F8" s="73"/>
      <c r="G8" s="73" t="s">
        <v>332</v>
      </c>
      <c r="H8" s="73" t="s">
        <v>247</v>
      </c>
    </row>
    <row r="9" spans="1:8" x14ac:dyDescent="0.25">
      <c r="A9" s="93" t="s">
        <v>248</v>
      </c>
      <c r="B9" s="73"/>
      <c r="C9" s="92" t="s">
        <v>333</v>
      </c>
      <c r="D9" s="93"/>
      <c r="E9" s="93" t="s">
        <v>250</v>
      </c>
      <c r="F9" s="93"/>
      <c r="G9" s="93" t="s">
        <v>334</v>
      </c>
      <c r="H9" s="93" t="s">
        <v>335</v>
      </c>
    </row>
    <row r="10" spans="1:8" x14ac:dyDescent="0.25">
      <c r="A10" s="47"/>
      <c r="B10" s="47"/>
      <c r="C10" s="48"/>
      <c r="D10" s="47"/>
    </row>
    <row r="11" spans="1:8" x14ac:dyDescent="0.25">
      <c r="A11" t="s">
        <v>347</v>
      </c>
      <c r="C11" s="57" t="s">
        <v>348</v>
      </c>
      <c r="E11" s="58">
        <v>0.1</v>
      </c>
      <c r="F11" t="s">
        <v>338</v>
      </c>
      <c r="G11" s="58">
        <v>8.1</v>
      </c>
      <c r="H11" s="58">
        <f t="shared" ref="H11:H16" si="0">+E11*G11</f>
        <v>0.81</v>
      </c>
    </row>
    <row r="12" spans="1:8" x14ac:dyDescent="0.25">
      <c r="A12" t="s">
        <v>349</v>
      </c>
      <c r="C12" s="57" t="s">
        <v>367</v>
      </c>
      <c r="E12" s="58">
        <v>0.1</v>
      </c>
      <c r="F12" t="s">
        <v>338</v>
      </c>
      <c r="G12" s="58">
        <v>1.8</v>
      </c>
      <c r="H12" s="58">
        <f t="shared" si="0"/>
        <v>0.18000000000000002</v>
      </c>
    </row>
    <row r="13" spans="1:8" x14ac:dyDescent="0.25">
      <c r="A13" t="s">
        <v>351</v>
      </c>
      <c r="C13" s="57" t="s">
        <v>352</v>
      </c>
      <c r="E13" s="58">
        <v>0.1</v>
      </c>
      <c r="F13" t="s">
        <v>338</v>
      </c>
      <c r="G13" s="58">
        <v>8.9</v>
      </c>
      <c r="H13" s="58">
        <f t="shared" si="0"/>
        <v>0.89000000000000012</v>
      </c>
    </row>
    <row r="14" spans="1:8" x14ac:dyDescent="0.25">
      <c r="A14" t="s">
        <v>354</v>
      </c>
      <c r="C14" s="57" t="s">
        <v>355</v>
      </c>
      <c r="E14" s="58">
        <v>0.1</v>
      </c>
      <c r="F14" t="s">
        <v>338</v>
      </c>
      <c r="G14" s="58">
        <v>2.6</v>
      </c>
      <c r="H14" s="58">
        <f t="shared" si="0"/>
        <v>0.26</v>
      </c>
    </row>
    <row r="15" spans="1:8" x14ac:dyDescent="0.25">
      <c r="A15" t="s">
        <v>368</v>
      </c>
      <c r="C15" s="57" t="s">
        <v>369</v>
      </c>
      <c r="E15" s="58">
        <v>0.1</v>
      </c>
      <c r="F15" t="s">
        <v>338</v>
      </c>
      <c r="G15" s="58">
        <v>2</v>
      </c>
      <c r="H15" s="58">
        <f t="shared" si="0"/>
        <v>0.2</v>
      </c>
    </row>
    <row r="16" spans="1:8" x14ac:dyDescent="0.25">
      <c r="A16" t="s">
        <v>370</v>
      </c>
      <c r="B16" s="47"/>
      <c r="C16" s="57" t="s">
        <v>371</v>
      </c>
      <c r="E16" s="58">
        <v>0.2</v>
      </c>
      <c r="F16" t="s">
        <v>338</v>
      </c>
      <c r="G16" s="58">
        <v>0.9</v>
      </c>
      <c r="H16" s="58">
        <f t="shared" si="0"/>
        <v>0.18000000000000002</v>
      </c>
    </row>
    <row r="17" spans="1:8" x14ac:dyDescent="0.25">
      <c r="C17"/>
      <c r="H17" s="58"/>
    </row>
    <row r="18" spans="1:8" x14ac:dyDescent="0.25">
      <c r="G18" s="3"/>
      <c r="H18" s="59">
        <f>SUM(H11:H17)</f>
        <v>2.5200000000000009</v>
      </c>
    </row>
    <row r="19" spans="1:8" x14ac:dyDescent="0.25">
      <c r="H19" s="52"/>
    </row>
    <row r="20" spans="1:8" ht="21" x14ac:dyDescent="0.4">
      <c r="B20" s="1" t="s">
        <v>247</v>
      </c>
      <c r="C20" s="53"/>
      <c r="D20" s="12" t="s">
        <v>343</v>
      </c>
      <c r="E20" s="1"/>
      <c r="F20" s="1"/>
      <c r="G20" s="55" t="s">
        <v>269</v>
      </c>
      <c r="H20" s="1" t="s">
        <v>247</v>
      </c>
    </row>
    <row r="21" spans="1:8" x14ac:dyDescent="0.25">
      <c r="B21" s="32" t="s">
        <v>335</v>
      </c>
      <c r="C21" s="56" t="s">
        <v>338</v>
      </c>
      <c r="D21" s="32" t="s">
        <v>344</v>
      </c>
      <c r="E21" s="1"/>
      <c r="F21" s="1"/>
      <c r="G21" s="1"/>
      <c r="H21" s="32" t="s">
        <v>272</v>
      </c>
    </row>
    <row r="22" spans="1:8" x14ac:dyDescent="0.25">
      <c r="B22" s="58">
        <f>+H18</f>
        <v>2.5200000000000009</v>
      </c>
      <c r="C22" s="3"/>
      <c r="D22" s="3">
        <f>+'Data Entry'!C17</f>
        <v>97</v>
      </c>
      <c r="H22" s="60">
        <f>+B22*+D22</f>
        <v>244.44000000000008</v>
      </c>
    </row>
    <row r="23" spans="1:8" x14ac:dyDescent="0.25">
      <c r="C23"/>
    </row>
    <row r="25" spans="1:8" x14ac:dyDescent="0.25">
      <c r="A25" s="1" t="s">
        <v>366</v>
      </c>
      <c r="B25" s="1"/>
      <c r="C25" s="91"/>
      <c r="D25" s="1"/>
      <c r="E25" s="1"/>
      <c r="F25" s="1"/>
      <c r="G25" s="1"/>
      <c r="H25" s="1"/>
    </row>
    <row r="26" spans="1:8" x14ac:dyDescent="0.25">
      <c r="A26" s="1" t="s">
        <v>209</v>
      </c>
      <c r="B26" s="1"/>
      <c r="C26" s="91"/>
      <c r="D26" s="1"/>
      <c r="E26" s="1"/>
      <c r="F26" s="1"/>
      <c r="G26" s="1"/>
      <c r="H26" s="1"/>
    </row>
    <row r="27" spans="1:8" x14ac:dyDescent="0.25">
      <c r="A27" s="1" t="s">
        <v>214</v>
      </c>
      <c r="B27" s="1"/>
      <c r="C27" s="91"/>
      <c r="D27" s="1"/>
      <c r="E27" s="1"/>
      <c r="F27" s="1"/>
      <c r="G27" s="1" t="s">
        <v>329</v>
      </c>
      <c r="H27" s="1"/>
    </row>
    <row r="28" spans="1:8" x14ac:dyDescent="0.25">
      <c r="A28" s="1"/>
      <c r="B28" s="1"/>
      <c r="C28" s="91"/>
      <c r="D28" s="1"/>
      <c r="E28" s="1"/>
      <c r="F28" s="1"/>
      <c r="G28" s="1" t="s">
        <v>330</v>
      </c>
      <c r="H28" s="1"/>
    </row>
    <row r="29" spans="1:8" x14ac:dyDescent="0.25">
      <c r="A29" s="73" t="s">
        <v>331</v>
      </c>
      <c r="B29" s="73"/>
      <c r="C29" s="95" t="s">
        <v>331</v>
      </c>
      <c r="D29" s="93"/>
      <c r="E29" s="73" t="s">
        <v>245</v>
      </c>
      <c r="F29" s="73"/>
      <c r="G29" s="73" t="s">
        <v>332</v>
      </c>
      <c r="H29" s="73" t="s">
        <v>247</v>
      </c>
    </row>
    <row r="30" spans="1:8" x14ac:dyDescent="0.25">
      <c r="A30" s="93" t="s">
        <v>248</v>
      </c>
      <c r="B30" s="73"/>
      <c r="C30" s="92" t="s">
        <v>333</v>
      </c>
      <c r="D30" s="93"/>
      <c r="E30" s="93" t="s">
        <v>250</v>
      </c>
      <c r="F30" s="93"/>
      <c r="G30" s="93" t="s">
        <v>334</v>
      </c>
      <c r="H30" s="93" t="s">
        <v>335</v>
      </c>
    </row>
    <row r="31" spans="1:8" x14ac:dyDescent="0.25">
      <c r="A31" s="47"/>
      <c r="B31" s="47"/>
      <c r="C31" s="48"/>
      <c r="D31" s="47"/>
    </row>
    <row r="32" spans="1:8" x14ac:dyDescent="0.25">
      <c r="A32" t="s">
        <v>347</v>
      </c>
      <c r="C32" s="57" t="s">
        <v>348</v>
      </c>
      <c r="E32" s="58">
        <v>0.1</v>
      </c>
      <c r="F32" t="s">
        <v>338</v>
      </c>
      <c r="G32" s="58">
        <v>8.1</v>
      </c>
      <c r="H32" s="58">
        <f t="shared" ref="H32:H37" si="1">+E32*G32</f>
        <v>0.81</v>
      </c>
    </row>
    <row r="33" spans="1:8" x14ac:dyDescent="0.25">
      <c r="A33" t="s">
        <v>349</v>
      </c>
      <c r="C33" s="57" t="s">
        <v>350</v>
      </c>
      <c r="E33" s="58">
        <v>0.1</v>
      </c>
      <c r="F33" t="s">
        <v>338</v>
      </c>
      <c r="G33" s="58">
        <v>10.9</v>
      </c>
      <c r="H33" s="58">
        <f t="shared" si="1"/>
        <v>1.0900000000000001</v>
      </c>
    </row>
    <row r="34" spans="1:8" x14ac:dyDescent="0.25">
      <c r="A34" t="s">
        <v>351</v>
      </c>
      <c r="C34" s="57" t="s">
        <v>352</v>
      </c>
      <c r="E34" s="58">
        <v>0.1</v>
      </c>
      <c r="F34" t="s">
        <v>338</v>
      </c>
      <c r="G34" s="58">
        <v>8.9</v>
      </c>
      <c r="H34" s="58">
        <f t="shared" si="1"/>
        <v>0.89000000000000012</v>
      </c>
    </row>
    <row r="35" spans="1:8" x14ac:dyDescent="0.25">
      <c r="A35" t="s">
        <v>354</v>
      </c>
      <c r="C35" s="57" t="s">
        <v>355</v>
      </c>
      <c r="E35" s="58">
        <v>0.1</v>
      </c>
      <c r="F35" t="s">
        <v>338</v>
      </c>
      <c r="G35" s="58">
        <v>2.6</v>
      </c>
      <c r="H35" s="58">
        <f t="shared" si="1"/>
        <v>0.26</v>
      </c>
    </row>
    <row r="36" spans="1:8" x14ac:dyDescent="0.25">
      <c r="A36" t="s">
        <v>368</v>
      </c>
      <c r="C36" s="57" t="s">
        <v>369</v>
      </c>
      <c r="E36" s="58">
        <v>0.1</v>
      </c>
      <c r="F36" t="s">
        <v>338</v>
      </c>
      <c r="G36" s="58">
        <v>2</v>
      </c>
      <c r="H36" s="58">
        <f t="shared" si="1"/>
        <v>0.2</v>
      </c>
    </row>
    <row r="37" spans="1:8" x14ac:dyDescent="0.25">
      <c r="A37" t="s">
        <v>370</v>
      </c>
      <c r="B37" s="47"/>
      <c r="C37" s="57" t="s">
        <v>371</v>
      </c>
      <c r="E37" s="58">
        <v>0.2</v>
      </c>
      <c r="F37" t="s">
        <v>338</v>
      </c>
      <c r="G37" s="58">
        <v>0.9</v>
      </c>
      <c r="H37" s="58">
        <f t="shared" si="1"/>
        <v>0.18000000000000002</v>
      </c>
    </row>
    <row r="38" spans="1:8" x14ac:dyDescent="0.25">
      <c r="C38"/>
      <c r="H38" s="58"/>
    </row>
    <row r="39" spans="1:8" x14ac:dyDescent="0.25">
      <c r="G39" s="3"/>
      <c r="H39" s="59">
        <f>SUM(H32:H38)</f>
        <v>3.43</v>
      </c>
    </row>
    <row r="40" spans="1:8" x14ac:dyDescent="0.25">
      <c r="H40" s="52"/>
    </row>
    <row r="41" spans="1:8" ht="21" x14ac:dyDescent="0.4">
      <c r="B41" s="1" t="s">
        <v>247</v>
      </c>
      <c r="C41" s="53"/>
      <c r="D41" s="12" t="s">
        <v>343</v>
      </c>
      <c r="E41" s="1"/>
      <c r="F41" s="1"/>
      <c r="G41" s="55" t="s">
        <v>269</v>
      </c>
      <c r="H41" s="1" t="s">
        <v>247</v>
      </c>
    </row>
    <row r="42" spans="1:8" x14ac:dyDescent="0.25">
      <c r="B42" s="32" t="s">
        <v>335</v>
      </c>
      <c r="C42" s="56" t="s">
        <v>338</v>
      </c>
      <c r="D42" s="32" t="s">
        <v>344</v>
      </c>
      <c r="E42" s="1"/>
      <c r="F42" s="1"/>
      <c r="G42" s="1"/>
      <c r="H42" s="32" t="s">
        <v>272</v>
      </c>
    </row>
    <row r="43" spans="1:8" x14ac:dyDescent="0.25">
      <c r="B43" s="58">
        <f>+H39</f>
        <v>3.43</v>
      </c>
      <c r="C43" s="3"/>
      <c r="D43" s="3">
        <f>+'Data Entry'!C17</f>
        <v>97</v>
      </c>
      <c r="H43" s="60">
        <f>+B43*+D43</f>
        <v>332.71000000000004</v>
      </c>
    </row>
    <row r="44" spans="1:8" x14ac:dyDescent="0.25">
      <c r="B44" s="58"/>
      <c r="C44" s="3"/>
      <c r="D44" s="3"/>
      <c r="H44" s="60"/>
    </row>
    <row r="45" spans="1:8" x14ac:dyDescent="0.25">
      <c r="C45"/>
    </row>
    <row r="48" spans="1:8" x14ac:dyDescent="0.25">
      <c r="A48" t="s">
        <v>468</v>
      </c>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pageSetUpPr fitToPage="1"/>
  </sheetPr>
  <dimension ref="A1:H44"/>
  <sheetViews>
    <sheetView workbookViewId="0">
      <selection activeCell="A2" sqref="A2"/>
    </sheetView>
  </sheetViews>
  <sheetFormatPr defaultRowHeight="13.2" x14ac:dyDescent="0.25"/>
  <cols>
    <col min="1" max="1" width="21.109375" customWidth="1"/>
    <col min="2" max="2" width="9.88671875" customWidth="1"/>
    <col min="3" max="3" width="10.109375" style="46" customWidth="1"/>
    <col min="6" max="6" width="1.88671875" customWidth="1"/>
    <col min="7" max="7" width="10.6640625" customWidth="1"/>
  </cols>
  <sheetData>
    <row r="1" spans="1:8" x14ac:dyDescent="0.25">
      <c r="A1" s="773" t="s">
        <v>999</v>
      </c>
    </row>
    <row r="2" spans="1:8" x14ac:dyDescent="0.25">
      <c r="A2" s="773" t="s">
        <v>923</v>
      </c>
    </row>
    <row r="4" spans="1:8" x14ac:dyDescent="0.25">
      <c r="A4" s="1" t="s">
        <v>471</v>
      </c>
      <c r="B4" s="1"/>
      <c r="C4" s="91"/>
      <c r="D4" s="1"/>
      <c r="E4" s="1"/>
      <c r="F4" s="1"/>
      <c r="G4" s="1"/>
      <c r="H4" s="1"/>
    </row>
    <row r="5" spans="1:8" x14ac:dyDescent="0.25">
      <c r="A5" s="1" t="s">
        <v>209</v>
      </c>
      <c r="B5" s="1"/>
      <c r="C5" s="91"/>
      <c r="D5" s="1"/>
      <c r="E5" s="1"/>
      <c r="F5" s="1"/>
      <c r="G5" s="1"/>
      <c r="H5" s="1"/>
    </row>
    <row r="6" spans="1:8" x14ac:dyDescent="0.25">
      <c r="A6" s="1" t="s">
        <v>214</v>
      </c>
      <c r="B6" s="1"/>
      <c r="C6" s="91"/>
      <c r="D6" s="1"/>
      <c r="E6" s="1"/>
      <c r="F6" s="1"/>
      <c r="G6" s="1" t="s">
        <v>329</v>
      </c>
      <c r="H6" s="1"/>
    </row>
    <row r="7" spans="1:8" x14ac:dyDescent="0.25">
      <c r="A7" s="1"/>
      <c r="B7" s="1"/>
      <c r="C7" s="91"/>
      <c r="D7" s="1"/>
      <c r="E7" s="1"/>
      <c r="F7" s="1"/>
      <c r="G7" s="1" t="s">
        <v>330</v>
      </c>
      <c r="H7" s="1"/>
    </row>
    <row r="8" spans="1:8" x14ac:dyDescent="0.25">
      <c r="A8" s="73" t="s">
        <v>331</v>
      </c>
      <c r="B8" s="73"/>
      <c r="C8" s="95" t="s">
        <v>331</v>
      </c>
      <c r="D8" s="93"/>
      <c r="E8" s="73" t="s">
        <v>245</v>
      </c>
      <c r="F8" s="73"/>
      <c r="G8" s="73" t="s">
        <v>332</v>
      </c>
      <c r="H8" s="73" t="s">
        <v>247</v>
      </c>
    </row>
    <row r="9" spans="1:8" x14ac:dyDescent="0.25">
      <c r="A9" s="93" t="s">
        <v>248</v>
      </c>
      <c r="B9" s="73"/>
      <c r="C9" s="92" t="s">
        <v>333</v>
      </c>
      <c r="D9" s="93"/>
      <c r="E9" s="93" t="s">
        <v>250</v>
      </c>
      <c r="F9" s="93"/>
      <c r="G9" s="93" t="s">
        <v>334</v>
      </c>
      <c r="H9" s="93" t="s">
        <v>335</v>
      </c>
    </row>
    <row r="10" spans="1:8" x14ac:dyDescent="0.25">
      <c r="A10" s="47"/>
      <c r="B10" s="47"/>
      <c r="C10" s="48"/>
      <c r="D10" s="47"/>
    </row>
    <row r="11" spans="1:8" x14ac:dyDescent="0.25">
      <c r="A11" t="s">
        <v>347</v>
      </c>
      <c r="C11" s="57" t="s">
        <v>348</v>
      </c>
      <c r="E11" s="58">
        <v>0.1</v>
      </c>
      <c r="F11" t="s">
        <v>338</v>
      </c>
      <c r="G11" s="58">
        <v>8.1</v>
      </c>
      <c r="H11" s="58">
        <f t="shared" ref="H11:H16" si="0">+E11*G11</f>
        <v>0.81</v>
      </c>
    </row>
    <row r="12" spans="1:8" x14ac:dyDescent="0.25">
      <c r="A12" t="s">
        <v>349</v>
      </c>
      <c r="C12" s="57" t="s">
        <v>350</v>
      </c>
      <c r="E12" s="58">
        <v>0.1</v>
      </c>
      <c r="F12" t="s">
        <v>338</v>
      </c>
      <c r="G12" s="58">
        <v>10.9</v>
      </c>
      <c r="H12" s="58">
        <f t="shared" si="0"/>
        <v>1.0900000000000001</v>
      </c>
    </row>
    <row r="13" spans="1:8" x14ac:dyDescent="0.25">
      <c r="A13" t="s">
        <v>351</v>
      </c>
      <c r="C13" s="57" t="s">
        <v>352</v>
      </c>
      <c r="E13" s="58">
        <v>0.1</v>
      </c>
      <c r="F13" t="s">
        <v>338</v>
      </c>
      <c r="G13" s="58">
        <v>8.9</v>
      </c>
      <c r="H13" s="58">
        <f t="shared" si="0"/>
        <v>0.89000000000000012</v>
      </c>
    </row>
    <row r="14" spans="1:8" x14ac:dyDescent="0.25">
      <c r="A14" t="s">
        <v>354</v>
      </c>
      <c r="C14" s="57" t="s">
        <v>355</v>
      </c>
      <c r="E14" s="58">
        <v>0.1</v>
      </c>
      <c r="F14" t="s">
        <v>338</v>
      </c>
      <c r="G14" s="58">
        <v>2.6</v>
      </c>
      <c r="H14" s="58">
        <f t="shared" si="0"/>
        <v>0.26</v>
      </c>
    </row>
    <row r="15" spans="1:8" x14ac:dyDescent="0.25">
      <c r="A15" t="s">
        <v>368</v>
      </c>
      <c r="C15" s="57" t="s">
        <v>369</v>
      </c>
      <c r="E15" s="58">
        <v>0.1</v>
      </c>
      <c r="F15" t="s">
        <v>338</v>
      </c>
      <c r="G15" s="58">
        <v>2</v>
      </c>
      <c r="H15" s="58">
        <f t="shared" si="0"/>
        <v>0.2</v>
      </c>
    </row>
    <row r="16" spans="1:8" x14ac:dyDescent="0.25">
      <c r="A16" t="s">
        <v>370</v>
      </c>
      <c r="B16" s="47"/>
      <c r="C16" s="57" t="s">
        <v>371</v>
      </c>
      <c r="E16" s="58">
        <v>0.2</v>
      </c>
      <c r="F16" t="s">
        <v>338</v>
      </c>
      <c r="G16" s="58">
        <v>0.9</v>
      </c>
      <c r="H16" s="58">
        <f t="shared" si="0"/>
        <v>0.18000000000000002</v>
      </c>
    </row>
    <row r="17" spans="1:8" x14ac:dyDescent="0.25">
      <c r="C17"/>
      <c r="H17" s="58"/>
    </row>
    <row r="18" spans="1:8" x14ac:dyDescent="0.25">
      <c r="G18" s="3"/>
      <c r="H18" s="59">
        <f>SUM(H11:H17)</f>
        <v>3.43</v>
      </c>
    </row>
    <row r="19" spans="1:8" x14ac:dyDescent="0.25">
      <c r="H19" s="52"/>
    </row>
    <row r="20" spans="1:8" ht="21" x14ac:dyDescent="0.4">
      <c r="B20" s="1" t="s">
        <v>247</v>
      </c>
      <c r="C20" s="53"/>
      <c r="D20" s="12" t="s">
        <v>343</v>
      </c>
      <c r="E20" s="1"/>
      <c r="F20" s="1"/>
      <c r="G20" s="55" t="s">
        <v>269</v>
      </c>
      <c r="H20" s="1" t="s">
        <v>247</v>
      </c>
    </row>
    <row r="21" spans="1:8" x14ac:dyDescent="0.25">
      <c r="B21" s="32" t="s">
        <v>335</v>
      </c>
      <c r="C21" s="56" t="s">
        <v>338</v>
      </c>
      <c r="D21" s="32" t="s">
        <v>344</v>
      </c>
      <c r="E21" s="1"/>
      <c r="F21" s="1"/>
      <c r="G21" s="1"/>
      <c r="H21" s="32" t="s">
        <v>272</v>
      </c>
    </row>
    <row r="22" spans="1:8" x14ac:dyDescent="0.25">
      <c r="B22" s="58">
        <f>+H18</f>
        <v>3.43</v>
      </c>
      <c r="C22" s="3"/>
      <c r="D22" s="3">
        <f>+'Data Entry'!C17</f>
        <v>97</v>
      </c>
      <c r="H22" s="60">
        <f>+B22*+D22</f>
        <v>332.71000000000004</v>
      </c>
    </row>
    <row r="23" spans="1:8" x14ac:dyDescent="0.25">
      <c r="C23"/>
    </row>
    <row r="25" spans="1:8" x14ac:dyDescent="0.25">
      <c r="A25" s="1" t="s">
        <v>470</v>
      </c>
      <c r="B25" s="1"/>
      <c r="C25" s="91"/>
      <c r="D25" s="1"/>
      <c r="E25" s="1"/>
      <c r="F25" s="1"/>
      <c r="G25" s="1"/>
      <c r="H25" s="1"/>
    </row>
    <row r="26" spans="1:8" x14ac:dyDescent="0.25">
      <c r="A26" s="1" t="s">
        <v>209</v>
      </c>
      <c r="B26" s="1"/>
      <c r="C26" s="91"/>
      <c r="D26" s="1"/>
      <c r="E26" s="1"/>
      <c r="F26" s="1"/>
      <c r="G26" s="1"/>
      <c r="H26" s="1"/>
    </row>
    <row r="27" spans="1:8" x14ac:dyDescent="0.25">
      <c r="A27" s="1" t="s">
        <v>214</v>
      </c>
      <c r="B27" s="1"/>
      <c r="C27" s="91"/>
      <c r="D27" s="1"/>
      <c r="E27" s="1"/>
      <c r="F27" s="1"/>
      <c r="G27" s="1" t="s">
        <v>329</v>
      </c>
      <c r="H27" s="1"/>
    </row>
    <row r="28" spans="1:8" x14ac:dyDescent="0.25">
      <c r="A28" s="1"/>
      <c r="B28" s="1"/>
      <c r="C28" s="91"/>
      <c r="D28" s="1"/>
      <c r="E28" s="1"/>
      <c r="F28" s="1"/>
      <c r="G28" s="1" t="s">
        <v>330</v>
      </c>
      <c r="H28" s="1"/>
    </row>
    <row r="29" spans="1:8" x14ac:dyDescent="0.25">
      <c r="A29" s="73" t="s">
        <v>331</v>
      </c>
      <c r="B29" s="73"/>
      <c r="C29" s="95" t="s">
        <v>331</v>
      </c>
      <c r="D29" s="93"/>
      <c r="E29" s="73" t="s">
        <v>245</v>
      </c>
      <c r="F29" s="73"/>
      <c r="G29" s="73" t="s">
        <v>332</v>
      </c>
      <c r="H29" s="73" t="s">
        <v>247</v>
      </c>
    </row>
    <row r="30" spans="1:8" x14ac:dyDescent="0.25">
      <c r="A30" s="93" t="s">
        <v>248</v>
      </c>
      <c r="B30" s="73"/>
      <c r="C30" s="92" t="s">
        <v>333</v>
      </c>
      <c r="D30" s="93"/>
      <c r="E30" s="93" t="s">
        <v>250</v>
      </c>
      <c r="F30" s="93"/>
      <c r="G30" s="93" t="s">
        <v>334</v>
      </c>
      <c r="H30" s="93" t="s">
        <v>335</v>
      </c>
    </row>
    <row r="31" spans="1:8" x14ac:dyDescent="0.25">
      <c r="A31" s="47"/>
      <c r="B31" s="47"/>
      <c r="C31" s="48"/>
      <c r="D31" s="47"/>
    </row>
    <row r="32" spans="1:8" x14ac:dyDescent="0.25">
      <c r="A32" t="s">
        <v>347</v>
      </c>
      <c r="C32" s="57" t="s">
        <v>348</v>
      </c>
      <c r="E32" s="58">
        <v>0.1</v>
      </c>
      <c r="F32" t="s">
        <v>338</v>
      </c>
      <c r="G32" s="58">
        <v>8.1</v>
      </c>
      <c r="H32" s="58">
        <f t="shared" ref="H32:H37" si="1">+E32*G32</f>
        <v>0.81</v>
      </c>
    </row>
    <row r="33" spans="1:8" x14ac:dyDescent="0.25">
      <c r="A33" t="s">
        <v>349</v>
      </c>
      <c r="C33" s="57" t="s">
        <v>364</v>
      </c>
      <c r="E33" s="58">
        <v>0.1</v>
      </c>
      <c r="F33" t="s">
        <v>338</v>
      </c>
      <c r="G33" s="58">
        <v>12.6</v>
      </c>
      <c r="H33" s="58">
        <f t="shared" si="1"/>
        <v>1.26</v>
      </c>
    </row>
    <row r="34" spans="1:8" x14ac:dyDescent="0.25">
      <c r="A34" t="s">
        <v>351</v>
      </c>
      <c r="C34" s="57" t="s">
        <v>365</v>
      </c>
      <c r="E34" s="58">
        <v>0.1</v>
      </c>
      <c r="F34" t="s">
        <v>338</v>
      </c>
      <c r="G34" s="58">
        <v>10.199999999999999</v>
      </c>
      <c r="H34" s="58">
        <f t="shared" si="1"/>
        <v>1.02</v>
      </c>
    </row>
    <row r="35" spans="1:8" x14ac:dyDescent="0.25">
      <c r="A35" t="s">
        <v>354</v>
      </c>
      <c r="C35" s="57" t="s">
        <v>355</v>
      </c>
      <c r="E35" s="58">
        <v>0.1</v>
      </c>
      <c r="F35" t="s">
        <v>338</v>
      </c>
      <c r="G35" s="58">
        <v>2.6</v>
      </c>
      <c r="H35" s="58">
        <f t="shared" si="1"/>
        <v>0.26</v>
      </c>
    </row>
    <row r="36" spans="1:8" x14ac:dyDescent="0.25">
      <c r="A36" t="s">
        <v>368</v>
      </c>
      <c r="C36" s="57" t="s">
        <v>369</v>
      </c>
      <c r="E36" s="58">
        <v>0.1</v>
      </c>
      <c r="F36" t="s">
        <v>338</v>
      </c>
      <c r="G36" s="58">
        <v>2</v>
      </c>
      <c r="H36" s="58">
        <f t="shared" si="1"/>
        <v>0.2</v>
      </c>
    </row>
    <row r="37" spans="1:8" x14ac:dyDescent="0.25">
      <c r="A37" t="s">
        <v>370</v>
      </c>
      <c r="B37" s="47"/>
      <c r="C37" s="57" t="s">
        <v>371</v>
      </c>
      <c r="E37" s="58">
        <v>0.2</v>
      </c>
      <c r="F37" t="s">
        <v>338</v>
      </c>
      <c r="G37" s="58">
        <v>0.9</v>
      </c>
      <c r="H37" s="58">
        <f t="shared" si="1"/>
        <v>0.18000000000000002</v>
      </c>
    </row>
    <row r="38" spans="1:8" x14ac:dyDescent="0.25">
      <c r="C38"/>
      <c r="H38" s="58"/>
    </row>
    <row r="39" spans="1:8" x14ac:dyDescent="0.25">
      <c r="G39" s="3"/>
      <c r="H39" s="59">
        <f>SUM(H32:H38)</f>
        <v>3.7300000000000009</v>
      </c>
    </row>
    <row r="40" spans="1:8" x14ac:dyDescent="0.25">
      <c r="H40" s="52"/>
    </row>
    <row r="41" spans="1:8" ht="21" x14ac:dyDescent="0.4">
      <c r="B41" s="1" t="s">
        <v>247</v>
      </c>
      <c r="C41" s="53"/>
      <c r="D41" s="12" t="s">
        <v>343</v>
      </c>
      <c r="E41" s="1"/>
      <c r="F41" s="1"/>
      <c r="G41" s="55" t="s">
        <v>269</v>
      </c>
      <c r="H41" s="1" t="s">
        <v>247</v>
      </c>
    </row>
    <row r="42" spans="1:8" x14ac:dyDescent="0.25">
      <c r="B42" s="32" t="s">
        <v>335</v>
      </c>
      <c r="C42" s="56" t="s">
        <v>338</v>
      </c>
      <c r="D42" s="32" t="s">
        <v>344</v>
      </c>
      <c r="E42" s="1"/>
      <c r="F42" s="1"/>
      <c r="G42" s="1"/>
      <c r="H42" s="32" t="s">
        <v>272</v>
      </c>
    </row>
    <row r="43" spans="1:8" x14ac:dyDescent="0.25">
      <c r="B43" s="58">
        <f>+H39</f>
        <v>3.7300000000000009</v>
      </c>
      <c r="C43" s="3"/>
      <c r="D43" s="3">
        <f>+'Data Entry'!C17</f>
        <v>97</v>
      </c>
      <c r="H43" s="60">
        <f>+B43*+D43</f>
        <v>361.81000000000006</v>
      </c>
    </row>
    <row r="44" spans="1:8" x14ac:dyDescent="0.25">
      <c r="C44"/>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pageSetUpPr fitToPage="1"/>
  </sheetPr>
  <dimension ref="A1:H86"/>
  <sheetViews>
    <sheetView zoomScaleNormal="100" workbookViewId="0">
      <selection activeCell="A2" sqref="A2"/>
    </sheetView>
  </sheetViews>
  <sheetFormatPr defaultRowHeight="13.2" x14ac:dyDescent="0.25"/>
  <cols>
    <col min="1" max="1" width="20.6640625" customWidth="1"/>
    <col min="2" max="2" width="9.88671875" customWidth="1"/>
    <col min="3" max="3" width="10.109375" style="46" customWidth="1"/>
    <col min="6" max="6" width="1.88671875" customWidth="1"/>
    <col min="7" max="7" width="10.6640625" customWidth="1"/>
    <col min="8" max="8" width="17.44140625" customWidth="1"/>
  </cols>
  <sheetData>
    <row r="1" spans="1:8" x14ac:dyDescent="0.25">
      <c r="A1" s="773" t="s">
        <v>1000</v>
      </c>
    </row>
    <row r="2" spans="1:8" x14ac:dyDescent="0.25">
      <c r="A2" s="773" t="s">
        <v>923</v>
      </c>
    </row>
    <row r="4" spans="1:8" x14ac:dyDescent="0.25">
      <c r="A4" s="1" t="s">
        <v>327</v>
      </c>
      <c r="B4" s="1"/>
      <c r="C4" s="91"/>
      <c r="D4" s="1"/>
      <c r="E4" s="1"/>
      <c r="F4" s="1"/>
      <c r="G4" s="1"/>
      <c r="H4" s="1"/>
    </row>
    <row r="5" spans="1:8" x14ac:dyDescent="0.25">
      <c r="A5" s="1" t="s">
        <v>235</v>
      </c>
      <c r="B5" s="1"/>
      <c r="C5" s="91"/>
      <c r="D5" s="1"/>
      <c r="E5" s="1"/>
      <c r="F5" s="1"/>
      <c r="G5" s="1"/>
      <c r="H5" s="1"/>
    </row>
    <row r="6" spans="1:8" x14ac:dyDescent="0.25">
      <c r="A6" s="1"/>
      <c r="B6" s="1"/>
      <c r="C6" s="91"/>
      <c r="D6" s="1"/>
      <c r="E6" s="1"/>
      <c r="F6" s="1"/>
      <c r="G6" s="1" t="s">
        <v>329</v>
      </c>
      <c r="H6" s="1"/>
    </row>
    <row r="7" spans="1:8" x14ac:dyDescent="0.25">
      <c r="A7" s="1"/>
      <c r="B7" s="1"/>
      <c r="C7" s="91"/>
      <c r="D7" s="1"/>
      <c r="E7" s="1"/>
      <c r="F7" s="1"/>
      <c r="G7" s="1" t="s">
        <v>330</v>
      </c>
      <c r="H7" s="1"/>
    </row>
    <row r="8" spans="1:8" x14ac:dyDescent="0.25">
      <c r="A8" s="73" t="s">
        <v>331</v>
      </c>
      <c r="B8" s="73"/>
      <c r="C8" s="95" t="s">
        <v>331</v>
      </c>
      <c r="D8" s="93"/>
      <c r="E8" s="73" t="s">
        <v>245</v>
      </c>
      <c r="F8" s="73"/>
      <c r="G8" s="73" t="s">
        <v>332</v>
      </c>
      <c r="H8" s="73" t="s">
        <v>247</v>
      </c>
    </row>
    <row r="9" spans="1:8" x14ac:dyDescent="0.25">
      <c r="A9" s="93" t="s">
        <v>248</v>
      </c>
      <c r="B9" s="73"/>
      <c r="C9" s="92" t="s">
        <v>333</v>
      </c>
      <c r="D9" s="93"/>
      <c r="E9" s="93" t="s">
        <v>250</v>
      </c>
      <c r="F9" s="93"/>
      <c r="G9" s="93" t="s">
        <v>334</v>
      </c>
      <c r="H9" s="93" t="s">
        <v>335</v>
      </c>
    </row>
    <row r="10" spans="1:8" x14ac:dyDescent="0.25">
      <c r="A10" s="47"/>
      <c r="B10" s="47"/>
      <c r="C10" s="48"/>
      <c r="D10" s="47"/>
    </row>
    <row r="11" spans="1:8" x14ac:dyDescent="0.25">
      <c r="A11" s="112" t="s">
        <v>372</v>
      </c>
      <c r="B11" s="47"/>
      <c r="C11" s="48" t="s">
        <v>373</v>
      </c>
      <c r="D11" s="47"/>
      <c r="E11" s="114">
        <v>0.1</v>
      </c>
      <c r="F11" s="114" t="s">
        <v>338</v>
      </c>
      <c r="G11" s="114">
        <v>8</v>
      </c>
      <c r="H11" s="114">
        <f>+E11*G11</f>
        <v>0.8</v>
      </c>
    </row>
    <row r="12" spans="1:8" x14ac:dyDescent="0.25">
      <c r="A12" s="112" t="s">
        <v>374</v>
      </c>
      <c r="B12" s="47"/>
      <c r="C12" s="48" t="s">
        <v>375</v>
      </c>
      <c r="D12" s="47"/>
      <c r="E12" s="114">
        <v>0.1</v>
      </c>
      <c r="F12" s="114" t="s">
        <v>338</v>
      </c>
      <c r="G12" s="114">
        <v>5.6</v>
      </c>
      <c r="H12" s="114">
        <f>+E12*G12</f>
        <v>0.55999999999999994</v>
      </c>
    </row>
    <row r="13" spans="1:8" x14ac:dyDescent="0.25">
      <c r="A13" s="112" t="s">
        <v>376</v>
      </c>
      <c r="B13" s="47"/>
      <c r="C13" s="48" t="s">
        <v>377</v>
      </c>
      <c r="D13" s="47"/>
      <c r="E13" s="114">
        <v>0.1</v>
      </c>
      <c r="F13" s="114" t="s">
        <v>338</v>
      </c>
      <c r="G13" s="114">
        <v>1.1000000000000001</v>
      </c>
      <c r="H13" s="114">
        <f>+E13*G13</f>
        <v>0.11000000000000001</v>
      </c>
    </row>
    <row r="14" spans="1:8" x14ac:dyDescent="0.25">
      <c r="A14" s="112" t="s">
        <v>290</v>
      </c>
      <c r="C14" s="57" t="s">
        <v>359</v>
      </c>
      <c r="E14" s="114">
        <v>6</v>
      </c>
      <c r="F14" s="114" t="s">
        <v>338</v>
      </c>
      <c r="G14" s="114">
        <v>0.5</v>
      </c>
      <c r="H14" s="114">
        <f>+E14*G14</f>
        <v>3</v>
      </c>
    </row>
    <row r="15" spans="1:8" x14ac:dyDescent="0.25">
      <c r="C15"/>
      <c r="H15" s="58"/>
    </row>
    <row r="16" spans="1:8" x14ac:dyDescent="0.25">
      <c r="G16" s="3"/>
      <c r="H16" s="59">
        <f>SUM(H11:H15)</f>
        <v>4.47</v>
      </c>
    </row>
    <row r="17" spans="1:8" x14ac:dyDescent="0.25">
      <c r="H17" s="52"/>
    </row>
    <row r="18" spans="1:8" ht="21" x14ac:dyDescent="0.4">
      <c r="B18" s="1" t="s">
        <v>247</v>
      </c>
      <c r="C18" s="53"/>
      <c r="D18" s="12" t="s">
        <v>343</v>
      </c>
      <c r="E18" s="1"/>
      <c r="F18" s="1"/>
      <c r="G18" s="55" t="s">
        <v>269</v>
      </c>
      <c r="H18" s="1" t="s">
        <v>247</v>
      </c>
    </row>
    <row r="19" spans="1:8" x14ac:dyDescent="0.25">
      <c r="B19" s="32" t="s">
        <v>335</v>
      </c>
      <c r="C19" s="56" t="s">
        <v>338</v>
      </c>
      <c r="D19" s="32" t="s">
        <v>344</v>
      </c>
      <c r="E19" s="1"/>
      <c r="F19" s="1"/>
      <c r="G19" s="1"/>
      <c r="H19" s="32" t="s">
        <v>272</v>
      </c>
    </row>
    <row r="20" spans="1:8" x14ac:dyDescent="0.25">
      <c r="B20" s="58">
        <f>+H16</f>
        <v>4.47</v>
      </c>
      <c r="C20" s="3"/>
      <c r="D20" s="3">
        <f>+'Data Entry'!C17</f>
        <v>97</v>
      </c>
      <c r="H20" s="60">
        <f>+B20*+D20</f>
        <v>433.59</v>
      </c>
    </row>
    <row r="21" spans="1:8" x14ac:dyDescent="0.25">
      <c r="C21"/>
    </row>
    <row r="22" spans="1:8" x14ac:dyDescent="0.25">
      <c r="A22" s="1" t="s">
        <v>378</v>
      </c>
      <c r="B22" s="1"/>
      <c r="C22" s="91"/>
      <c r="D22" s="1"/>
      <c r="E22" s="1"/>
      <c r="F22" s="1"/>
      <c r="G22" s="1"/>
      <c r="H22" s="1"/>
    </row>
    <row r="23" spans="1:8" x14ac:dyDescent="0.25">
      <c r="A23" s="1" t="s">
        <v>317</v>
      </c>
      <c r="B23" s="1"/>
      <c r="C23" s="91"/>
      <c r="D23" s="1"/>
      <c r="E23" s="1"/>
      <c r="F23" s="1"/>
      <c r="G23" s="1"/>
      <c r="H23" s="1"/>
    </row>
    <row r="24" spans="1:8" x14ac:dyDescent="0.25">
      <c r="A24" s="1" t="s">
        <v>318</v>
      </c>
      <c r="B24" s="1"/>
      <c r="C24" s="91"/>
      <c r="D24" s="1"/>
      <c r="E24" s="1"/>
      <c r="F24" s="1"/>
      <c r="G24" s="1" t="s">
        <v>329</v>
      </c>
      <c r="H24" s="1"/>
    </row>
    <row r="25" spans="1:8" x14ac:dyDescent="0.25">
      <c r="A25" s="1"/>
      <c r="B25" s="1"/>
      <c r="C25" s="91"/>
      <c r="D25" s="1"/>
      <c r="E25" s="1"/>
      <c r="F25" s="1"/>
      <c r="G25" s="1" t="s">
        <v>330</v>
      </c>
      <c r="H25" s="1"/>
    </row>
    <row r="26" spans="1:8" x14ac:dyDescent="0.25">
      <c r="A26" s="73" t="s">
        <v>331</v>
      </c>
      <c r="B26" s="73"/>
      <c r="C26" s="95" t="s">
        <v>331</v>
      </c>
      <c r="D26" s="93"/>
      <c r="E26" s="73" t="s">
        <v>245</v>
      </c>
      <c r="F26" s="73"/>
      <c r="G26" s="73" t="s">
        <v>332</v>
      </c>
      <c r="H26" s="73" t="s">
        <v>247</v>
      </c>
    </row>
    <row r="27" spans="1:8" x14ac:dyDescent="0.25">
      <c r="A27" s="93" t="s">
        <v>248</v>
      </c>
      <c r="B27" s="73"/>
      <c r="C27" s="92" t="s">
        <v>333</v>
      </c>
      <c r="D27" s="93"/>
      <c r="E27" s="93" t="s">
        <v>250</v>
      </c>
      <c r="F27" s="93"/>
      <c r="G27" s="93" t="s">
        <v>334</v>
      </c>
      <c r="H27" s="93" t="s">
        <v>335</v>
      </c>
    </row>
    <row r="28" spans="1:8" x14ac:dyDescent="0.25">
      <c r="A28" s="47"/>
      <c r="B28" s="47"/>
      <c r="C28" s="48"/>
      <c r="D28" s="47"/>
    </row>
    <row r="29" spans="1:8" x14ac:dyDescent="0.25">
      <c r="A29" t="s">
        <v>379</v>
      </c>
      <c r="C29" s="57" t="s">
        <v>380</v>
      </c>
      <c r="E29" s="58">
        <v>3</v>
      </c>
      <c r="F29" t="s">
        <v>338</v>
      </c>
      <c r="G29" s="58">
        <v>1.3</v>
      </c>
      <c r="H29" s="58">
        <f t="shared" ref="H29:H37" si="0">+E29*G29</f>
        <v>3.9000000000000004</v>
      </c>
    </row>
    <row r="30" spans="1:8" x14ac:dyDescent="0.25">
      <c r="A30" t="s">
        <v>381</v>
      </c>
      <c r="C30" s="57" t="s">
        <v>382</v>
      </c>
      <c r="E30" s="58">
        <v>3</v>
      </c>
      <c r="F30" t="s">
        <v>338</v>
      </c>
      <c r="G30" s="58">
        <v>1.2</v>
      </c>
      <c r="H30" s="58">
        <f t="shared" si="0"/>
        <v>3.5999999999999996</v>
      </c>
    </row>
    <row r="31" spans="1:8" x14ac:dyDescent="0.25">
      <c r="A31" t="s">
        <v>383</v>
      </c>
      <c r="C31" s="57" t="s">
        <v>384</v>
      </c>
      <c r="E31" s="58">
        <v>3</v>
      </c>
      <c r="F31" t="s">
        <v>338</v>
      </c>
      <c r="G31" s="58">
        <v>0.5</v>
      </c>
      <c r="H31" s="58">
        <f t="shared" si="0"/>
        <v>1.5</v>
      </c>
    </row>
    <row r="32" spans="1:8" x14ac:dyDescent="0.25">
      <c r="A32" t="s">
        <v>385</v>
      </c>
      <c r="C32" s="57" t="s">
        <v>386</v>
      </c>
      <c r="E32" s="58">
        <v>0.4</v>
      </c>
      <c r="F32" t="s">
        <v>338</v>
      </c>
      <c r="G32" s="58">
        <v>0.7</v>
      </c>
      <c r="H32" s="58">
        <f t="shared" si="0"/>
        <v>0.27999999999999997</v>
      </c>
    </row>
    <row r="33" spans="1:8" x14ac:dyDescent="0.25">
      <c r="A33" t="s">
        <v>387</v>
      </c>
      <c r="C33" s="57" t="s">
        <v>388</v>
      </c>
      <c r="E33" s="58">
        <v>0.1</v>
      </c>
      <c r="F33" t="s">
        <v>338</v>
      </c>
      <c r="G33" s="58">
        <v>4</v>
      </c>
      <c r="H33" s="58">
        <f t="shared" si="0"/>
        <v>0.4</v>
      </c>
    </row>
    <row r="34" spans="1:8" x14ac:dyDescent="0.25">
      <c r="A34" t="s">
        <v>389</v>
      </c>
      <c r="B34" s="47"/>
      <c r="C34" s="57" t="s">
        <v>390</v>
      </c>
      <c r="E34" s="58">
        <v>3</v>
      </c>
      <c r="F34" t="s">
        <v>338</v>
      </c>
      <c r="G34" s="58">
        <v>0.3</v>
      </c>
      <c r="H34" s="58">
        <f t="shared" si="0"/>
        <v>0.89999999999999991</v>
      </c>
    </row>
    <row r="35" spans="1:8" x14ac:dyDescent="0.25">
      <c r="A35" t="s">
        <v>391</v>
      </c>
      <c r="C35" s="57" t="s">
        <v>392</v>
      </c>
      <c r="E35" s="58">
        <v>0.1</v>
      </c>
      <c r="F35" t="s">
        <v>338</v>
      </c>
      <c r="G35" s="58">
        <v>6</v>
      </c>
      <c r="H35" s="58">
        <f t="shared" si="0"/>
        <v>0.60000000000000009</v>
      </c>
    </row>
    <row r="36" spans="1:8" x14ac:dyDescent="0.25">
      <c r="A36" t="s">
        <v>319</v>
      </c>
      <c r="C36" s="57" t="s">
        <v>393</v>
      </c>
      <c r="E36" s="58">
        <v>0.1</v>
      </c>
      <c r="F36" t="s">
        <v>338</v>
      </c>
      <c r="G36" s="58">
        <v>1.8</v>
      </c>
      <c r="H36" s="58">
        <f t="shared" si="0"/>
        <v>0.18000000000000002</v>
      </c>
    </row>
    <row r="37" spans="1:8" x14ac:dyDescent="0.25">
      <c r="A37" t="s">
        <v>394</v>
      </c>
      <c r="B37" s="47"/>
      <c r="C37" s="57" t="s">
        <v>395</v>
      </c>
      <c r="E37" s="58">
        <v>0.2</v>
      </c>
      <c r="F37" t="s">
        <v>338</v>
      </c>
      <c r="G37" s="58">
        <v>3.5</v>
      </c>
      <c r="H37" s="58">
        <f t="shared" si="0"/>
        <v>0.70000000000000007</v>
      </c>
    </row>
    <row r="38" spans="1:8" x14ac:dyDescent="0.25">
      <c r="C38"/>
      <c r="H38" s="58"/>
    </row>
    <row r="39" spans="1:8" x14ac:dyDescent="0.25">
      <c r="G39" s="3"/>
      <c r="H39" s="59">
        <f>SUM(H29:H38)</f>
        <v>12.059999999999999</v>
      </c>
    </row>
    <row r="40" spans="1:8" x14ac:dyDescent="0.25">
      <c r="H40" s="52"/>
    </row>
    <row r="41" spans="1:8" ht="21" x14ac:dyDescent="0.4">
      <c r="B41" s="1" t="s">
        <v>247</v>
      </c>
      <c r="C41" s="53"/>
      <c r="D41" s="12" t="s">
        <v>343</v>
      </c>
      <c r="E41" s="1"/>
      <c r="F41" s="1"/>
      <c r="G41" s="55" t="s">
        <v>269</v>
      </c>
      <c r="H41" s="1" t="s">
        <v>247</v>
      </c>
    </row>
    <row r="42" spans="1:8" x14ac:dyDescent="0.25">
      <c r="B42" s="32" t="s">
        <v>335</v>
      </c>
      <c r="C42" s="56" t="s">
        <v>338</v>
      </c>
      <c r="D42" s="32" t="s">
        <v>344</v>
      </c>
      <c r="E42" s="1"/>
      <c r="F42" s="1"/>
      <c r="G42" s="1"/>
      <c r="H42" s="32" t="s">
        <v>272</v>
      </c>
    </row>
    <row r="43" spans="1:8" x14ac:dyDescent="0.25">
      <c r="B43" s="58">
        <f>+H39</f>
        <v>12.059999999999999</v>
      </c>
      <c r="C43" s="3"/>
      <c r="D43" s="3">
        <f>+'Data Entry'!E17</f>
        <v>111</v>
      </c>
      <c r="H43" s="60">
        <f>+B43*+D43</f>
        <v>1338.6599999999999</v>
      </c>
    </row>
    <row r="44" spans="1:8" x14ac:dyDescent="0.25">
      <c r="B44" s="58"/>
      <c r="C44" s="3"/>
      <c r="D44" s="3"/>
      <c r="H44" s="60"/>
    </row>
    <row r="45" spans="1:8" x14ac:dyDescent="0.25">
      <c r="B45" s="58"/>
      <c r="C45" s="3"/>
      <c r="D45" s="3"/>
      <c r="H45" s="60"/>
    </row>
    <row r="46" spans="1:8" x14ac:dyDescent="0.25">
      <c r="B46" s="58"/>
      <c r="C46" s="3"/>
      <c r="D46" s="3"/>
      <c r="H46" s="60"/>
    </row>
    <row r="47" spans="1:8" x14ac:dyDescent="0.25">
      <c r="B47" s="58"/>
      <c r="C47" s="3"/>
      <c r="D47" s="3"/>
      <c r="H47" s="60"/>
    </row>
    <row r="48" spans="1:8" x14ac:dyDescent="0.25">
      <c r="C48"/>
    </row>
    <row r="49" spans="1:8" x14ac:dyDescent="0.25">
      <c r="A49" s="1" t="s">
        <v>327</v>
      </c>
      <c r="B49" s="1"/>
      <c r="C49" s="91"/>
      <c r="D49" s="1"/>
      <c r="E49" s="1"/>
      <c r="F49" s="1"/>
      <c r="G49" s="1"/>
      <c r="H49" s="1"/>
    </row>
    <row r="50" spans="1:8" x14ac:dyDescent="0.25">
      <c r="A50" s="1" t="s">
        <v>396</v>
      </c>
      <c r="B50" s="1"/>
      <c r="C50" s="91"/>
      <c r="D50" s="1"/>
      <c r="E50" s="1"/>
      <c r="F50" s="1"/>
      <c r="G50" s="1"/>
      <c r="H50" s="1"/>
    </row>
    <row r="51" spans="1:8" x14ac:dyDescent="0.25">
      <c r="A51" s="1"/>
      <c r="B51" s="1"/>
      <c r="C51" s="91"/>
      <c r="D51" s="1"/>
      <c r="E51" s="1"/>
      <c r="F51" s="1"/>
      <c r="G51" s="1" t="s">
        <v>329</v>
      </c>
      <c r="H51" s="1"/>
    </row>
    <row r="52" spans="1:8" x14ac:dyDescent="0.25">
      <c r="A52" s="1"/>
      <c r="B52" s="1"/>
      <c r="C52" s="91"/>
      <c r="D52" s="1"/>
      <c r="E52" s="1"/>
      <c r="F52" s="1"/>
      <c r="G52" s="1" t="s">
        <v>330</v>
      </c>
      <c r="H52" s="1"/>
    </row>
    <row r="53" spans="1:8" x14ac:dyDescent="0.25">
      <c r="A53" s="73" t="s">
        <v>331</v>
      </c>
      <c r="B53" s="73"/>
      <c r="C53" s="95" t="s">
        <v>331</v>
      </c>
      <c r="D53" s="93"/>
      <c r="E53" s="73" t="s">
        <v>245</v>
      </c>
      <c r="F53" s="73"/>
      <c r="G53" s="73" t="s">
        <v>332</v>
      </c>
      <c r="H53" s="73" t="s">
        <v>247</v>
      </c>
    </row>
    <row r="54" spans="1:8" x14ac:dyDescent="0.25">
      <c r="A54" s="93" t="s">
        <v>248</v>
      </c>
      <c r="B54" s="73"/>
      <c r="C54" s="92" t="s">
        <v>333</v>
      </c>
      <c r="D54" s="93"/>
      <c r="E54" s="93" t="s">
        <v>250</v>
      </c>
      <c r="F54" s="93"/>
      <c r="G54" s="93" t="s">
        <v>334</v>
      </c>
      <c r="H54" s="93" t="s">
        <v>335</v>
      </c>
    </row>
    <row r="55" spans="1:8" x14ac:dyDescent="0.25">
      <c r="A55" s="47"/>
      <c r="B55" s="47"/>
      <c r="C55" s="48"/>
      <c r="D55" s="47"/>
    </row>
    <row r="56" spans="1:8" x14ac:dyDescent="0.25">
      <c r="A56" s="112" t="s">
        <v>372</v>
      </c>
      <c r="B56" s="47"/>
      <c r="C56" s="48" t="s">
        <v>373</v>
      </c>
      <c r="D56" s="47"/>
      <c r="E56" s="114">
        <v>0.1</v>
      </c>
      <c r="F56" s="114" t="s">
        <v>338</v>
      </c>
      <c r="G56" s="114">
        <v>8</v>
      </c>
      <c r="H56" s="114">
        <f>+E56*G56</f>
        <v>0.8</v>
      </c>
    </row>
    <row r="57" spans="1:8" x14ac:dyDescent="0.25">
      <c r="A57" s="112" t="s">
        <v>374</v>
      </c>
      <c r="B57" s="47"/>
      <c r="C57" s="48" t="s">
        <v>375</v>
      </c>
      <c r="D57" s="47"/>
      <c r="E57" s="114">
        <v>0.1</v>
      </c>
      <c r="F57" s="114" t="s">
        <v>338</v>
      </c>
      <c r="G57" s="114">
        <v>5.6</v>
      </c>
      <c r="H57" s="114">
        <f>+E57*G57</f>
        <v>0.55999999999999994</v>
      </c>
    </row>
    <row r="58" spans="1:8" x14ac:dyDescent="0.25">
      <c r="A58" s="112" t="s">
        <v>376</v>
      </c>
      <c r="B58" s="47"/>
      <c r="C58" s="48" t="s">
        <v>377</v>
      </c>
      <c r="D58" s="47"/>
      <c r="E58" s="114">
        <v>0.1</v>
      </c>
      <c r="F58" s="114" t="s">
        <v>338</v>
      </c>
      <c r="G58" s="114">
        <v>1.1000000000000001</v>
      </c>
      <c r="H58" s="114">
        <f>+E58*G58</f>
        <v>0.11000000000000001</v>
      </c>
    </row>
    <row r="59" spans="1:8" x14ac:dyDescent="0.25">
      <c r="C59"/>
      <c r="H59" s="58"/>
    </row>
    <row r="60" spans="1:8" x14ac:dyDescent="0.25">
      <c r="G60" s="3"/>
      <c r="H60" s="59">
        <f>SUM(H56:H59)</f>
        <v>1.47</v>
      </c>
    </row>
    <row r="61" spans="1:8" x14ac:dyDescent="0.25">
      <c r="H61" s="52"/>
    </row>
    <row r="62" spans="1:8" ht="21" x14ac:dyDescent="0.4">
      <c r="B62" s="1" t="s">
        <v>247</v>
      </c>
      <c r="C62" s="53"/>
      <c r="D62" s="12" t="s">
        <v>343</v>
      </c>
      <c r="E62" s="1"/>
      <c r="F62" s="1"/>
      <c r="G62" s="55" t="s">
        <v>269</v>
      </c>
      <c r="H62" s="1" t="s">
        <v>247</v>
      </c>
    </row>
    <row r="63" spans="1:8" x14ac:dyDescent="0.25">
      <c r="B63" s="32" t="s">
        <v>335</v>
      </c>
      <c r="C63" s="56" t="s">
        <v>338</v>
      </c>
      <c r="D63" s="32" t="s">
        <v>344</v>
      </c>
      <c r="E63" s="1"/>
      <c r="F63" s="1"/>
      <c r="G63" s="1"/>
      <c r="H63" s="32" t="s">
        <v>272</v>
      </c>
    </row>
    <row r="64" spans="1:8" x14ac:dyDescent="0.25">
      <c r="B64" s="58">
        <f>+H60</f>
        <v>1.47</v>
      </c>
      <c r="C64" s="3"/>
      <c r="D64" s="3">
        <f>+'Data Entry'!C17</f>
        <v>97</v>
      </c>
      <c r="H64" s="60">
        <f>+B64*+D64</f>
        <v>142.59</v>
      </c>
    </row>
    <row r="67" spans="1:8" x14ac:dyDescent="0.25">
      <c r="A67" s="1" t="s">
        <v>378</v>
      </c>
      <c r="B67" s="1"/>
      <c r="C67" s="91"/>
      <c r="D67" s="1"/>
      <c r="E67" s="1"/>
      <c r="F67" s="1"/>
      <c r="G67" s="1"/>
      <c r="H67" s="1"/>
    </row>
    <row r="68" spans="1:8" x14ac:dyDescent="0.25">
      <c r="A68" s="1" t="s">
        <v>317</v>
      </c>
      <c r="B68" s="1"/>
      <c r="C68" s="91"/>
      <c r="D68" s="1"/>
      <c r="E68" s="1"/>
      <c r="F68" s="1"/>
      <c r="G68" s="1"/>
      <c r="H68" s="1"/>
    </row>
    <row r="69" spans="1:8" x14ac:dyDescent="0.25">
      <c r="A69" s="1" t="s">
        <v>439</v>
      </c>
      <c r="B69" s="1"/>
      <c r="C69" s="91"/>
      <c r="D69" s="1"/>
      <c r="E69" s="1"/>
      <c r="F69" s="1"/>
      <c r="G69" s="1" t="s">
        <v>329</v>
      </c>
      <c r="H69" s="1"/>
    </row>
    <row r="70" spans="1:8" x14ac:dyDescent="0.25">
      <c r="A70" s="1"/>
      <c r="B70" s="1"/>
      <c r="C70" s="91"/>
      <c r="D70" s="1"/>
      <c r="E70" s="1"/>
      <c r="F70" s="1"/>
      <c r="G70" s="1" t="s">
        <v>330</v>
      </c>
      <c r="H70" s="1"/>
    </row>
    <row r="71" spans="1:8" x14ac:dyDescent="0.25">
      <c r="A71" s="73" t="s">
        <v>331</v>
      </c>
      <c r="B71" s="73"/>
      <c r="C71" s="95" t="s">
        <v>331</v>
      </c>
      <c r="D71" s="93"/>
      <c r="E71" s="73" t="s">
        <v>245</v>
      </c>
      <c r="F71" s="73"/>
      <c r="G71" s="73" t="s">
        <v>332</v>
      </c>
      <c r="H71" s="73" t="s">
        <v>247</v>
      </c>
    </row>
    <row r="72" spans="1:8" x14ac:dyDescent="0.25">
      <c r="A72" s="93" t="s">
        <v>248</v>
      </c>
      <c r="B72" s="73"/>
      <c r="C72" s="92" t="s">
        <v>333</v>
      </c>
      <c r="D72" s="93"/>
      <c r="E72" s="93" t="s">
        <v>250</v>
      </c>
      <c r="F72" s="93"/>
      <c r="G72" s="93" t="s">
        <v>334</v>
      </c>
      <c r="H72" s="93" t="s">
        <v>335</v>
      </c>
    </row>
    <row r="73" spans="1:8" x14ac:dyDescent="0.25">
      <c r="A73" s="47"/>
      <c r="B73" s="47"/>
      <c r="C73" s="48"/>
      <c r="D73" s="47"/>
    </row>
    <row r="74" spans="1:8" x14ac:dyDescent="0.25">
      <c r="A74" t="s">
        <v>383</v>
      </c>
      <c r="C74" s="57" t="s">
        <v>384</v>
      </c>
      <c r="E74" s="58">
        <v>3</v>
      </c>
      <c r="F74" t="s">
        <v>338</v>
      </c>
      <c r="G74" s="58">
        <v>0.5</v>
      </c>
      <c r="H74" s="58">
        <f t="shared" ref="H74:H80" si="1">+E74*G74</f>
        <v>1.5</v>
      </c>
    </row>
    <row r="75" spans="1:8" x14ac:dyDescent="0.25">
      <c r="A75" t="s">
        <v>385</v>
      </c>
      <c r="C75" s="57" t="s">
        <v>386</v>
      </c>
      <c r="E75" s="58">
        <v>0.4</v>
      </c>
      <c r="F75" t="s">
        <v>338</v>
      </c>
      <c r="G75" s="58">
        <v>0.7</v>
      </c>
      <c r="H75" s="58">
        <f t="shared" si="1"/>
        <v>0.27999999999999997</v>
      </c>
    </row>
    <row r="76" spans="1:8" x14ac:dyDescent="0.25">
      <c r="A76" t="s">
        <v>387</v>
      </c>
      <c r="C76" s="57" t="s">
        <v>388</v>
      </c>
      <c r="E76" s="58">
        <v>0.1</v>
      </c>
      <c r="F76" t="s">
        <v>338</v>
      </c>
      <c r="G76" s="58">
        <v>4</v>
      </c>
      <c r="H76" s="58">
        <f t="shared" si="1"/>
        <v>0.4</v>
      </c>
    </row>
    <row r="77" spans="1:8" x14ac:dyDescent="0.25">
      <c r="A77" t="s">
        <v>389</v>
      </c>
      <c r="B77" s="47"/>
      <c r="C77" s="57" t="s">
        <v>390</v>
      </c>
      <c r="E77" s="58">
        <v>3</v>
      </c>
      <c r="F77" t="s">
        <v>338</v>
      </c>
      <c r="G77" s="58">
        <v>0.3</v>
      </c>
      <c r="H77" s="58">
        <f t="shared" si="1"/>
        <v>0.89999999999999991</v>
      </c>
    </row>
    <row r="78" spans="1:8" x14ac:dyDescent="0.25">
      <c r="A78" t="s">
        <v>391</v>
      </c>
      <c r="C78" s="57" t="s">
        <v>392</v>
      </c>
      <c r="E78" s="58">
        <v>0.1</v>
      </c>
      <c r="F78" t="s">
        <v>338</v>
      </c>
      <c r="G78" s="58">
        <v>6</v>
      </c>
      <c r="H78" s="58">
        <f t="shared" si="1"/>
        <v>0.60000000000000009</v>
      </c>
    </row>
    <row r="79" spans="1:8" x14ac:dyDescent="0.25">
      <c r="A79" t="s">
        <v>319</v>
      </c>
      <c r="C79" s="57" t="s">
        <v>393</v>
      </c>
      <c r="E79" s="58">
        <v>0.1</v>
      </c>
      <c r="F79" t="s">
        <v>338</v>
      </c>
      <c r="G79" s="58">
        <v>1.8</v>
      </c>
      <c r="H79" s="58">
        <f t="shared" si="1"/>
        <v>0.18000000000000002</v>
      </c>
    </row>
    <row r="80" spans="1:8" x14ac:dyDescent="0.25">
      <c r="A80" t="s">
        <v>394</v>
      </c>
      <c r="B80" s="47"/>
      <c r="C80" s="57" t="s">
        <v>395</v>
      </c>
      <c r="E80" s="58">
        <v>0.2</v>
      </c>
      <c r="F80" t="s">
        <v>338</v>
      </c>
      <c r="G80" s="58">
        <v>3.5</v>
      </c>
      <c r="H80" s="58">
        <f t="shared" si="1"/>
        <v>0.70000000000000007</v>
      </c>
    </row>
    <row r="81" spans="2:8" x14ac:dyDescent="0.25">
      <c r="C81"/>
      <c r="H81" s="58"/>
    </row>
    <row r="82" spans="2:8" x14ac:dyDescent="0.25">
      <c r="G82" s="3"/>
      <c r="H82" s="59">
        <f>SUM(H74:H81)</f>
        <v>4.5600000000000005</v>
      </c>
    </row>
    <row r="83" spans="2:8" x14ac:dyDescent="0.25">
      <c r="H83" s="52"/>
    </row>
    <row r="84" spans="2:8" ht="21" x14ac:dyDescent="0.4">
      <c r="B84" s="1" t="s">
        <v>247</v>
      </c>
      <c r="C84" s="53"/>
      <c r="D84" s="12" t="s">
        <v>343</v>
      </c>
      <c r="E84" s="1"/>
      <c r="F84" s="1"/>
      <c r="G84" s="55" t="s">
        <v>269</v>
      </c>
      <c r="H84" s="1" t="s">
        <v>247</v>
      </c>
    </row>
    <row r="85" spans="2:8" x14ac:dyDescent="0.25">
      <c r="B85" s="32" t="s">
        <v>335</v>
      </c>
      <c r="C85" s="56" t="s">
        <v>338</v>
      </c>
      <c r="D85" s="32" t="s">
        <v>344</v>
      </c>
      <c r="E85" s="1"/>
      <c r="F85" s="1"/>
      <c r="G85" s="1"/>
      <c r="H85" s="32" t="s">
        <v>272</v>
      </c>
    </row>
    <row r="86" spans="2:8" x14ac:dyDescent="0.25">
      <c r="B86" s="58">
        <f>+H82</f>
        <v>4.5600000000000005</v>
      </c>
      <c r="C86" s="3"/>
      <c r="D86" s="3">
        <f>+'Data Entry'!E17</f>
        <v>111</v>
      </c>
      <c r="H86" s="60">
        <f>+B86*+D86</f>
        <v>506.16000000000008</v>
      </c>
    </row>
  </sheetData>
  <phoneticPr fontId="28" type="noConversion"/>
  <pageMargins left="0.75" right="0.25" top="0.25" bottom="0.25" header="0.5" footer="0.22"/>
  <pageSetup scale="71" orientation="portrait" horizontalDpi="300" verticalDpi="300" r:id="rId1"/>
  <headerFooter alignWithMargins="0">
    <oddFooter>&amp;R&amp;A</oddFooter>
  </headerFooter>
  <rowBreaks count="1" manualBreakCount="1">
    <brk id="4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A2" sqref="A1:A2"/>
    </sheetView>
  </sheetViews>
  <sheetFormatPr defaultRowHeight="13.2" x14ac:dyDescent="0.25"/>
  <cols>
    <col min="2" max="2" width="29" bestFit="1" customWidth="1"/>
    <col min="5" max="5" width="14.44140625" bestFit="1" customWidth="1"/>
  </cols>
  <sheetData>
    <row r="1" spans="1:10" x14ac:dyDescent="0.25">
      <c r="A1" s="773" t="s">
        <v>930</v>
      </c>
    </row>
    <row r="2" spans="1:10" x14ac:dyDescent="0.25">
      <c r="A2" s="773" t="s">
        <v>923</v>
      </c>
    </row>
    <row r="4" spans="1:10" ht="17.399999999999999" x14ac:dyDescent="0.3">
      <c r="A4" s="656" t="s">
        <v>883</v>
      </c>
      <c r="B4" s="657"/>
      <c r="C4" s="657"/>
      <c r="D4" s="657"/>
      <c r="E4" s="657"/>
      <c r="F4" s="657"/>
      <c r="G4" s="657"/>
      <c r="H4" s="657"/>
      <c r="I4" s="657"/>
      <c r="J4" s="657"/>
    </row>
    <row r="5" spans="1:10" x14ac:dyDescent="0.25">
      <c r="A5" s="657"/>
      <c r="B5" s="657"/>
      <c r="C5" s="657"/>
      <c r="D5" s="657"/>
      <c r="E5" s="657"/>
      <c r="F5" s="657"/>
      <c r="G5" s="657"/>
      <c r="H5" s="657"/>
      <c r="I5" s="657"/>
      <c r="J5" s="657"/>
    </row>
    <row r="6" spans="1:10" x14ac:dyDescent="0.25">
      <c r="A6" s="657"/>
      <c r="B6" s="658" t="s">
        <v>884</v>
      </c>
      <c r="C6" s="657"/>
      <c r="D6" s="758" t="s">
        <v>885</v>
      </c>
      <c r="E6" s="759"/>
      <c r="F6" s="759"/>
      <c r="G6" s="759"/>
      <c r="H6" s="760"/>
      <c r="I6" s="659"/>
      <c r="J6" s="659"/>
    </row>
    <row r="7" spans="1:10" x14ac:dyDescent="0.25">
      <c r="A7" s="657"/>
      <c r="B7" s="658"/>
      <c r="C7" s="657"/>
      <c r="D7" s="660"/>
      <c r="E7" s="659"/>
      <c r="F7" s="659"/>
      <c r="G7" s="659"/>
      <c r="H7" s="659"/>
      <c r="I7" s="659"/>
      <c r="J7" s="659"/>
    </row>
    <row r="8" spans="1:10" ht="15.6" x14ac:dyDescent="0.3">
      <c r="A8" s="657"/>
      <c r="B8" s="761">
        <v>2015</v>
      </c>
      <c r="C8" s="761"/>
      <c r="D8" s="761"/>
      <c r="E8" s="659"/>
      <c r="F8" s="659"/>
      <c r="G8" s="661" t="s">
        <v>886</v>
      </c>
      <c r="H8" s="662">
        <v>0</v>
      </c>
      <c r="I8" s="659"/>
      <c r="J8" s="659"/>
    </row>
    <row r="9" spans="1:10" ht="15.6" x14ac:dyDescent="0.3">
      <c r="A9" s="657"/>
      <c r="B9" s="663" t="s">
        <v>887</v>
      </c>
      <c r="C9" s="657">
        <v>1</v>
      </c>
      <c r="D9" s="660" t="s">
        <v>888</v>
      </c>
      <c r="E9" s="659"/>
      <c r="F9" s="659"/>
      <c r="G9" s="661" t="s">
        <v>889</v>
      </c>
      <c r="H9" s="662">
        <v>0</v>
      </c>
      <c r="I9" s="657"/>
      <c r="J9" s="657"/>
    </row>
    <row r="10" spans="1:10" x14ac:dyDescent="0.25">
      <c r="A10" s="663" t="s">
        <v>890</v>
      </c>
      <c r="B10" s="663" t="s">
        <v>891</v>
      </c>
      <c r="C10" s="657"/>
      <c r="D10" s="657"/>
      <c r="E10" s="664">
        <f>((1-E11)*E12)+E11</f>
        <v>0.38574999999999998</v>
      </c>
      <c r="F10" s="657"/>
      <c r="G10" s="657"/>
      <c r="H10" s="657"/>
      <c r="I10" s="657"/>
      <c r="J10" s="657"/>
    </row>
    <row r="11" spans="1:10" x14ac:dyDescent="0.25">
      <c r="A11" s="657"/>
      <c r="B11" s="663" t="s">
        <v>892</v>
      </c>
      <c r="C11" s="657"/>
      <c r="D11" s="657"/>
      <c r="E11" s="665">
        <v>5.5E-2</v>
      </c>
      <c r="F11" s="657"/>
      <c r="G11" s="657"/>
      <c r="H11" s="657"/>
      <c r="I11" s="657"/>
      <c r="J11" s="657"/>
    </row>
    <row r="12" spans="1:10" x14ac:dyDescent="0.25">
      <c r="A12" s="657"/>
      <c r="B12" s="663" t="s">
        <v>893</v>
      </c>
      <c r="C12" s="657"/>
      <c r="D12" s="657"/>
      <c r="E12" s="666">
        <v>0.35</v>
      </c>
      <c r="F12" s="657"/>
      <c r="G12" s="657"/>
      <c r="H12" s="657"/>
      <c r="I12" s="657"/>
      <c r="J12" s="657"/>
    </row>
    <row r="13" spans="1:10" x14ac:dyDescent="0.25">
      <c r="A13" s="657"/>
      <c r="B13" s="657"/>
      <c r="C13" s="657"/>
      <c r="D13" s="657"/>
      <c r="E13" s="657"/>
      <c r="F13" s="657"/>
      <c r="G13" s="657"/>
      <c r="H13" s="657"/>
      <c r="I13" s="657"/>
      <c r="J13" s="657"/>
    </row>
    <row r="14" spans="1:10" x14ac:dyDescent="0.25">
      <c r="A14" s="663" t="s">
        <v>894</v>
      </c>
      <c r="B14" s="663" t="s">
        <v>895</v>
      </c>
      <c r="C14" s="657"/>
      <c r="D14" s="657"/>
      <c r="E14" s="667">
        <v>42005</v>
      </c>
      <c r="F14" s="668"/>
      <c r="G14" s="668"/>
      <c r="H14" s="657"/>
      <c r="I14" s="657"/>
      <c r="J14" s="657"/>
    </row>
    <row r="15" spans="1:10" x14ac:dyDescent="0.25">
      <c r="A15" s="657"/>
      <c r="B15" s="657"/>
      <c r="C15" s="657"/>
      <c r="D15" s="657"/>
      <c r="E15" s="657"/>
      <c r="F15" s="657"/>
      <c r="G15" s="657"/>
      <c r="H15" s="657"/>
      <c r="I15" s="657"/>
      <c r="J15" s="657"/>
    </row>
    <row r="16" spans="1:10" x14ac:dyDescent="0.25">
      <c r="A16" s="657"/>
      <c r="B16" s="657"/>
      <c r="C16" s="657"/>
      <c r="D16" s="669" t="s">
        <v>896</v>
      </c>
      <c r="E16" s="669"/>
      <c r="F16" s="669"/>
      <c r="G16" s="657"/>
      <c r="H16" s="657"/>
      <c r="I16" s="657"/>
      <c r="J16" s="657"/>
    </row>
    <row r="17" spans="1:10" x14ac:dyDescent="0.25">
      <c r="A17" s="657"/>
      <c r="B17" s="657"/>
      <c r="C17" s="657"/>
      <c r="D17" s="669" t="s">
        <v>897</v>
      </c>
      <c r="E17" s="669" t="s">
        <v>898</v>
      </c>
      <c r="F17" s="670" t="s">
        <v>899</v>
      </c>
      <c r="G17" s="670" t="s">
        <v>900</v>
      </c>
      <c r="H17" s="670" t="s">
        <v>901</v>
      </c>
      <c r="I17" s="657"/>
      <c r="J17" s="657"/>
    </row>
    <row r="18" spans="1:10" ht="13.8" thickBot="1" x14ac:dyDescent="0.3">
      <c r="A18" s="657"/>
      <c r="B18" s="671" t="s">
        <v>902</v>
      </c>
      <c r="C18" s="672" t="s">
        <v>903</v>
      </c>
      <c r="D18" s="672" t="s">
        <v>904</v>
      </c>
      <c r="E18" s="672" t="s">
        <v>905</v>
      </c>
      <c r="F18" s="672" t="s">
        <v>906</v>
      </c>
      <c r="G18" s="672" t="s">
        <v>906</v>
      </c>
      <c r="H18" s="672" t="s">
        <v>906</v>
      </c>
      <c r="I18" s="657"/>
      <c r="J18" s="657"/>
    </row>
    <row r="19" spans="1:10" x14ac:dyDescent="0.25">
      <c r="A19" s="657"/>
      <c r="B19" s="663" t="s">
        <v>907</v>
      </c>
      <c r="C19" s="673">
        <v>0.4038422678425842</v>
      </c>
      <c r="D19" s="673">
        <v>5.051136004649244E-2</v>
      </c>
      <c r="E19" s="674">
        <f>C19*D19</f>
        <v>2.0398622192988807E-2</v>
      </c>
      <c r="F19" s="674">
        <f>D19*(1-$E$10)</f>
        <v>3.1026602908557979E-2</v>
      </c>
      <c r="G19" s="674">
        <f>E19*(1-$E$10)</f>
        <v>1.2529853682043374E-2</v>
      </c>
      <c r="H19" s="675">
        <f>+E19</f>
        <v>2.0398622192988807E-2</v>
      </c>
      <c r="I19" s="657"/>
      <c r="J19" s="657"/>
    </row>
    <row r="20" spans="1:10" x14ac:dyDescent="0.25">
      <c r="A20" s="657"/>
      <c r="B20" s="663" t="s">
        <v>908</v>
      </c>
      <c r="C20" s="673">
        <v>0</v>
      </c>
      <c r="D20" s="673">
        <v>0</v>
      </c>
      <c r="E20" s="676">
        <f>C20*D20</f>
        <v>0</v>
      </c>
      <c r="F20" s="676">
        <f>D20</f>
        <v>0</v>
      </c>
      <c r="G20" s="676">
        <f>E20</f>
        <v>0</v>
      </c>
      <c r="H20" s="677">
        <f>+E20</f>
        <v>0</v>
      </c>
      <c r="I20" s="678"/>
      <c r="J20" s="678"/>
    </row>
    <row r="21" spans="1:10" ht="13.8" thickBot="1" x14ac:dyDescent="0.3">
      <c r="A21" s="657"/>
      <c r="B21" s="679" t="s">
        <v>909</v>
      </c>
      <c r="C21" s="680">
        <v>0.59615773215741585</v>
      </c>
      <c r="D21" s="680">
        <v>0.105</v>
      </c>
      <c r="E21" s="681">
        <f>C21*D21</f>
        <v>6.2596561876528664E-2</v>
      </c>
      <c r="F21" s="681">
        <f>D21</f>
        <v>0.105</v>
      </c>
      <c r="G21" s="681">
        <f>E21</f>
        <v>6.2596561876528664E-2</v>
      </c>
      <c r="H21" s="681" t="e">
        <f>+E21/(1-Tax_Rate)</f>
        <v>#REF!</v>
      </c>
      <c r="I21" s="678"/>
      <c r="J21" s="678"/>
    </row>
    <row r="22" spans="1:10" ht="13.8" thickBot="1" x14ac:dyDescent="0.3">
      <c r="A22" s="657"/>
      <c r="B22" s="679" t="s">
        <v>910</v>
      </c>
      <c r="C22" s="682">
        <f>SUM(C19:C21)</f>
        <v>1</v>
      </c>
      <c r="D22" s="683"/>
      <c r="E22" s="684"/>
      <c r="F22" s="684"/>
      <c r="G22" s="684">
        <f>SUM(G19:G21)</f>
        <v>7.5126415558572038E-2</v>
      </c>
      <c r="H22" s="684" t="e">
        <f>SUM(H19:H21)</f>
        <v>#REF!</v>
      </c>
      <c r="I22" s="678"/>
      <c r="J22" s="678"/>
    </row>
    <row r="23" spans="1:10" x14ac:dyDescent="0.25">
      <c r="A23" s="657"/>
      <c r="B23" s="657"/>
      <c r="C23" s="657"/>
      <c r="D23" s="657"/>
      <c r="E23" s="657"/>
      <c r="F23" s="657"/>
      <c r="G23" s="657"/>
      <c r="H23" s="678"/>
      <c r="I23" s="678"/>
      <c r="J23" s="678"/>
    </row>
    <row r="24" spans="1:10" x14ac:dyDescent="0.25">
      <c r="A24" s="657"/>
      <c r="B24" s="658" t="s">
        <v>911</v>
      </c>
      <c r="C24" s="657"/>
      <c r="D24" s="669"/>
      <c r="E24" s="685">
        <f>G22</f>
        <v>7.5126415558572038E-2</v>
      </c>
      <c r="F24" s="686"/>
      <c r="G24" s="657"/>
      <c r="H24" s="678"/>
      <c r="I24" s="678"/>
      <c r="J24" s="678"/>
    </row>
    <row r="25" spans="1:10" x14ac:dyDescent="0.25">
      <c r="A25" s="657"/>
      <c r="B25" s="657"/>
      <c r="C25" s="657"/>
      <c r="D25" s="657"/>
      <c r="E25" s="687"/>
      <c r="F25" s="688"/>
      <c r="G25" s="657"/>
      <c r="H25" s="678"/>
      <c r="I25" s="678"/>
      <c r="J25" s="678"/>
    </row>
    <row r="26" spans="1:10" x14ac:dyDescent="0.25">
      <c r="A26" s="663" t="s">
        <v>912</v>
      </c>
      <c r="B26" s="658" t="s">
        <v>913</v>
      </c>
      <c r="C26" s="657"/>
      <c r="D26" s="657"/>
      <c r="E26" s="689">
        <v>1.8225748792528466E-2</v>
      </c>
      <c r="F26" s="690"/>
      <c r="G26" s="657"/>
      <c r="H26" s="678"/>
      <c r="I26" s="678"/>
      <c r="J26" s="678"/>
    </row>
    <row r="27" spans="1:10" x14ac:dyDescent="0.25">
      <c r="A27" s="663"/>
      <c r="B27" s="663"/>
      <c r="C27" s="657"/>
      <c r="D27" s="657"/>
      <c r="E27" s="691"/>
      <c r="F27" s="663"/>
      <c r="G27" s="657"/>
      <c r="H27" s="678"/>
      <c r="I27" s="678"/>
      <c r="J27" s="678"/>
    </row>
    <row r="28" spans="1:10" x14ac:dyDescent="0.25">
      <c r="A28" s="663"/>
      <c r="B28" s="658" t="s">
        <v>914</v>
      </c>
      <c r="C28" s="657"/>
      <c r="D28" s="657"/>
      <c r="E28" s="692">
        <v>5.2999999999999998E-4</v>
      </c>
      <c r="F28" s="693"/>
      <c r="G28" s="694"/>
      <c r="H28" s="657"/>
      <c r="I28" s="657"/>
      <c r="J28" s="657"/>
    </row>
    <row r="29" spans="1:10" x14ac:dyDescent="0.25">
      <c r="A29" s="663"/>
      <c r="B29" s="663"/>
      <c r="C29" s="657"/>
      <c r="D29" s="657"/>
      <c r="E29" s="695"/>
      <c r="F29" s="663"/>
      <c r="G29" s="657"/>
      <c r="H29" s="657"/>
      <c r="I29" s="657"/>
      <c r="J29" s="657"/>
    </row>
    <row r="30" spans="1:10" x14ac:dyDescent="0.25">
      <c r="A30" s="663"/>
      <c r="B30" s="663"/>
      <c r="C30" s="657"/>
      <c r="D30" s="657"/>
      <c r="E30" s="695"/>
      <c r="F30" s="663"/>
      <c r="G30" s="657"/>
      <c r="H30" s="657"/>
      <c r="I30" s="657"/>
      <c r="J30" s="657"/>
    </row>
    <row r="31" spans="1:10" x14ac:dyDescent="0.25">
      <c r="A31" s="663" t="s">
        <v>912</v>
      </c>
      <c r="B31" s="663" t="s">
        <v>915</v>
      </c>
      <c r="C31" s="657"/>
      <c r="D31" s="657"/>
      <c r="E31" s="695"/>
      <c r="F31" s="663"/>
      <c r="G31" s="657"/>
      <c r="H31" s="657"/>
      <c r="I31" s="657"/>
      <c r="J31" s="657"/>
    </row>
    <row r="32" spans="1:10" x14ac:dyDescent="0.25">
      <c r="A32" s="663"/>
      <c r="B32" s="663"/>
      <c r="C32" s="696"/>
      <c r="D32" s="696"/>
      <c r="E32" s="696"/>
      <c r="F32" s="696"/>
      <c r="G32" s="696"/>
      <c r="H32" s="657"/>
      <c r="I32" s="657"/>
      <c r="J32" s="657"/>
    </row>
    <row r="33" spans="1:10" x14ac:dyDescent="0.25">
      <c r="A33" s="663"/>
      <c r="B33" s="663"/>
      <c r="C33" s="697">
        <f>YEAR(E14)</f>
        <v>2015</v>
      </c>
      <c r="D33" s="697">
        <f>+C33+1</f>
        <v>2016</v>
      </c>
      <c r="E33" s="697">
        <f>+D33+1</f>
        <v>2017</v>
      </c>
      <c r="F33" s="697">
        <f>+E33+1</f>
        <v>2018</v>
      </c>
      <c r="G33" s="697">
        <f>+F33+1</f>
        <v>2019</v>
      </c>
      <c r="H33" s="657"/>
      <c r="I33" s="657"/>
      <c r="J33" s="657"/>
    </row>
    <row r="34" spans="1:10" x14ac:dyDescent="0.25">
      <c r="A34" s="663"/>
      <c r="B34" s="698" t="s">
        <v>916</v>
      </c>
      <c r="C34" s="699">
        <v>1.4810034917097965E-2</v>
      </c>
      <c r="D34" s="699">
        <v>1.4810034917097965E-2</v>
      </c>
      <c r="E34" s="700">
        <v>1.4810034917097965E-2</v>
      </c>
      <c r="F34" s="699">
        <v>1.4810034917097965E-2</v>
      </c>
      <c r="G34" s="701">
        <v>1.4810034917097965E-2</v>
      </c>
      <c r="H34" s="657"/>
      <c r="I34" s="657"/>
      <c r="J34" s="657"/>
    </row>
    <row r="35" spans="1:10" x14ac:dyDescent="0.25">
      <c r="A35" s="663"/>
      <c r="B35" s="702" t="s">
        <v>917</v>
      </c>
      <c r="C35" s="703">
        <v>4.8604189310725777E-2</v>
      </c>
      <c r="D35" s="703">
        <v>4.8604189310725777E-2</v>
      </c>
      <c r="E35" s="704">
        <v>4.8604189310725777E-2</v>
      </c>
      <c r="F35" s="703">
        <v>4.8604189310725777E-2</v>
      </c>
      <c r="G35" s="705">
        <v>4.8604189310725777E-2</v>
      </c>
      <c r="H35" s="657"/>
      <c r="I35" s="657"/>
      <c r="J35" s="657"/>
    </row>
    <row r="36" spans="1:10" x14ac:dyDescent="0.25">
      <c r="A36" s="663"/>
      <c r="B36" s="706" t="s">
        <v>247</v>
      </c>
      <c r="C36" s="707">
        <f>C34+C35</f>
        <v>6.3414224227823737E-2</v>
      </c>
      <c r="D36" s="707">
        <f>D34+D35</f>
        <v>6.3414224227823737E-2</v>
      </c>
      <c r="E36" s="707">
        <f>E34+E35</f>
        <v>6.3414224227823737E-2</v>
      </c>
      <c r="F36" s="707">
        <f>F34+F35</f>
        <v>6.3414224227823737E-2</v>
      </c>
      <c r="G36" s="708">
        <f>G34+G35</f>
        <v>6.3414224227823737E-2</v>
      </c>
      <c r="H36" s="657"/>
      <c r="I36" s="657"/>
      <c r="J36" s="657"/>
    </row>
  </sheetData>
  <mergeCells count="2">
    <mergeCell ref="D6:H6"/>
    <mergeCell ref="B8:D8"/>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pageSetUpPr fitToPage="1"/>
  </sheetPr>
  <dimension ref="A1:H27"/>
  <sheetViews>
    <sheetView workbookViewId="0">
      <selection activeCell="A2" sqref="A2"/>
    </sheetView>
  </sheetViews>
  <sheetFormatPr defaultRowHeight="13.2" x14ac:dyDescent="0.25"/>
  <cols>
    <col min="1" max="1" width="21.109375" customWidth="1"/>
    <col min="2" max="2" width="9.88671875" customWidth="1"/>
    <col min="3" max="3" width="10.109375" style="46" customWidth="1"/>
    <col min="6" max="6" width="1.88671875" customWidth="1"/>
    <col min="7" max="7" width="10.6640625" customWidth="1"/>
    <col min="8" max="8" width="9.6640625" customWidth="1"/>
  </cols>
  <sheetData>
    <row r="1" spans="1:8" x14ac:dyDescent="0.25">
      <c r="A1" s="773" t="s">
        <v>1001</v>
      </c>
    </row>
    <row r="2" spans="1:8" x14ac:dyDescent="0.25">
      <c r="A2" s="773" t="s">
        <v>923</v>
      </c>
    </row>
    <row r="4" spans="1:8" x14ac:dyDescent="0.25">
      <c r="A4" s="1" t="s">
        <v>378</v>
      </c>
      <c r="B4" s="1"/>
      <c r="C4" s="91"/>
      <c r="D4" s="1"/>
      <c r="E4" s="1"/>
      <c r="F4" s="1"/>
      <c r="G4" s="1"/>
      <c r="H4" s="1"/>
    </row>
    <row r="5" spans="1:8" x14ac:dyDescent="0.25">
      <c r="A5" s="1" t="s">
        <v>317</v>
      </c>
      <c r="B5" s="1"/>
      <c r="C5" s="91"/>
      <c r="D5" s="1"/>
      <c r="E5" s="1"/>
      <c r="F5" s="1"/>
      <c r="G5" s="1"/>
      <c r="H5" s="1"/>
    </row>
    <row r="6" spans="1:8" x14ac:dyDescent="0.25">
      <c r="A6" s="1" t="s">
        <v>326</v>
      </c>
      <c r="B6" s="1"/>
      <c r="C6" s="91"/>
      <c r="D6" s="1"/>
      <c r="E6" s="1"/>
      <c r="F6" s="1"/>
      <c r="G6" s="1" t="s">
        <v>329</v>
      </c>
      <c r="H6" s="1"/>
    </row>
    <row r="7" spans="1:8" x14ac:dyDescent="0.25">
      <c r="A7" s="1"/>
      <c r="B7" s="1"/>
      <c r="C7" s="91"/>
      <c r="D7" s="1"/>
      <c r="E7" s="1"/>
      <c r="F7" s="1"/>
      <c r="G7" s="1" t="s">
        <v>330</v>
      </c>
      <c r="H7" s="1"/>
    </row>
    <row r="8" spans="1:8" x14ac:dyDescent="0.25">
      <c r="A8" s="73" t="s">
        <v>331</v>
      </c>
      <c r="B8" s="73"/>
      <c r="C8" s="95" t="s">
        <v>331</v>
      </c>
      <c r="D8" s="93"/>
      <c r="E8" s="73" t="s">
        <v>245</v>
      </c>
      <c r="F8" s="73"/>
      <c r="G8" s="73" t="s">
        <v>332</v>
      </c>
      <c r="H8" s="73" t="s">
        <v>247</v>
      </c>
    </row>
    <row r="9" spans="1:8" x14ac:dyDescent="0.25">
      <c r="A9" s="93" t="s">
        <v>248</v>
      </c>
      <c r="B9" s="73"/>
      <c r="C9" s="92" t="s">
        <v>333</v>
      </c>
      <c r="D9" s="93"/>
      <c r="E9" s="93" t="s">
        <v>250</v>
      </c>
      <c r="F9" s="93"/>
      <c r="G9" s="93" t="s">
        <v>334</v>
      </c>
      <c r="H9" s="93" t="s">
        <v>335</v>
      </c>
    </row>
    <row r="10" spans="1:8" x14ac:dyDescent="0.25">
      <c r="A10" s="47"/>
      <c r="B10" s="47"/>
      <c r="C10" s="48"/>
      <c r="D10" s="47"/>
    </row>
    <row r="11" spans="1:8" x14ac:dyDescent="0.25">
      <c r="A11" t="s">
        <v>385</v>
      </c>
      <c r="B11" s="47"/>
      <c r="C11" s="57" t="s">
        <v>386</v>
      </c>
      <c r="E11" s="58">
        <v>0.4</v>
      </c>
      <c r="F11" t="s">
        <v>338</v>
      </c>
      <c r="G11" s="58">
        <v>0.7</v>
      </c>
      <c r="H11" s="58">
        <f t="shared" ref="H11:H20" si="0">+E11*G11</f>
        <v>0.27999999999999997</v>
      </c>
    </row>
    <row r="12" spans="1:8" x14ac:dyDescent="0.25">
      <c r="A12" t="s">
        <v>387</v>
      </c>
      <c r="C12" s="57" t="s">
        <v>388</v>
      </c>
      <c r="E12" s="58">
        <v>0.1</v>
      </c>
      <c r="F12" t="s">
        <v>338</v>
      </c>
      <c r="G12" s="58">
        <v>4</v>
      </c>
      <c r="H12" s="58">
        <f t="shared" si="0"/>
        <v>0.4</v>
      </c>
    </row>
    <row r="13" spans="1:8" x14ac:dyDescent="0.25">
      <c r="A13" t="s">
        <v>389</v>
      </c>
      <c r="C13" s="57" t="s">
        <v>390</v>
      </c>
      <c r="E13" s="58">
        <v>3</v>
      </c>
      <c r="F13" t="s">
        <v>338</v>
      </c>
      <c r="G13" s="58">
        <v>0.3</v>
      </c>
      <c r="H13" s="58">
        <f t="shared" si="0"/>
        <v>0.89999999999999991</v>
      </c>
    </row>
    <row r="14" spans="1:8" x14ac:dyDescent="0.25">
      <c r="A14" t="s">
        <v>391</v>
      </c>
      <c r="B14" s="47"/>
      <c r="C14" s="57" t="s">
        <v>392</v>
      </c>
      <c r="E14" s="58">
        <v>0.1</v>
      </c>
      <c r="F14" t="s">
        <v>338</v>
      </c>
      <c r="G14" s="58">
        <v>6</v>
      </c>
      <c r="H14" s="58">
        <f t="shared" si="0"/>
        <v>0.60000000000000009</v>
      </c>
    </row>
    <row r="15" spans="1:8" x14ac:dyDescent="0.25">
      <c r="A15" t="s">
        <v>319</v>
      </c>
      <c r="B15" s="47"/>
      <c r="C15" s="57" t="s">
        <v>393</v>
      </c>
      <c r="E15" s="58">
        <v>0.1</v>
      </c>
      <c r="F15" t="s">
        <v>338</v>
      </c>
      <c r="G15" s="58">
        <v>1.8</v>
      </c>
      <c r="H15" s="58">
        <f t="shared" si="0"/>
        <v>0.18000000000000002</v>
      </c>
    </row>
    <row r="16" spans="1:8" x14ac:dyDescent="0.25">
      <c r="A16" t="s">
        <v>477</v>
      </c>
      <c r="B16" s="47"/>
      <c r="C16" s="57" t="s">
        <v>478</v>
      </c>
      <c r="E16" s="58">
        <v>3</v>
      </c>
      <c r="F16" t="s">
        <v>338</v>
      </c>
      <c r="G16" s="114">
        <v>5.4</v>
      </c>
      <c r="H16" s="58">
        <f t="shared" si="0"/>
        <v>16.200000000000003</v>
      </c>
    </row>
    <row r="17" spans="1:8" x14ac:dyDescent="0.25">
      <c r="A17" t="s">
        <v>394</v>
      </c>
      <c r="B17" s="47"/>
      <c r="C17" s="57" t="s">
        <v>395</v>
      </c>
      <c r="E17" s="58">
        <v>0.2</v>
      </c>
      <c r="F17" t="s">
        <v>338</v>
      </c>
      <c r="G17" s="58">
        <v>3.5</v>
      </c>
      <c r="H17" s="58">
        <f t="shared" si="0"/>
        <v>0.70000000000000007</v>
      </c>
    </row>
    <row r="18" spans="1:8" x14ac:dyDescent="0.25">
      <c r="A18" t="s">
        <v>479</v>
      </c>
      <c r="B18" s="47"/>
      <c r="C18" s="57" t="s">
        <v>480</v>
      </c>
      <c r="E18" s="58">
        <v>1</v>
      </c>
      <c r="F18" t="s">
        <v>338</v>
      </c>
      <c r="G18" s="114">
        <v>8.3000000000000007</v>
      </c>
      <c r="H18" s="58">
        <f t="shared" si="0"/>
        <v>8.3000000000000007</v>
      </c>
    </row>
    <row r="19" spans="1:8" x14ac:dyDescent="0.25">
      <c r="A19" t="s">
        <v>481</v>
      </c>
      <c r="B19" s="47"/>
      <c r="C19" s="57" t="s">
        <v>482</v>
      </c>
      <c r="E19" s="58">
        <v>1</v>
      </c>
      <c r="F19" t="s">
        <v>338</v>
      </c>
      <c r="G19" s="114">
        <v>1.9</v>
      </c>
      <c r="H19" s="58">
        <f t="shared" si="0"/>
        <v>1.9</v>
      </c>
    </row>
    <row r="20" spans="1:8" x14ac:dyDescent="0.25">
      <c r="A20" t="s">
        <v>483</v>
      </c>
      <c r="B20" s="47"/>
      <c r="C20" s="57" t="s">
        <v>484</v>
      </c>
      <c r="E20" s="58">
        <v>1</v>
      </c>
      <c r="F20" t="s">
        <v>338</v>
      </c>
      <c r="G20" s="114">
        <v>1.4</v>
      </c>
      <c r="H20" s="58">
        <f t="shared" si="0"/>
        <v>1.4</v>
      </c>
    </row>
    <row r="21" spans="1:8" x14ac:dyDescent="0.25">
      <c r="C21"/>
      <c r="H21" s="58"/>
    </row>
    <row r="22" spans="1:8" x14ac:dyDescent="0.25">
      <c r="G22" s="3"/>
      <c r="H22" s="59">
        <f>SUM(H11:H21)</f>
        <v>30.86</v>
      </c>
    </row>
    <row r="23" spans="1:8" x14ac:dyDescent="0.25">
      <c r="H23" s="52"/>
    </row>
    <row r="24" spans="1:8" ht="21" x14ac:dyDescent="0.4">
      <c r="B24" s="1" t="s">
        <v>247</v>
      </c>
      <c r="C24" s="53"/>
      <c r="D24" s="12" t="s">
        <v>343</v>
      </c>
      <c r="E24" s="1"/>
      <c r="F24" s="1"/>
      <c r="G24" s="55" t="s">
        <v>269</v>
      </c>
      <c r="H24" s="1" t="s">
        <v>247</v>
      </c>
    </row>
    <row r="25" spans="1:8" x14ac:dyDescent="0.25">
      <c r="B25" s="32" t="s">
        <v>335</v>
      </c>
      <c r="C25" s="56" t="s">
        <v>338</v>
      </c>
      <c r="D25" s="32" t="s">
        <v>344</v>
      </c>
      <c r="E25" s="1"/>
      <c r="F25" s="1"/>
      <c r="G25" s="1"/>
      <c r="H25" s="32" t="s">
        <v>272</v>
      </c>
    </row>
    <row r="26" spans="1:8" x14ac:dyDescent="0.25">
      <c r="B26" s="58">
        <f>+H22</f>
        <v>30.86</v>
      </c>
      <c r="C26" s="3"/>
      <c r="D26" s="3">
        <f>+'Data Entry'!E17</f>
        <v>111</v>
      </c>
      <c r="H26" s="60">
        <f>+B26*+D26</f>
        <v>3425.46</v>
      </c>
    </row>
    <row r="27" spans="1:8" x14ac:dyDescent="0.25">
      <c r="C27"/>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G36"/>
  <sheetViews>
    <sheetView workbookViewId="0">
      <selection activeCell="A2" sqref="A2"/>
    </sheetView>
  </sheetViews>
  <sheetFormatPr defaultRowHeight="13.2" x14ac:dyDescent="0.25"/>
  <cols>
    <col min="1" max="1" width="21.109375" customWidth="1"/>
    <col min="2" max="2" width="9.6640625" customWidth="1"/>
    <col min="3" max="3" width="14.6640625" style="46" customWidth="1"/>
    <col min="5" max="6" width="8.44140625" customWidth="1"/>
    <col min="7" max="7" width="9.6640625" customWidth="1"/>
  </cols>
  <sheetData>
    <row r="1" spans="1:7" x14ac:dyDescent="0.25">
      <c r="A1" s="773" t="s">
        <v>1002</v>
      </c>
    </row>
    <row r="2" spans="1:7" x14ac:dyDescent="0.25">
      <c r="A2" s="773" t="s">
        <v>923</v>
      </c>
    </row>
    <row r="4" spans="1:7" x14ac:dyDescent="0.25">
      <c r="A4" s="1" t="s">
        <v>313</v>
      </c>
      <c r="B4" s="1"/>
      <c r="C4" s="91"/>
      <c r="D4" s="1"/>
      <c r="E4" s="1"/>
      <c r="F4" s="1"/>
      <c r="G4" s="1"/>
    </row>
    <row r="5" spans="1:7" x14ac:dyDescent="0.25">
      <c r="A5" s="1" t="s">
        <v>317</v>
      </c>
      <c r="B5" s="1"/>
      <c r="C5" s="91"/>
      <c r="D5" s="1"/>
      <c r="E5" s="1"/>
      <c r="F5" s="1"/>
      <c r="G5" s="1"/>
    </row>
    <row r="6" spans="1:7" x14ac:dyDescent="0.25">
      <c r="A6" s="1" t="s">
        <v>318</v>
      </c>
      <c r="B6" s="1"/>
      <c r="C6" s="91"/>
      <c r="D6" s="1"/>
      <c r="E6" s="1"/>
      <c r="F6" s="1"/>
      <c r="G6" s="1"/>
    </row>
    <row r="7" spans="1:7" x14ac:dyDescent="0.25">
      <c r="A7" s="1"/>
      <c r="B7" s="1"/>
      <c r="C7" s="91"/>
      <c r="D7" s="1"/>
      <c r="E7" s="1"/>
      <c r="F7" s="1"/>
      <c r="G7" s="1"/>
    </row>
    <row r="8" spans="1:7" x14ac:dyDescent="0.25">
      <c r="A8" s="73" t="s">
        <v>244</v>
      </c>
      <c r="B8" s="73"/>
      <c r="C8" s="92"/>
      <c r="D8" s="93"/>
      <c r="E8" s="73" t="s">
        <v>245</v>
      </c>
      <c r="F8" s="73" t="s">
        <v>246</v>
      </c>
      <c r="G8" s="73" t="s">
        <v>247</v>
      </c>
    </row>
    <row r="9" spans="1:7" x14ac:dyDescent="0.25">
      <c r="A9" s="93" t="s">
        <v>248</v>
      </c>
      <c r="B9" s="73"/>
      <c r="C9" s="92" t="s">
        <v>249</v>
      </c>
      <c r="D9" s="93"/>
      <c r="E9" s="93" t="s">
        <v>250</v>
      </c>
      <c r="F9" s="93" t="s">
        <v>251</v>
      </c>
      <c r="G9" s="93" t="s">
        <v>252</v>
      </c>
    </row>
    <row r="10" spans="1:7" x14ac:dyDescent="0.25">
      <c r="A10" s="47"/>
      <c r="B10" s="47"/>
      <c r="C10" s="48"/>
      <c r="D10" s="47"/>
    </row>
    <row r="11" spans="1:7" x14ac:dyDescent="0.25">
      <c r="A11" t="s">
        <v>397</v>
      </c>
      <c r="C11" s="62" t="s">
        <v>398</v>
      </c>
      <c r="E11">
        <v>300</v>
      </c>
      <c r="F11" s="3">
        <v>0.59</v>
      </c>
      <c r="G11" s="3">
        <f>+E11*F11</f>
        <v>177</v>
      </c>
    </row>
    <row r="12" spans="1:7" x14ac:dyDescent="0.25">
      <c r="F12" s="3"/>
      <c r="G12" s="51"/>
    </row>
    <row r="13" spans="1:7" x14ac:dyDescent="0.25">
      <c r="G13" s="52">
        <f>SUM(G11:G11)</f>
        <v>177</v>
      </c>
    </row>
    <row r="15" spans="1:7" ht="21" x14ac:dyDescent="0.4">
      <c r="B15" s="1" t="s">
        <v>266</v>
      </c>
      <c r="C15" s="53" t="s">
        <v>267</v>
      </c>
      <c r="D15" s="54" t="s">
        <v>399</v>
      </c>
      <c r="E15" s="1"/>
      <c r="F15" s="55" t="s">
        <v>269</v>
      </c>
      <c r="G15" s="1" t="s">
        <v>247</v>
      </c>
    </row>
    <row r="16" spans="1:7" x14ac:dyDescent="0.25">
      <c r="B16" s="32" t="s">
        <v>252</v>
      </c>
      <c r="C16" s="71" t="s">
        <v>270</v>
      </c>
      <c r="D16" s="50"/>
      <c r="E16" s="1"/>
      <c r="F16" s="1"/>
      <c r="G16" s="32" t="s">
        <v>272</v>
      </c>
    </row>
    <row r="17" spans="1:7" x14ac:dyDescent="0.25">
      <c r="B17" s="3">
        <f>+G13</f>
        <v>177</v>
      </c>
      <c r="C17" s="3">
        <f>+B17*(+'Data Entry'!C21)</f>
        <v>10.62</v>
      </c>
      <c r="D17" s="3">
        <f>+B17*(+'Data Entry'!C16)</f>
        <v>10.5138</v>
      </c>
      <c r="G17" s="3">
        <f>SUM(B17:F17)</f>
        <v>198.13380000000001</v>
      </c>
    </row>
    <row r="18" spans="1:7" x14ac:dyDescent="0.25">
      <c r="C18"/>
    </row>
    <row r="21" spans="1:7" x14ac:dyDescent="0.25">
      <c r="A21" s="1"/>
      <c r="B21" s="1"/>
      <c r="C21" s="91"/>
      <c r="D21" s="1"/>
      <c r="E21" s="1"/>
      <c r="F21" s="1"/>
      <c r="G21" s="1"/>
    </row>
    <row r="22" spans="1:7" x14ac:dyDescent="0.25">
      <c r="A22" s="1"/>
      <c r="B22" s="1"/>
      <c r="C22" s="91"/>
      <c r="D22" s="1"/>
      <c r="E22" s="1"/>
      <c r="F22" s="1"/>
      <c r="G22" s="1"/>
    </row>
    <row r="23" spans="1:7" x14ac:dyDescent="0.25">
      <c r="A23" s="1"/>
      <c r="B23" s="1"/>
      <c r="C23" s="91"/>
      <c r="D23" s="1"/>
      <c r="E23" s="1"/>
      <c r="F23" s="1"/>
      <c r="G23" s="1"/>
    </row>
    <row r="24" spans="1:7" x14ac:dyDescent="0.25">
      <c r="A24" s="1"/>
      <c r="B24" s="1"/>
      <c r="C24" s="91"/>
      <c r="D24" s="1"/>
      <c r="E24" s="1"/>
      <c r="F24" s="1"/>
      <c r="G24" s="1"/>
    </row>
    <row r="25" spans="1:7" x14ac:dyDescent="0.25">
      <c r="A25" s="73"/>
      <c r="B25" s="73"/>
      <c r="C25" s="92"/>
      <c r="D25" s="93"/>
      <c r="E25" s="73"/>
      <c r="F25" s="73"/>
      <c r="G25" s="73"/>
    </row>
    <row r="26" spans="1:7" x14ac:dyDescent="0.25">
      <c r="A26" s="93"/>
      <c r="B26" s="73"/>
      <c r="C26" s="92"/>
      <c r="D26" s="93"/>
      <c r="E26" s="93"/>
      <c r="F26" s="93"/>
      <c r="G26" s="93"/>
    </row>
    <row r="27" spans="1:7" x14ac:dyDescent="0.25">
      <c r="A27" s="47"/>
      <c r="B27" s="47"/>
      <c r="C27" s="48"/>
      <c r="D27" s="47"/>
    </row>
    <row r="28" spans="1:7" x14ac:dyDescent="0.25">
      <c r="C28" s="62"/>
      <c r="F28" s="3"/>
      <c r="G28" s="3"/>
    </row>
    <row r="29" spans="1:7" x14ac:dyDescent="0.25">
      <c r="C29"/>
    </row>
    <row r="30" spans="1:7" x14ac:dyDescent="0.25">
      <c r="F30" s="3"/>
      <c r="G30" s="51"/>
    </row>
    <row r="31" spans="1:7" x14ac:dyDescent="0.25">
      <c r="G31" s="52"/>
    </row>
    <row r="33" spans="2:7" ht="21" x14ac:dyDescent="0.4">
      <c r="B33" s="1"/>
      <c r="C33" s="53"/>
      <c r="D33" s="54"/>
      <c r="E33" s="1"/>
      <c r="F33" s="55"/>
      <c r="G33" s="1"/>
    </row>
    <row r="34" spans="2:7" x14ac:dyDescent="0.25">
      <c r="B34" s="32"/>
      <c r="C34" s="71"/>
      <c r="D34" s="50"/>
      <c r="E34" s="1"/>
      <c r="F34" s="1"/>
      <c r="G34" s="32"/>
    </row>
    <row r="35" spans="2:7" x14ac:dyDescent="0.25">
      <c r="B35" s="3"/>
      <c r="C35" s="3"/>
      <c r="D35" s="3"/>
      <c r="G35" s="3"/>
    </row>
    <row r="36" spans="2:7" x14ac:dyDescent="0.25">
      <c r="C36"/>
    </row>
  </sheetData>
  <phoneticPr fontId="28" type="noConversion"/>
  <pageMargins left="0.75" right="0.25" top="0.25" bottom="0.25" header="0.5" footer="0.22"/>
  <pageSetup orientation="portrait" horizontalDpi="300" verticalDpi="300" r:id="rId1"/>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workbookViewId="0">
      <selection sqref="A1:A2"/>
    </sheetView>
  </sheetViews>
  <sheetFormatPr defaultRowHeight="13.2" x14ac:dyDescent="0.25"/>
  <cols>
    <col min="9" max="9" width="28.88671875" customWidth="1"/>
  </cols>
  <sheetData>
    <row r="1" spans="1:9" x14ac:dyDescent="0.25">
      <c r="A1" s="773" t="s">
        <v>931</v>
      </c>
    </row>
    <row r="2" spans="1:9" x14ac:dyDescent="0.25">
      <c r="A2" s="773" t="s">
        <v>923</v>
      </c>
    </row>
    <row r="4" spans="1:9" ht="303.75" customHeight="1" x14ac:dyDescent="1">
      <c r="A4" s="763" t="s">
        <v>797</v>
      </c>
      <c r="B4" s="763"/>
      <c r="C4" s="763"/>
      <c r="D4" s="763"/>
      <c r="E4" s="763"/>
      <c r="F4" s="763"/>
      <c r="G4" s="763"/>
      <c r="H4" s="763"/>
      <c r="I4" s="763"/>
    </row>
    <row r="5" spans="1:9" ht="80.099999999999994" customHeight="1" x14ac:dyDescent="1">
      <c r="A5" s="764" t="s">
        <v>433</v>
      </c>
      <c r="B5" s="764"/>
      <c r="C5" s="764"/>
      <c r="D5" s="764"/>
      <c r="E5" s="764"/>
      <c r="F5" s="764"/>
      <c r="G5" s="764"/>
      <c r="H5" s="764"/>
      <c r="I5" s="764"/>
    </row>
    <row r="6" spans="1:9" ht="23.25" customHeight="1" x14ac:dyDescent="0.25"/>
    <row r="7" spans="1:9" ht="24" customHeight="1" x14ac:dyDescent="0.5">
      <c r="A7" s="762"/>
      <c r="B7" s="762"/>
      <c r="C7" s="762"/>
      <c r="D7" s="762"/>
      <c r="E7" s="762"/>
      <c r="F7" s="762"/>
      <c r="G7" s="762"/>
      <c r="H7" s="762"/>
      <c r="I7" s="762"/>
    </row>
    <row r="9" spans="1:9" ht="28.2" x14ac:dyDescent="0.5">
      <c r="A9" s="762"/>
      <c r="B9" s="762"/>
      <c r="C9" s="762"/>
      <c r="D9" s="762"/>
      <c r="E9" s="762"/>
      <c r="F9" s="762"/>
      <c r="G9" s="762"/>
      <c r="H9" s="762"/>
      <c r="I9" s="762"/>
    </row>
  </sheetData>
  <mergeCells count="4">
    <mergeCell ref="A9:I9"/>
    <mergeCell ref="A4:I4"/>
    <mergeCell ref="A5:I5"/>
    <mergeCell ref="A7:I7"/>
  </mergeCells>
  <phoneticPr fontId="28" type="noConversion"/>
  <pageMargins left="0.17" right="0.16"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4A81384F0AC4446BCFA4541262B40A3" ma:contentTypeVersion="" ma:contentTypeDescription="Create a new document." ma:contentTypeScope="" ma:versionID="7858f3f591b3ecf1ab3064870dd50f80">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E52F7B-CDA5-440C-B2CF-13BF0DBB7E36}">
  <ds:schemaRefs>
    <ds:schemaRef ds:uri="http://schemas.microsoft.com/sharepoint/v3/contenttype/forms"/>
  </ds:schemaRefs>
</ds:datastoreItem>
</file>

<file path=customXml/itemProps2.xml><?xml version="1.0" encoding="utf-8"?>
<ds:datastoreItem xmlns:ds="http://schemas.openxmlformats.org/officeDocument/2006/customXml" ds:itemID="{31D7803B-F97D-4838-808E-FF08C58B7D23}">
  <ds:schemaRefs>
    <ds:schemaRef ds:uri="http://schemas.microsoft.com/office/2006/metadata/properties"/>
    <ds:schemaRef ds:uri="http://schemas.microsoft.com/office/infopath/2007/PartnerControls"/>
    <ds:schemaRef ds:uri="c85253b9-0a55-49a1-98ad-b5b6252d7079"/>
  </ds:schemaRefs>
</ds:datastoreItem>
</file>

<file path=customXml/itemProps3.xml><?xml version="1.0" encoding="utf-8"?>
<ds:datastoreItem xmlns:ds="http://schemas.openxmlformats.org/officeDocument/2006/customXml" ds:itemID="{BF19CE34-81F4-470B-A903-CA7E276690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81</vt:i4>
      </vt:variant>
      <vt:variant>
        <vt:lpstr>Named Ranges</vt:lpstr>
      </vt:variant>
      <vt:variant>
        <vt:i4>6</vt:i4>
      </vt:variant>
    </vt:vector>
  </HeadingPairs>
  <TitlesOfParts>
    <vt:vector size="87" baseType="lpstr">
      <vt:lpstr>SL-1 CoS</vt:lpstr>
      <vt:lpstr>OL-1 CoS</vt:lpstr>
      <vt:lpstr>Assumptions and definitions</vt:lpstr>
      <vt:lpstr>Data Entry</vt:lpstr>
      <vt:lpstr>Rates</vt:lpstr>
      <vt:lpstr>CARRYING_CHARGE</vt:lpstr>
      <vt:lpstr>Maint Factor Summary </vt:lpstr>
      <vt:lpstr>From EDM</vt:lpstr>
      <vt:lpstr>TITLE</vt:lpstr>
      <vt:lpstr>binder</vt:lpstr>
      <vt:lpstr>MatCost</vt:lpstr>
      <vt:lpstr>70wOH5</vt:lpstr>
      <vt:lpstr>70wUG6</vt:lpstr>
      <vt:lpstr>70wDS7</vt:lpstr>
      <vt:lpstr>100wOH8</vt:lpstr>
      <vt:lpstr>100wUG9</vt:lpstr>
      <vt:lpstr>150wOH10</vt:lpstr>
      <vt:lpstr>150wUG11</vt:lpstr>
      <vt:lpstr>xxx150wUG_old12</vt:lpstr>
      <vt:lpstr>200wOH13</vt:lpstr>
      <vt:lpstr>250wOH14</vt:lpstr>
      <vt:lpstr>400wOH15</vt:lpstr>
      <vt:lpstr>1000wOH16</vt:lpstr>
      <vt:lpstr>17</vt:lpstr>
      <vt:lpstr>18</vt:lpstr>
      <vt:lpstr>19</vt:lpstr>
      <vt:lpstr>202wIncd20</vt:lpstr>
      <vt:lpstr>WoodPoles 23</vt:lpstr>
      <vt:lpstr>ConcPoles UG 24</vt:lpstr>
      <vt:lpstr>ConcPoles OH 24</vt:lpstr>
      <vt:lpstr>ConcPoles UG 225</vt:lpstr>
      <vt:lpstr>FGpoles</vt:lpstr>
      <vt:lpstr>UG_Guy26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400DS</vt:lpstr>
      <vt:lpstr>49</vt:lpstr>
      <vt:lpstr>30_6</vt:lpstr>
      <vt:lpstr>35_5</vt:lpstr>
      <vt:lpstr>40_5</vt:lpstr>
      <vt:lpstr>45_4</vt:lpstr>
      <vt:lpstr>50_2</vt:lpstr>
      <vt:lpstr>30SU</vt:lpstr>
      <vt:lpstr>4-IIIA</vt:lpstr>
      <vt:lpstr>45IIIA</vt:lpstr>
      <vt:lpstr>20'O</vt:lpstr>
      <vt:lpstr>59</vt:lpstr>
      <vt:lpstr>60</vt:lpstr>
      <vt:lpstr>M35SU</vt:lpstr>
      <vt:lpstr>M40IIIA</vt:lpstr>
      <vt:lpstr>M45IIIA</vt:lpstr>
      <vt:lpstr>M50IIIA</vt:lpstr>
      <vt:lpstr>MatlSum65</vt:lpstr>
      <vt:lpstr>66</vt:lpstr>
      <vt:lpstr>67</vt:lpstr>
      <vt:lpstr>30_40L 68</vt:lpstr>
      <vt:lpstr>69</vt:lpstr>
      <vt:lpstr>70</vt:lpstr>
      <vt:lpstr>71</vt:lpstr>
      <vt:lpstr>OH_UG Labor 72</vt:lpstr>
      <vt:lpstr>UG Labor 73</vt:lpstr>
      <vt:lpstr>74</vt:lpstr>
      <vt:lpstr>'70wOH5'!Print_Area</vt:lpstr>
      <vt:lpstr>'Assumptions and definitions'!Print_Area</vt:lpstr>
      <vt:lpstr>CARRYING_CHARGE!Print_Area</vt:lpstr>
      <vt:lpstr>'Data Entry'!Print_Area</vt:lpstr>
      <vt:lpstr>'Maint Factor Summary '!Print_Area</vt:lpstr>
      <vt:lpstr>'Data Entry'!Print_Titles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SL-1 and OL-1 2004 Cost of Service</dc:title>
  <dc:creator>Scott Stephens</dc:creator>
  <cp:lastModifiedBy>FPL_User</cp:lastModifiedBy>
  <cp:lastPrinted>2012-01-26T22:28:41Z</cp:lastPrinted>
  <dcterms:created xsi:type="dcterms:W3CDTF">1999-02-01T18:02:14Z</dcterms:created>
  <dcterms:modified xsi:type="dcterms:W3CDTF">2016-04-18T11:11:17Z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0x01010074A81384F0AC4446BCFA4541262B40A3</vt:lpwstr>
  </property>
</Properties>
</file>