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48" windowWidth="19416" windowHeight="7380" tabRatio="842"/>
  </bookViews>
  <sheets>
    <sheet name="Exhibit KO-9 GAS - Page 1" sheetId="10" r:id="rId1"/>
    <sheet name="KO-9 GS NOI - Page 2" sheetId="3" r:id="rId2"/>
    <sheet name="Exhibit KO-9 CBAY - Page 3" sheetId="6" r:id="rId3"/>
    <sheet name="Gas rsv - 13-mo avg calc" sheetId="8" r:id="rId4"/>
    <sheet name="CB - 13 mo avg" sheetId="11" r:id="rId5"/>
    <sheet name="Details for NOI" sheetId="12" r:id="rId6"/>
  </sheets>
  <definedNames>
    <definedName name="_xlnm._FilterDatabase" localSheetId="4" hidden="1">'CB - 13 mo avg'!#REF!</definedName>
    <definedName name="_xlnm._FilterDatabase" localSheetId="2" hidden="1">'Exhibit KO-9 CBAY - Page 3'!#REF!</definedName>
    <definedName name="_xlnm.Print_Area" localSheetId="4">'CB - 13 mo avg'!$A$1:$Q$86</definedName>
    <definedName name="_xlnm.Print_Area" localSheetId="5">'Details for NOI'!$A$2:$I$69</definedName>
    <definedName name="_xlnm.Print_Area" localSheetId="2">'Exhibit KO-9 CBAY - Page 3'!$A$3:$H$46</definedName>
    <definedName name="_xlnm.Print_Area" localSheetId="0">'Exhibit KO-9 GAS - Page 1'!$A$3:$J$44</definedName>
    <definedName name="_xlnm.Print_Area" localSheetId="3">'Gas rsv - 13-mo avg calc'!$A$3:$P$85</definedName>
    <definedName name="_xlnm.Print_Area" localSheetId="1">'KO-9 GS NOI - Page 2'!$A$3:$H$64</definedName>
    <definedName name="_xlnm.Print_Titles" localSheetId="4">'CB - 13 mo avg'!$B:$P</definedName>
    <definedName name="_xlnm.Print_Titles" localSheetId="5">'Details for NOI'!$3:$4</definedName>
    <definedName name="_xlnm.Print_Titles" localSheetId="2">'Exhibit KO-9 CBAY - Page 3'!$B:$D</definedName>
    <definedName name="_xlnm.Print_Titles" localSheetId="1">'KO-9 GS NOI - Page 2'!$B:$B,'KO-9 GS NOI - Page 2'!$8:$8</definedName>
  </definedNames>
  <calcPr calcId="145621"/>
</workbook>
</file>

<file path=xl/calcChain.xml><?xml version="1.0" encoding="utf-8"?>
<calcChain xmlns="http://schemas.openxmlformats.org/spreadsheetml/2006/main">
  <c r="A52" i="3" l="1"/>
  <c r="A53" i="3" s="1"/>
  <c r="A54" i="3" s="1"/>
  <c r="A55" i="3" s="1"/>
  <c r="A43" i="6" l="1"/>
  <c r="A44" i="6"/>
  <c r="A45" i="6"/>
  <c r="A46" i="6" s="1"/>
  <c r="A34" i="6" l="1"/>
  <c r="A35" i="6"/>
  <c r="A36" i="6" s="1"/>
  <c r="A37" i="6" s="1"/>
  <c r="A38" i="6" s="1"/>
  <c r="A24" i="6"/>
  <c r="A25" i="6"/>
  <c r="A26" i="6"/>
  <c r="A27" i="6"/>
  <c r="A28" i="6" s="1"/>
  <c r="A29" i="6" s="1"/>
  <c r="A30" i="6" s="1"/>
  <c r="A31" i="6" s="1"/>
  <c r="A32" i="6" s="1"/>
  <c r="A33" i="6" s="1"/>
  <c r="F31" i="6"/>
  <c r="F32" i="6" s="1"/>
  <c r="D31" i="6"/>
  <c r="D32" i="6" s="1"/>
  <c r="F27" i="6"/>
  <c r="F28" i="6" s="1"/>
  <c r="D27" i="6"/>
  <c r="D28" i="6" s="1"/>
  <c r="D33" i="6" l="1"/>
  <c r="D35" i="6" s="1"/>
  <c r="F33" i="6"/>
  <c r="F35" i="6" s="1"/>
  <c r="E60" i="12" l="1"/>
  <c r="C60" i="12"/>
  <c r="E59" i="12"/>
  <c r="C59" i="12"/>
  <c r="E58" i="12"/>
  <c r="E61" i="12" s="1"/>
  <c r="C58" i="12"/>
  <c r="E57" i="12"/>
  <c r="C57" i="12"/>
  <c r="E52" i="12"/>
  <c r="C52" i="12"/>
  <c r="E51" i="12"/>
  <c r="E53" i="12" s="1"/>
  <c r="C51" i="12"/>
  <c r="C53" i="12" s="1"/>
  <c r="C47" i="12"/>
  <c r="C48" i="12" s="1"/>
  <c r="E42" i="12"/>
  <c r="C42" i="12"/>
  <c r="E41" i="12"/>
  <c r="C41" i="12"/>
  <c r="E40" i="12"/>
  <c r="C40" i="12"/>
  <c r="E39" i="12"/>
  <c r="C39" i="12"/>
  <c r="E38" i="12"/>
  <c r="C38" i="12"/>
  <c r="E37" i="12"/>
  <c r="C37" i="12"/>
  <c r="E36" i="12"/>
  <c r="C36" i="12"/>
  <c r="A36" i="12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E35" i="12"/>
  <c r="C35" i="12"/>
  <c r="C43" i="12" s="1"/>
  <c r="A35" i="12"/>
  <c r="E31" i="12"/>
  <c r="C31" i="12"/>
  <c r="E30" i="12"/>
  <c r="C30" i="12"/>
  <c r="E29" i="12"/>
  <c r="E32" i="12" s="1"/>
  <c r="C29" i="12"/>
  <c r="E25" i="12"/>
  <c r="C25" i="12"/>
  <c r="E24" i="12"/>
  <c r="E26" i="12" s="1"/>
  <c r="C24" i="12"/>
  <c r="C26" i="12" s="1"/>
  <c r="E20" i="12"/>
  <c r="C20" i="12"/>
  <c r="E19" i="12"/>
  <c r="C19" i="12"/>
  <c r="E18" i="12"/>
  <c r="C18" i="12"/>
  <c r="E17" i="12"/>
  <c r="C17" i="12"/>
  <c r="E16" i="12"/>
  <c r="C16" i="12"/>
  <c r="E15" i="12"/>
  <c r="C15" i="12"/>
  <c r="E11" i="12"/>
  <c r="C11" i="12"/>
  <c r="E10" i="12"/>
  <c r="C10" i="12"/>
  <c r="E9" i="12"/>
  <c r="C9" i="12"/>
  <c r="E8" i="12"/>
  <c r="C8" i="12"/>
  <c r="E7" i="12"/>
  <c r="C7" i="12"/>
  <c r="A7" i="12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E6" i="12"/>
  <c r="C6" i="12"/>
  <c r="A6" i="12"/>
  <c r="C12" i="12" l="1"/>
  <c r="E21" i="12"/>
  <c r="C61" i="12"/>
  <c r="E12" i="12"/>
  <c r="C32" i="12"/>
  <c r="C55" i="12" s="1"/>
  <c r="C63" i="12" s="1"/>
  <c r="E43" i="12"/>
  <c r="C21" i="12"/>
  <c r="E55" i="12"/>
  <c r="E63" i="12" s="1"/>
  <c r="A41" i="10"/>
  <c r="A42" i="10"/>
  <c r="A43" i="10" s="1"/>
  <c r="A44" i="10" s="1"/>
  <c r="A11" i="6" l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39" i="6" s="1"/>
  <c r="P48" i="11"/>
  <c r="O46" i="11"/>
  <c r="N46" i="11"/>
  <c r="M46" i="11"/>
  <c r="L46" i="11"/>
  <c r="K46" i="11"/>
  <c r="J46" i="11"/>
  <c r="I46" i="11"/>
  <c r="H46" i="11"/>
  <c r="G46" i="11"/>
  <c r="F46" i="11"/>
  <c r="E46" i="11"/>
  <c r="D46" i="11"/>
  <c r="O41" i="11"/>
  <c r="N41" i="11"/>
  <c r="M41" i="11"/>
  <c r="L41" i="11"/>
  <c r="K41" i="11"/>
  <c r="J41" i="11"/>
  <c r="I41" i="11"/>
  <c r="H41" i="11"/>
  <c r="G41" i="11"/>
  <c r="F41" i="11"/>
  <c r="E41" i="11"/>
  <c r="D41" i="11"/>
  <c r="O37" i="11"/>
  <c r="N37" i="11"/>
  <c r="M37" i="11"/>
  <c r="L37" i="11"/>
  <c r="K37" i="11"/>
  <c r="J37" i="11"/>
  <c r="I37" i="11"/>
  <c r="H37" i="11"/>
  <c r="G37" i="11"/>
  <c r="F37" i="11"/>
  <c r="E37" i="11"/>
  <c r="D37" i="11"/>
  <c r="D29" i="11"/>
  <c r="C29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4" i="11"/>
  <c r="D24" i="11" s="1"/>
  <c r="O23" i="11"/>
  <c r="N23" i="11"/>
  <c r="M23" i="11"/>
  <c r="L23" i="11"/>
  <c r="K23" i="11"/>
  <c r="J23" i="11"/>
  <c r="I23" i="11"/>
  <c r="H23" i="11"/>
  <c r="G23" i="11"/>
  <c r="F23" i="11"/>
  <c r="E23" i="11"/>
  <c r="D23" i="11"/>
  <c r="D22" i="11"/>
  <c r="D19" i="11"/>
  <c r="C19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D17" i="11"/>
  <c r="C14" i="11"/>
  <c r="D13" i="11" s="1"/>
  <c r="C10" i="11"/>
  <c r="A10" i="1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9" i="11"/>
  <c r="F26" i="10"/>
  <c r="D33" i="10"/>
  <c r="D26" i="10"/>
  <c r="D23" i="10"/>
  <c r="A12" i="10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6" l="1"/>
  <c r="A42" i="6" s="1"/>
  <c r="E24" i="11"/>
  <c r="F24" i="11" s="1"/>
  <c r="G24" i="11" s="1"/>
  <c r="H24" i="11" s="1"/>
  <c r="I24" i="11" s="1"/>
  <c r="J24" i="11" s="1"/>
  <c r="K24" i="11" s="1"/>
  <c r="L24" i="11" s="1"/>
  <c r="M24" i="11" s="1"/>
  <c r="N24" i="11" s="1"/>
  <c r="O24" i="11" s="1"/>
  <c r="C42" i="11" s="1"/>
  <c r="D9" i="11"/>
  <c r="D10" i="11"/>
  <c r="E10" i="11" s="1"/>
  <c r="F10" i="11" s="1"/>
  <c r="G10" i="11" s="1"/>
  <c r="H10" i="11" s="1"/>
  <c r="I10" i="11" s="1"/>
  <c r="J10" i="11" s="1"/>
  <c r="K10" i="11" s="1"/>
  <c r="L10" i="11" s="1"/>
  <c r="M10" i="11" s="1"/>
  <c r="N10" i="11" s="1"/>
  <c r="O10" i="11" s="1"/>
  <c r="E19" i="11"/>
  <c r="F19" i="11" s="1"/>
  <c r="G19" i="11" s="1"/>
  <c r="H19" i="11" s="1"/>
  <c r="I19" i="11" s="1"/>
  <c r="J19" i="11" s="1"/>
  <c r="K19" i="11" s="1"/>
  <c r="L19" i="11" s="1"/>
  <c r="M19" i="11" s="1"/>
  <c r="N19" i="11" s="1"/>
  <c r="O19" i="11" s="1"/>
  <c r="C38" i="11" s="1"/>
  <c r="E29" i="11"/>
  <c r="F29" i="11" s="1"/>
  <c r="G29" i="11" s="1"/>
  <c r="H29" i="11" s="1"/>
  <c r="I29" i="11" s="1"/>
  <c r="J29" i="11" s="1"/>
  <c r="K29" i="11" s="1"/>
  <c r="L29" i="11" s="1"/>
  <c r="M29" i="11" s="1"/>
  <c r="N29" i="11" s="1"/>
  <c r="O29" i="11" s="1"/>
  <c r="C47" i="11" s="1"/>
  <c r="D14" i="11"/>
  <c r="P19" i="11"/>
  <c r="F23" i="10"/>
  <c r="D17" i="10"/>
  <c r="F17" i="10"/>
  <c r="F33" i="10"/>
  <c r="F50" i="3"/>
  <c r="D42" i="11" l="1"/>
  <c r="E42" i="11" s="1"/>
  <c r="F42" i="11" s="1"/>
  <c r="G42" i="11" s="1"/>
  <c r="H42" i="11" s="1"/>
  <c r="I42" i="11" s="1"/>
  <c r="J42" i="11" s="1"/>
  <c r="K42" i="11" s="1"/>
  <c r="L42" i="11" s="1"/>
  <c r="M42" i="11" s="1"/>
  <c r="N42" i="11" s="1"/>
  <c r="O42" i="11" s="1"/>
  <c r="E14" i="11"/>
  <c r="F14" i="11" s="1"/>
  <c r="G14" i="11" s="1"/>
  <c r="H14" i="11" s="1"/>
  <c r="I14" i="11" s="1"/>
  <c r="J14" i="11" s="1"/>
  <c r="K14" i="11" s="1"/>
  <c r="L14" i="11" s="1"/>
  <c r="M14" i="11" s="1"/>
  <c r="N14" i="11" s="1"/>
  <c r="O14" i="11" s="1"/>
  <c r="P14" i="11"/>
  <c r="P26" i="11" s="1"/>
  <c r="P10" i="11"/>
  <c r="D47" i="11"/>
  <c r="E47" i="11" s="1"/>
  <c r="F47" i="11" s="1"/>
  <c r="G47" i="11" s="1"/>
  <c r="H47" i="11" s="1"/>
  <c r="I47" i="11" s="1"/>
  <c r="J47" i="11" s="1"/>
  <c r="K47" i="11" s="1"/>
  <c r="L47" i="11" s="1"/>
  <c r="M47" i="11" s="1"/>
  <c r="N47" i="11" s="1"/>
  <c r="O47" i="11" s="1"/>
  <c r="P29" i="11"/>
  <c r="P31" i="11" s="1"/>
  <c r="D38" i="11"/>
  <c r="E38" i="11" s="1"/>
  <c r="F38" i="11" s="1"/>
  <c r="G38" i="11" s="1"/>
  <c r="H38" i="11" s="1"/>
  <c r="I38" i="11" s="1"/>
  <c r="J38" i="11" s="1"/>
  <c r="K38" i="11" s="1"/>
  <c r="L38" i="11" s="1"/>
  <c r="M38" i="11" s="1"/>
  <c r="N38" i="11" s="1"/>
  <c r="O38" i="11" s="1"/>
  <c r="P24" i="11"/>
  <c r="F51" i="3"/>
  <c r="D50" i="3"/>
  <c r="F49" i="3"/>
  <c r="P47" i="11" l="1"/>
  <c r="P38" i="11"/>
  <c r="P42" i="11"/>
  <c r="D49" i="3"/>
  <c r="P43" i="11" l="1"/>
  <c r="D51" i="3" l="1"/>
  <c r="F40" i="3" l="1"/>
  <c r="D40" i="3"/>
  <c r="O58" i="8"/>
  <c r="N58" i="8"/>
  <c r="M58" i="8"/>
  <c r="L58" i="8"/>
  <c r="K58" i="8"/>
  <c r="J58" i="8"/>
  <c r="I58" i="8"/>
  <c r="H58" i="8"/>
  <c r="G58" i="8"/>
  <c r="F58" i="8"/>
  <c r="E58" i="8"/>
  <c r="C58" i="8"/>
  <c r="D58" i="8"/>
  <c r="P55" i="8"/>
  <c r="O48" i="8"/>
  <c r="N48" i="8"/>
  <c r="M48" i="8"/>
  <c r="L48" i="8"/>
  <c r="K48" i="8"/>
  <c r="J48" i="8"/>
  <c r="I48" i="8"/>
  <c r="H48" i="8"/>
  <c r="G48" i="8"/>
  <c r="F48" i="8"/>
  <c r="E48" i="8"/>
  <c r="D48" i="8"/>
  <c r="O43" i="8"/>
  <c r="N43" i="8"/>
  <c r="M43" i="8"/>
  <c r="L43" i="8"/>
  <c r="K43" i="8"/>
  <c r="J43" i="8"/>
  <c r="I43" i="8"/>
  <c r="H43" i="8"/>
  <c r="G43" i="8"/>
  <c r="F43" i="8"/>
  <c r="D43" i="8"/>
  <c r="E43" i="8"/>
  <c r="I40" i="8"/>
  <c r="H40" i="8"/>
  <c r="G40" i="8"/>
  <c r="F40" i="8"/>
  <c r="E40" i="8"/>
  <c r="D40" i="8"/>
  <c r="O39" i="8"/>
  <c r="N39" i="8"/>
  <c r="M39" i="8"/>
  <c r="L39" i="8"/>
  <c r="K39" i="8"/>
  <c r="J39" i="8"/>
  <c r="I39" i="8"/>
  <c r="H39" i="8"/>
  <c r="G39" i="8"/>
  <c r="F39" i="8"/>
  <c r="E39" i="8"/>
  <c r="D39" i="8"/>
  <c r="O30" i="8"/>
  <c r="N30" i="8"/>
  <c r="M30" i="8"/>
  <c r="L30" i="8"/>
  <c r="K30" i="8"/>
  <c r="J30" i="8"/>
  <c r="I30" i="8"/>
  <c r="H30" i="8"/>
  <c r="G30" i="8"/>
  <c r="F30" i="8"/>
  <c r="E30" i="8"/>
  <c r="D30" i="8"/>
  <c r="D28" i="8"/>
  <c r="C28" i="8"/>
  <c r="C24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D10" i="8"/>
  <c r="E10" i="8"/>
  <c r="F10" i="8"/>
  <c r="G10" i="8"/>
  <c r="H10" i="8"/>
  <c r="I10" i="8"/>
  <c r="J10" i="8"/>
  <c r="K10" i="8"/>
  <c r="L10" i="8"/>
  <c r="M10" i="8"/>
  <c r="N10" i="8"/>
  <c r="O10" i="8"/>
  <c r="C10" i="8"/>
  <c r="P59" i="8" l="1"/>
  <c r="P58" i="8"/>
  <c r="P57" i="8"/>
  <c r="P56" i="8"/>
  <c r="P52" i="8"/>
  <c r="P49" i="8"/>
  <c r="P48" i="8"/>
  <c r="P41" i="8"/>
  <c r="P40" i="8"/>
  <c r="P38" i="8"/>
  <c r="C59" i="8"/>
  <c r="C57" i="8"/>
  <c r="C56" i="8"/>
  <c r="C55" i="8"/>
  <c r="C52" i="8"/>
  <c r="C49" i="8"/>
  <c r="C48" i="8"/>
  <c r="C47" i="8"/>
  <c r="P47" i="8" s="1"/>
  <c r="C46" i="8"/>
  <c r="P46" i="8" s="1"/>
  <c r="C43" i="8"/>
  <c r="P43" i="8" s="1"/>
  <c r="C42" i="8"/>
  <c r="P42" i="8" s="1"/>
  <c r="C41" i="8"/>
  <c r="C40" i="8"/>
  <c r="C39" i="8"/>
  <c r="P39" i="8" s="1"/>
  <c r="C38" i="8"/>
  <c r="A11" i="3" l="1"/>
  <c r="A12" i="3" s="1"/>
  <c r="A13" i="3" s="1"/>
  <c r="A14" i="3" s="1"/>
  <c r="A62" i="8"/>
  <c r="A15" i="3" l="1"/>
  <c r="A19" i="3" s="1"/>
  <c r="A27" i="3" s="1"/>
  <c r="A36" i="8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11" i="8"/>
  <c r="A16" i="3" l="1"/>
  <c r="A17" i="3" s="1"/>
  <c r="A18" i="3" s="1"/>
  <c r="A20" i="3" s="1"/>
  <c r="A21" i="3" s="1"/>
  <c r="A29" i="3" s="1"/>
  <c r="A28" i="3" l="1"/>
  <c r="A30" i="3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D27" i="3" l="1"/>
  <c r="P53" i="8" l="1"/>
  <c r="P14" i="8"/>
  <c r="P13" i="8"/>
  <c r="P12" i="8"/>
  <c r="P11" i="8"/>
  <c r="P10" i="8"/>
  <c r="P15" i="8"/>
  <c r="P21" i="8"/>
  <c r="P20" i="8"/>
  <c r="P19" i="8"/>
  <c r="P18" i="8"/>
  <c r="P31" i="8"/>
  <c r="P30" i="8"/>
  <c r="P29" i="8"/>
  <c r="P28" i="8"/>
  <c r="P27" i="8"/>
  <c r="P24" i="8"/>
  <c r="P25" i="8" s="1"/>
  <c r="P16" i="8" l="1"/>
  <c r="P44" i="8"/>
  <c r="P60" i="8"/>
  <c r="P50" i="8"/>
  <c r="P32" i="8"/>
  <c r="P22" i="8"/>
  <c r="F46" i="3" l="1"/>
  <c r="D46" i="3"/>
  <c r="F27" i="3"/>
  <c r="F31" i="3"/>
  <c r="D31" i="3"/>
  <c r="D33" i="3" s="1"/>
  <c r="F42" i="3"/>
  <c r="D42" i="3"/>
  <c r="F37" i="3"/>
  <c r="D37" i="3"/>
  <c r="F52" i="3" l="1"/>
  <c r="D52" i="3"/>
  <c r="F33" i="3"/>
</calcChain>
</file>

<file path=xl/sharedStrings.xml><?xml version="1.0" encoding="utf-8"?>
<sst xmlns="http://schemas.openxmlformats.org/spreadsheetml/2006/main" count="326" uniqueCount="215">
  <si>
    <t>NET OPERATING INCOME</t>
  </si>
  <si>
    <t>TOTAL OPERATION &amp; MAINT EXPENSE</t>
  </si>
  <si>
    <t>FUEL AND INTERCHANGE EXPENSE</t>
  </si>
  <si>
    <t>750000: Nat Gas Prod&amp;Gath Opers-Ops Supr Eng-GasRes</t>
  </si>
  <si>
    <t>751000: Nat Gas Prod&amp;Gath Opers-Prod Maps/Records-GasRes</t>
  </si>
  <si>
    <t>754000: NatGasProd&amp;GathOper-Field CompressorStation-GasRes</t>
  </si>
  <si>
    <t>756000: NatGasProd&amp;GathOper-Field MeasuringStation-GasRes</t>
  </si>
  <si>
    <t>758000: NatGasProd&amp;GathOper-Gas Wells Royalties-GasRes</t>
  </si>
  <si>
    <t>760000: Nat Gas Prod&amp;Gath Opers-Rents-GasRes</t>
  </si>
  <si>
    <t>761000: Nat Gas Prod&amp;Gath-Mtce-Suprv &amp; Engineering-GasRes</t>
  </si>
  <si>
    <t>763000: Nat Gas Prod&amp;Gath-Mtce-Producing Gas Wells-GasRes</t>
  </si>
  <si>
    <t>769000: Nat Gas Prod&amp;Gath-Mtce-Other Equipment-GasRes</t>
  </si>
  <si>
    <t>795000: Nat Gas Explor &amp; Devel Exps-Delay Rentals-GasRes</t>
  </si>
  <si>
    <t>796000: Nat Gas Explor&amp;DevelExps-NonProd Well Drill-GasRes</t>
  </si>
  <si>
    <t>798000: Nat Gas Explor &amp; Devel Exps-Other-GasRes</t>
  </si>
  <si>
    <t>OTHER OPERATION &amp; MAINT EXPENSE</t>
  </si>
  <si>
    <t>DEPRECIATION EXPENSE</t>
  </si>
  <si>
    <t>AMORT PROPERTY</t>
  </si>
  <si>
    <t>TAXES OTHER THAN INCOME TAX</t>
  </si>
  <si>
    <t>OPERATING INCOME TAX</t>
  </si>
  <si>
    <t>Dec 2016</t>
  </si>
  <si>
    <t>Jan 2017</t>
  </si>
  <si>
    <t>Feb 2017</t>
  </si>
  <si>
    <t>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</si>
  <si>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</si>
  <si>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</si>
  <si>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</si>
  <si>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</si>
  <si>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</si>
  <si>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</si>
  <si>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</si>
  <si>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</si>
  <si>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Dec 2017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</si>
  <si>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</si>
  <si>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</si>
  <si>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</si>
  <si>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</si>
  <si>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</si>
  <si>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</si>
  <si>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</si>
  <si>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</si>
  <si>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</si>
  <si>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Oct 2018</t>
  </si>
  <si>
    <t>Nov 2018</t>
  </si>
  <si>
    <t>Dec 2018</t>
  </si>
  <si>
    <t>Notes:</t>
  </si>
  <si>
    <t>FERC Accounts</t>
  </si>
  <si>
    <t>Line No.</t>
  </si>
  <si>
    <t>325: Natural Gas Plant-Producing Leaseholds-GasReserve</t>
  </si>
  <si>
    <t>330: Nat Gas Plant-Prod Wells-ConstructionGasReserves</t>
  </si>
  <si>
    <t>331: Nat Gas Plant-Prod Wells-EquipmentGasReserves</t>
  </si>
  <si>
    <t>339: Nat Gas Plant-Asset Retirement Costs-GasReserves</t>
  </si>
  <si>
    <t>105: Prod Prop Held Future Use-Gas Reserves</t>
  </si>
  <si>
    <t>107: Construction Work in Progress -Gas Reserves</t>
  </si>
  <si>
    <t>108: Accm Prov Amortiz-ARO-Gas Reserves</t>
  </si>
  <si>
    <t>111: Accm Prov Amortiz-Prod Leaseholds-Gas Reserves</t>
  </si>
  <si>
    <t>111: Accm Prov Amortiz-Wells-Construction-Gas Reserves</t>
  </si>
  <si>
    <t>111: Accm Prov Amortiz-Wells-Equipment-Gas Reserves</t>
  </si>
  <si>
    <t>131: Cash-Gas Reserves</t>
  </si>
  <si>
    <t>230: Asset Retirement Obligation-Liability-Gas Reserves</t>
  </si>
  <si>
    <t>232: Accounts Payable-Gas Reserves</t>
  </si>
  <si>
    <t>234: Accounts Payable to Associated Co's-Gas Reserves</t>
  </si>
  <si>
    <t>236: Taxes Accr-Federal Inc Tax-Gas Reserves</t>
  </si>
  <si>
    <t>242: Misc Curr &amp; Accr Liab-Other-Gas Reserves</t>
  </si>
  <si>
    <t>FERC Account</t>
  </si>
  <si>
    <t xml:space="preserve">Ending Balance </t>
  </si>
  <si>
    <t>Reflect unrecovered amount previously recovered in base rates as Capacity</t>
  </si>
  <si>
    <t>Monthly Amortization</t>
  </si>
  <si>
    <t>Ending Balance</t>
  </si>
  <si>
    <t>Florida Power &amp; Light Company</t>
  </si>
  <si>
    <t xml:space="preserve">Gas FERC Accounts </t>
  </si>
  <si>
    <r>
      <rPr>
        <u/>
        <sz val="10"/>
        <color theme="1"/>
        <rFont val="Arial"/>
        <family val="2"/>
      </rPr>
      <t>182.3: Other Reg Asset: Cedar Bay Loss on PPA Base</t>
    </r>
    <r>
      <rPr>
        <u/>
        <vertAlign val="superscript"/>
        <sz val="10"/>
        <color theme="1"/>
        <rFont val="Arial"/>
        <family val="2"/>
      </rPr>
      <t xml:space="preserve"> (1)</t>
    </r>
  </si>
  <si>
    <t>($000)</t>
  </si>
  <si>
    <t>Woodford Project Gas Reserves - Commission Adjustment - NOI</t>
  </si>
  <si>
    <t>Unrecovered amount previously recovered in base rates as Capacity</t>
  </si>
  <si>
    <t>Reclass from base rates to Capacity</t>
  </si>
  <si>
    <r>
      <rPr>
        <vertAlign val="superscript"/>
        <sz val="11"/>
        <color theme="1"/>
        <rFont val="Arial"/>
        <family val="2"/>
      </rPr>
      <t xml:space="preserve">(1) </t>
    </r>
    <r>
      <rPr>
        <sz val="11"/>
        <color theme="1"/>
        <rFont val="Arial"/>
        <family val="2"/>
      </rPr>
      <t>Per settlement agreement approved in Order No. PSC-PSC-15-0401-AS-EI, Docket No. 150075-EI, the unamortized balance reflected in base rates will be transferred to FPL's Capacity Costs Recovery Clause beginning on 1/1/2017.</t>
    </r>
  </si>
  <si>
    <r>
      <t xml:space="preserve">254.6: Other Reg Liab: Book/Tax Difference on Aquired Plant </t>
    </r>
    <r>
      <rPr>
        <u/>
        <vertAlign val="superscript"/>
        <sz val="10"/>
        <color theme="1"/>
        <rFont val="Arial"/>
        <family val="2"/>
      </rPr>
      <t>(3)</t>
    </r>
  </si>
  <si>
    <r>
      <t>254.6: Other Reg Liab: Book/Tax Difference on Aquired Plant</t>
    </r>
    <r>
      <rPr>
        <u/>
        <vertAlign val="superscript"/>
        <sz val="10"/>
        <color theme="1"/>
        <rFont val="Arial"/>
        <family val="2"/>
      </rPr>
      <t xml:space="preserve"> (3)</t>
    </r>
  </si>
  <si>
    <t xml:space="preserve"> FERC Accounts </t>
  </si>
  <si>
    <r>
      <rPr>
        <vertAlign val="superscript"/>
        <sz val="11"/>
        <color theme="1"/>
        <rFont val="Arial"/>
        <family val="2"/>
      </rPr>
      <t xml:space="preserve">(2) </t>
    </r>
    <r>
      <rPr>
        <sz val="11"/>
        <color theme="1"/>
        <rFont val="Arial"/>
        <family val="2"/>
      </rPr>
      <t>Removed from capital structure prorata over all sources of capital.</t>
    </r>
  </si>
  <si>
    <r>
      <rPr>
        <vertAlign val="superscript"/>
        <sz val="11"/>
        <color theme="1"/>
        <rFont val="Arial"/>
        <family val="2"/>
      </rPr>
      <t xml:space="preserve">(3) </t>
    </r>
    <r>
      <rPr>
        <sz val="11"/>
        <color theme="1"/>
        <rFont val="Arial"/>
        <family val="2"/>
      </rPr>
      <t>Removed from capital structure as a specific adjustment to ADIT.</t>
    </r>
  </si>
  <si>
    <t>RETAIL REVENUE FROM SALES</t>
  </si>
  <si>
    <t>INTERCHANGE REVENUE</t>
  </si>
  <si>
    <t>DEFERRED REVENUE</t>
  </si>
  <si>
    <t>INCOME TAXES</t>
  </si>
  <si>
    <t>CAPACITY CLAUSE - FEDERAL INCOME TAXES</t>
  </si>
  <si>
    <t>CAPACITY CLAUSE - STATE INCOME TAXES</t>
  </si>
  <si>
    <t>DEF INC TAX - DEF CAPACITY REV - FEDERAL</t>
  </si>
  <si>
    <t>DEF INC TAX - DEF CAPACITY REV - STATE</t>
  </si>
  <si>
    <t>Note:</t>
  </si>
  <si>
    <r>
      <rPr>
        <vertAlign val="superscript"/>
        <sz val="10"/>
        <color indexed="8"/>
        <rFont val="Arial"/>
        <family val="2"/>
      </rPr>
      <t>(1)</t>
    </r>
    <r>
      <rPr>
        <sz val="10"/>
        <color indexed="8"/>
        <rFont val="Arial"/>
        <family val="2"/>
      </rPr>
      <t xml:space="preserve"> Refer to MFR C-3, Line 12 titled "FUEL CLAUSE - GAS RESERVES" which reflects the removal of this amount from Net Operating Income.  </t>
    </r>
  </si>
  <si>
    <t>13-Month Avg</t>
  </si>
  <si>
    <t>(1) Rate base components associated with the gas reserves investment are removed from capital structure prorata over all sources of capital</t>
  </si>
  <si>
    <r>
      <t>Woodford Project Gas Reserves - Commission Adjustment - Rate Base</t>
    </r>
    <r>
      <rPr>
        <b/>
        <vertAlign val="superscript"/>
        <sz val="14"/>
        <color indexed="8"/>
        <rFont val="Calibri"/>
        <family val="2"/>
        <scheme val="minor"/>
      </rPr>
      <t>(1)</t>
    </r>
  </si>
  <si>
    <t>Removal of this amount is reflected on 2017 Test Year, MFR B-2, Page 1, Line 9</t>
  </si>
  <si>
    <t>Removal of this amount is reflected on 2017 Test Year, MFR B-2, Page 1, Line 19</t>
  </si>
  <si>
    <t>Removal of this amount is reflected on 2017 Test Year, MFR B-2, Page 2, Line 3</t>
  </si>
  <si>
    <t>Removal of this amount is reflected on 2017 Test Year, MFR B-2, Page 2, Line 2</t>
  </si>
  <si>
    <t>Removal of this amount is reflected on 2018 Subsequent Year, MFR B-2, Page 1, Line 9</t>
  </si>
  <si>
    <t>Removal of this amount is reflected on 2018 Subsequent Year, MFR B-2, Page 1, Line 19</t>
  </si>
  <si>
    <t>Removal of this amount is reflected on 2018 Subsequent Year, MFR B-2, Page 2, Line 3</t>
  </si>
  <si>
    <t>Removal of this amount is reflected on 2018 Subsequent Year, MFR B-2, Page 2, Line 2</t>
  </si>
  <si>
    <r>
      <t xml:space="preserve">Total </t>
    </r>
    <r>
      <rPr>
        <b/>
        <vertAlign val="superscript"/>
        <sz val="10"/>
        <color indexed="8"/>
        <rFont val="Arial"/>
        <family val="2"/>
      </rPr>
      <t>(1)</t>
    </r>
  </si>
  <si>
    <r>
      <t xml:space="preserve">Total </t>
    </r>
    <r>
      <rPr>
        <b/>
        <vertAlign val="superscript"/>
        <sz val="10"/>
        <rFont val="Arial"/>
        <family val="2"/>
      </rPr>
      <t>(2)</t>
    </r>
  </si>
  <si>
    <r>
      <t xml:space="preserve">182.3: Other Reg Asset: Cedar Bay Tax GrossUp PPA Loss Base </t>
    </r>
    <r>
      <rPr>
        <u/>
        <vertAlign val="superscript"/>
        <sz val="10"/>
        <color theme="1"/>
        <rFont val="Arial"/>
        <family val="2"/>
      </rPr>
      <t xml:space="preserve">(3) </t>
    </r>
  </si>
  <si>
    <r>
      <t>182.3: Other Reg Asset: Cedar Bay Tx GrsUp PPA Loss Capacity</t>
    </r>
    <r>
      <rPr>
        <u/>
        <vertAlign val="superscript"/>
        <sz val="10"/>
        <color theme="1"/>
        <rFont val="Arial"/>
        <family val="2"/>
      </rPr>
      <t xml:space="preserve"> (3)</t>
    </r>
  </si>
  <si>
    <r>
      <t>182.3: Other Reg Asset: Cedar Bay Loss on PPA Capacity</t>
    </r>
    <r>
      <rPr>
        <u/>
        <vertAlign val="superscript"/>
        <sz val="10"/>
        <color theme="1"/>
        <rFont val="Arial"/>
        <family val="2"/>
      </rPr>
      <t xml:space="preserve"> (2)</t>
    </r>
  </si>
  <si>
    <t>Removal of this amount is reflected on 2017 Test Year, MFR B-2, Page 2, Line 19</t>
  </si>
  <si>
    <t>Removal of this amount is reflected on 2017 Test Year, MFR B-2, Page 2, Line 12 (Lines 7 + 12 + 17)</t>
  </si>
  <si>
    <t>Removal of this amount is reflected on 2018 Subsequent Year, MFR B-2, Page 2, Line 19</t>
  </si>
  <si>
    <t>Cedar Bay Transaction - Commission Adjustment - Rate Base</t>
  </si>
  <si>
    <r>
      <t xml:space="preserve">182.3: Other Reg Asset: Cedar Bay Tx GrsUp PPA Loss Capacity </t>
    </r>
    <r>
      <rPr>
        <u/>
        <vertAlign val="superscript"/>
        <sz val="10"/>
        <color theme="1"/>
        <rFont val="Arial"/>
        <family val="2"/>
      </rPr>
      <t>(3)</t>
    </r>
  </si>
  <si>
    <r>
      <rPr>
        <u/>
        <sz val="10"/>
        <color theme="1"/>
        <rFont val="Arial"/>
        <family val="2"/>
      </rPr>
      <t>182.3: Other Reg Asset: Cedar Bay Loss on PPA Capacity</t>
    </r>
    <r>
      <rPr>
        <vertAlign val="superscript"/>
        <sz val="10"/>
        <color theme="1"/>
        <rFont val="Arial"/>
        <family val="2"/>
      </rPr>
      <t xml:space="preserve"> (2)</t>
    </r>
  </si>
  <si>
    <t>Removal of this amount is reflected on 2018 Subsequent Year, MFR B-2, Page 2, Line 12 (Lines 31 + 35)</t>
  </si>
  <si>
    <t>Exhibit KO-9</t>
  </si>
  <si>
    <t>408135: Reg Assess Fee - Capac</t>
  </si>
  <si>
    <t>2017
13-Month Avg</t>
  </si>
  <si>
    <t>2018
13-Month Avg</t>
  </si>
  <si>
    <t>Gas FERC Accounts</t>
  </si>
  <si>
    <r>
      <t>182.3: Other Reg Asset: Cedar Bay Loss on PPA Base</t>
    </r>
    <r>
      <rPr>
        <vertAlign val="superscript"/>
        <sz val="10"/>
        <color theme="1"/>
        <rFont val="Arial"/>
        <family val="2"/>
      </rPr>
      <t xml:space="preserve"> (1)</t>
    </r>
  </si>
  <si>
    <r>
      <t xml:space="preserve">182.3: Other Reg Asset: Cedar Bay Tax GrossUp PPA Loss Base </t>
    </r>
    <r>
      <rPr>
        <vertAlign val="superscript"/>
        <sz val="10"/>
        <color theme="1"/>
        <rFont val="Arial"/>
        <family val="2"/>
      </rPr>
      <t xml:space="preserve">(3) </t>
    </r>
  </si>
  <si>
    <r>
      <t>182.3: Other Reg Asset: Cedar Bay Loss on PPA Capacity</t>
    </r>
    <r>
      <rPr>
        <vertAlign val="superscript"/>
        <sz val="10"/>
        <color theme="1"/>
        <rFont val="Arial"/>
        <family val="2"/>
      </rPr>
      <t xml:space="preserve"> (2)</t>
    </r>
  </si>
  <si>
    <r>
      <t>182.3: Other Reg Asset: Cedar Bay Tx GrsUp PPA Loss Capacity</t>
    </r>
    <r>
      <rPr>
        <vertAlign val="superscript"/>
        <sz val="10"/>
        <color theme="1"/>
        <rFont val="Arial"/>
        <family val="2"/>
      </rPr>
      <t xml:space="preserve"> (3)</t>
    </r>
  </si>
  <si>
    <t>structure prorata over all sources of capital.</t>
  </si>
  <si>
    <r>
      <rPr>
        <vertAlign val="superscript"/>
        <sz val="10"/>
        <color theme="1"/>
        <rFont val="Arial"/>
        <family val="2"/>
      </rPr>
      <t xml:space="preserve">(2) </t>
    </r>
    <r>
      <rPr>
        <sz val="10"/>
        <color theme="1"/>
        <rFont val="Arial"/>
        <family val="2"/>
      </rPr>
      <t>Removed from capital structure prorata over all sources of capital.</t>
    </r>
  </si>
  <si>
    <r>
      <rPr>
        <vertAlign val="superscript"/>
        <sz val="10"/>
        <color theme="1"/>
        <rFont val="Arial"/>
        <family val="2"/>
      </rPr>
      <t xml:space="preserve">(3) </t>
    </r>
    <r>
      <rPr>
        <sz val="10"/>
        <color theme="1"/>
        <rFont val="Arial"/>
        <family val="2"/>
      </rPr>
      <t>Removed from capital structure as a specific adjustment to ADIT.</t>
    </r>
  </si>
  <si>
    <r>
      <rPr>
        <vertAlign val="superscript"/>
        <sz val="10"/>
        <color theme="1"/>
        <rFont val="Arial"/>
        <family val="2"/>
      </rPr>
      <t xml:space="preserve">(1) </t>
    </r>
    <r>
      <rPr>
        <sz val="10"/>
        <color theme="1"/>
        <rFont val="Arial"/>
        <family val="2"/>
      </rPr>
      <t>Per settlement agreement approved in Order No. PSC-15-0401-AS-EI, Docket No. 150075-EI, the unamortized balance reflected in base rates will be transferred to FPL's Capacity Costs Recovery Clause beginning on 1/1/2017.</t>
    </r>
  </si>
  <si>
    <r>
      <rPr>
        <vertAlign val="superscript"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Rate base components associated with the gas reserves investment are removed from capital </t>
    </r>
  </si>
  <si>
    <r>
      <rPr>
        <vertAlign val="superscript"/>
        <sz val="10"/>
        <color theme="1"/>
        <rFont val="Arial"/>
        <family val="2"/>
      </rPr>
      <t xml:space="preserve">(2) </t>
    </r>
    <r>
      <rPr>
        <sz val="10"/>
        <color theme="1"/>
        <rFont val="Arial"/>
        <family val="2"/>
      </rPr>
      <t>2017 Test Year &amp; 2018 SYA, MFR B-2, Page 1, Line 9</t>
    </r>
  </si>
  <si>
    <r>
      <rPr>
        <vertAlign val="superscript"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2017 Test Year &amp; 2018 SYA, MFR B-2, Page 1, Line 19</t>
    </r>
  </si>
  <si>
    <r>
      <t xml:space="preserve">     Total Plant-in-Service</t>
    </r>
    <r>
      <rPr>
        <b/>
        <vertAlign val="superscript"/>
        <sz val="10"/>
        <color theme="1"/>
        <rFont val="Arial"/>
        <family val="2"/>
      </rPr>
      <t xml:space="preserve"> (2)</t>
    </r>
  </si>
  <si>
    <r>
      <t xml:space="preserve">     Total Accumulated Depreciation/Depletion </t>
    </r>
    <r>
      <rPr>
        <b/>
        <vertAlign val="superscript"/>
        <sz val="10"/>
        <color theme="1"/>
        <rFont val="Arial"/>
        <family val="2"/>
      </rPr>
      <t>(3)</t>
    </r>
  </si>
  <si>
    <r>
      <t xml:space="preserve">     Total Working Capital Assets</t>
    </r>
    <r>
      <rPr>
        <b/>
        <vertAlign val="superscript"/>
        <sz val="10"/>
        <color theme="1"/>
        <rFont val="Arial"/>
        <family val="2"/>
      </rPr>
      <t xml:space="preserve"> (4)</t>
    </r>
  </si>
  <si>
    <r>
      <t xml:space="preserve">     Total Working Capital Liabilities </t>
    </r>
    <r>
      <rPr>
        <b/>
        <vertAlign val="superscript"/>
        <sz val="10"/>
        <color theme="1"/>
        <rFont val="Arial"/>
        <family val="2"/>
      </rPr>
      <t>(5)</t>
    </r>
  </si>
  <si>
    <r>
      <rPr>
        <vertAlign val="superscript"/>
        <sz val="10"/>
        <color indexed="8"/>
        <rFont val="Arial"/>
        <family val="2"/>
      </rPr>
      <t xml:space="preserve">(1) </t>
    </r>
    <r>
      <rPr>
        <sz val="10"/>
        <color indexed="8"/>
        <rFont val="Arial"/>
        <family val="2"/>
      </rPr>
      <t xml:space="preserve">Represents the amortization of the regulatory asset associated with the Cedar Bay Transaction </t>
    </r>
  </si>
  <si>
    <r>
      <rPr>
        <vertAlign val="superscript"/>
        <sz val="10"/>
        <color indexed="8"/>
        <rFont val="Arial"/>
        <family val="2"/>
      </rPr>
      <t xml:space="preserve">(2) </t>
    </r>
    <r>
      <rPr>
        <sz val="10"/>
        <color indexed="8"/>
        <rFont val="Arial"/>
        <family val="2"/>
      </rPr>
      <t xml:space="preserve">Refer to MFR C-3, Line 4 titled "CAPACITY COST RECOVERY" which reflects the removal of this amount from Net Operating Income. </t>
    </r>
  </si>
  <si>
    <t>440005: Residential Sales- Capacity</t>
  </si>
  <si>
    <t>442105: Commercial Sales-Capacity</t>
  </si>
  <si>
    <t>444005: Public Str &amp; Hwy Lighting- Capacity</t>
  </si>
  <si>
    <t>445005: Oth Sales to Public Auth- Capacity</t>
  </si>
  <si>
    <t>446005: Sales to RR/Railways- Capacity</t>
  </si>
  <si>
    <t xml:space="preserve">447120: Sales For Resale-Capac Revs </t>
  </si>
  <si>
    <t>447122: Sales For Resale-EstTransmisSrvc- Capac</t>
  </si>
  <si>
    <t>447123: Sales For Resale-TransmSrvcContra - Capac</t>
  </si>
  <si>
    <t>447124: Sales For Resale-Transmis Srvc - Capac</t>
  </si>
  <si>
    <t>447125: Sales For Resale-SchSysCntrl Disp - Capac</t>
  </si>
  <si>
    <t>447126: Sales For Resale-React&amp;Volt Cntrl - Capac</t>
  </si>
  <si>
    <t>456944: Oth Elect Rev-Defrd Rev-OverRec - Capac</t>
  </si>
  <si>
    <t>555410: Purchased Pwr-UPSCap Chg - Capacity</t>
  </si>
  <si>
    <t>555411: Purchased Pwr-SWA Cap Chg - Capacity</t>
  </si>
  <si>
    <r>
      <t xml:space="preserve">557901: Oth Exp-Amortization Cedar Bay </t>
    </r>
    <r>
      <rPr>
        <vertAlign val="superscript"/>
        <sz val="10"/>
        <rFont val="Arial"/>
        <family val="2"/>
      </rPr>
      <t>(1)</t>
    </r>
  </si>
  <si>
    <t>506075: Misc Steam Power Expenses-Security - Cap</t>
  </si>
  <si>
    <t>524005: Miscellaneous Nuclear Power Exp - Fukushima</t>
  </si>
  <si>
    <t>524220: Misc Nucl Pwr Exp-Height Sec-Capacity</t>
  </si>
  <si>
    <t>549075: Misc Other Power Gener Exp-Security - Capacity</t>
  </si>
  <si>
    <t>565120: Transmiss of Electric Oths-  Capacity</t>
  </si>
  <si>
    <t>925104: Injuries&amp; Damages-HeightSecure - Capacity</t>
  </si>
  <si>
    <t>925115: Injs and Damages-EmployeeWorkComp - Capc</t>
  </si>
  <si>
    <t>407370: Reg Debits-Nuc Cost Recov</t>
  </si>
  <si>
    <t>408175: Tax Oth Than Inc Tax-PR Tax - Capac</t>
  </si>
  <si>
    <t>442205: Industrial Sales-Capacity</t>
  </si>
  <si>
    <t>Other Electric Rev-Defrd SWAPC CPRC - Capacity</t>
  </si>
  <si>
    <t>926205: Employee Pensions &amp; Benefits-Capacity</t>
  </si>
  <si>
    <t>752000: Nat Gas Prod&amp;Gath Opers-Gas Wells</t>
  </si>
  <si>
    <t>759000: NatGasProd&amp;Gath Opers-Other Expenses</t>
  </si>
  <si>
    <t>923600: Outside Services</t>
  </si>
  <si>
    <t>403190: Depreciation Expense-ARO</t>
  </si>
  <si>
    <t>404100: Amort/Depletion Land/Rights</t>
  </si>
  <si>
    <t>405200: Amortization of other Gas Plant</t>
  </si>
  <si>
    <t>408190: Tax Other Than Inc Tax-Other</t>
  </si>
  <si>
    <t>409180: Income taxes, Operating Inc-Federal</t>
  </si>
  <si>
    <t>410196: Prov Def Tax-Oper Income-State</t>
  </si>
  <si>
    <t>325: Natural Gas Plant-Producing Leaseholds</t>
  </si>
  <si>
    <t>330: Nat Gas Plant-Prod Wells-Construction</t>
  </si>
  <si>
    <t>331: Nat Gas Plant-Prod Wells-Equipment</t>
  </si>
  <si>
    <t>339: Nat Gas Plant-Asset Retirement Costs</t>
  </si>
  <si>
    <t>105: Prod Prop Held Future Use</t>
  </si>
  <si>
    <t>107: Construction Work in Progress</t>
  </si>
  <si>
    <t>108: Accm Prov Amortiz-ARO</t>
  </si>
  <si>
    <t>111: Accm Prov Amortiz-Prod Leaseholds</t>
  </si>
  <si>
    <t>111: Accm Prov Amortiz-Wells-Construction</t>
  </si>
  <si>
    <t>111: Accm Prov Amortiz-Wells-Equipment</t>
  </si>
  <si>
    <t>230: Asset Retirement Obligation-Liability</t>
  </si>
  <si>
    <t>234: Accounts Payable to Associated Co's</t>
  </si>
  <si>
    <t>236: Taxes Accr-Federal Inc Tax</t>
  </si>
  <si>
    <t>242: Misc Curr &amp; Accr Liab-Other</t>
  </si>
  <si>
    <t>232: Accounts Payable</t>
  </si>
  <si>
    <t>Cedar Bay Activity</t>
  </si>
  <si>
    <t>All Other Capacity Clause Activity</t>
  </si>
  <si>
    <t>Net Operating Income</t>
  </si>
  <si>
    <t>Income Tax Expense</t>
  </si>
  <si>
    <t>Cedar Bay Transaction - Commission Adjustment - Rate Base and Net Operating Income</t>
  </si>
  <si>
    <t>Rate Base</t>
  </si>
  <si>
    <t>All Other Capacity Clause Revenues/Expenses</t>
  </si>
  <si>
    <t xml:space="preserve">     Cedar Bay Net Operating Income</t>
  </si>
  <si>
    <t xml:space="preserve">     All Other Capacity Clause Net Operating Income</t>
  </si>
  <si>
    <r>
      <t xml:space="preserve">254.6: Other Reg Liab: Book/Tax Difference on Acquired Plant </t>
    </r>
    <r>
      <rPr>
        <vertAlign val="superscript"/>
        <sz val="10"/>
        <color theme="1"/>
        <rFont val="Arial"/>
        <family val="2"/>
      </rPr>
      <t>(3)</t>
    </r>
  </si>
  <si>
    <r>
      <rPr>
        <vertAlign val="superscript"/>
        <sz val="10"/>
        <color theme="1"/>
        <rFont val="Arial"/>
        <family val="2"/>
      </rPr>
      <t xml:space="preserve">(4) </t>
    </r>
    <r>
      <rPr>
        <sz val="10"/>
        <color theme="1"/>
        <rFont val="Arial"/>
        <family val="2"/>
      </rPr>
      <t>2017 Test Year &amp; 2018 SYA, MFR B-2, Page 2, Line 5</t>
    </r>
  </si>
  <si>
    <r>
      <rPr>
        <vertAlign val="superscript"/>
        <sz val="10"/>
        <color theme="1"/>
        <rFont val="Arial"/>
        <family val="2"/>
      </rPr>
      <t>(5)</t>
    </r>
    <r>
      <rPr>
        <sz val="10"/>
        <color theme="1"/>
        <rFont val="Arial"/>
        <family val="2"/>
      </rPr>
      <t xml:space="preserve"> 2017 Test Year &amp; 2018 SYA, MFR B-2, Page 2, Line 4</t>
    </r>
  </si>
  <si>
    <r>
      <t xml:space="preserve">557901: Oth Exp-Amortization Cedar Bay </t>
    </r>
    <r>
      <rPr>
        <vertAlign val="superscript"/>
        <sz val="10"/>
        <color theme="1"/>
        <rFont val="Arial"/>
        <family val="2"/>
      </rPr>
      <t>(6)</t>
    </r>
  </si>
  <si>
    <r>
      <t xml:space="preserve">Total Capacity Clause Net Operating Income </t>
    </r>
    <r>
      <rPr>
        <b/>
        <vertAlign val="superscript"/>
        <sz val="10"/>
        <color theme="1"/>
        <rFont val="Arial"/>
        <family val="2"/>
      </rPr>
      <t>(7)</t>
    </r>
  </si>
  <si>
    <r>
      <rPr>
        <vertAlign val="superscript"/>
        <sz val="10"/>
        <color indexed="8"/>
        <rFont val="Arial"/>
        <family val="2"/>
      </rPr>
      <t xml:space="preserve">(6) </t>
    </r>
    <r>
      <rPr>
        <sz val="10"/>
        <color indexed="8"/>
        <rFont val="Arial"/>
        <family val="2"/>
      </rPr>
      <t xml:space="preserve">Represents the amortization of the regulatory asset associated with the Cedar Bay Transaction. </t>
    </r>
  </si>
  <si>
    <r>
      <rPr>
        <vertAlign val="superscript"/>
        <sz val="10"/>
        <color indexed="8"/>
        <rFont val="Arial"/>
        <family val="2"/>
      </rPr>
      <t xml:space="preserve">(7) </t>
    </r>
    <r>
      <rPr>
        <sz val="10"/>
        <color indexed="8"/>
        <rFont val="Arial"/>
        <family val="2"/>
      </rPr>
      <t xml:space="preserve">Refer to MFR C-3, Line 4 titled "CAPACITY COST RECOVERY" which reflects the removal of this amount from Net Operating Income. </t>
    </r>
  </si>
  <si>
    <r>
      <t xml:space="preserve">     Total Cedar Bay Regulatory Assets </t>
    </r>
    <r>
      <rPr>
        <b/>
        <vertAlign val="superscript"/>
        <sz val="10"/>
        <color theme="1"/>
        <rFont val="Arial"/>
        <family val="2"/>
      </rPr>
      <t>(4)</t>
    </r>
  </si>
  <si>
    <r>
      <t xml:space="preserve">     Total Cedar Bay Regulatory Liabilities</t>
    </r>
    <r>
      <rPr>
        <b/>
        <vertAlign val="superscript"/>
        <sz val="10"/>
        <color theme="1"/>
        <rFont val="Arial"/>
        <family val="2"/>
      </rPr>
      <t xml:space="preserve"> (5)</t>
    </r>
  </si>
  <si>
    <r>
      <rPr>
        <vertAlign val="superscript"/>
        <sz val="10"/>
        <color theme="1"/>
        <rFont val="Arial"/>
        <family val="2"/>
      </rPr>
      <t xml:space="preserve">(4) </t>
    </r>
    <r>
      <rPr>
        <sz val="10"/>
        <color theme="1"/>
        <rFont val="Arial"/>
        <family val="2"/>
      </rPr>
      <t>Removed from Rate Base on MFR B-2, Page 2, Line 14</t>
    </r>
  </si>
  <si>
    <r>
      <rPr>
        <vertAlign val="superscript"/>
        <sz val="10"/>
        <color theme="1"/>
        <rFont val="Arial"/>
        <family val="2"/>
      </rPr>
      <t>(5)</t>
    </r>
    <r>
      <rPr>
        <sz val="10"/>
        <color theme="1"/>
        <rFont val="Arial"/>
        <family val="2"/>
      </rPr>
      <t xml:space="preserve"> Removed from Rate Base on MFR B-2, Page 2, Line 21</t>
    </r>
  </si>
  <si>
    <t>OPC 006894</t>
  </si>
  <si>
    <t>FPL RC-16</t>
  </si>
  <si>
    <t>OPC 006895</t>
  </si>
  <si>
    <t>OPC 006896</t>
  </si>
  <si>
    <t>OPC 006897</t>
  </si>
  <si>
    <t>OPC 006898</t>
  </si>
  <si>
    <t>OPC 006899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</si>
</sst>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"/>
    <numFmt numFmtId="168" formatCode="#,##0,"/>
  </numFmts>
  <fonts count="3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u/>
      <sz val="10"/>
      <color rgb="FFFF0000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vertAlign val="superscript"/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u/>
      <sz val="10"/>
      <color theme="1"/>
      <name val="Arial"/>
      <family val="2"/>
    </font>
    <font>
      <u/>
      <vertAlign val="superscript"/>
      <sz val="10"/>
      <color theme="1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vertAlign val="superscript"/>
      <sz val="12"/>
      <name val="Arial"/>
      <family val="2"/>
    </font>
    <font>
      <b/>
      <u/>
      <sz val="10"/>
      <color indexed="8"/>
      <name val="Arial"/>
      <family val="2"/>
    </font>
    <font>
      <b/>
      <vertAlign val="superscript"/>
      <sz val="14"/>
      <color indexed="8"/>
      <name val="Calibri"/>
      <family val="2"/>
      <scheme val="minor"/>
    </font>
    <font>
      <b/>
      <vertAlign val="superscript"/>
      <sz val="10"/>
      <color indexed="8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color theme="1"/>
      <name val="Arial"/>
      <family val="2"/>
    </font>
    <font>
      <b/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</cellStyleXfs>
  <cellXfs count="170">
    <xf numFmtId="0" fontId="0" fillId="0" borderId="0" xfId="0"/>
    <xf numFmtId="164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left" indent="2"/>
    </xf>
    <xf numFmtId="0" fontId="2" fillId="0" borderId="0" xfId="0" applyFont="1" applyFill="1" applyAlignment="1">
      <alignment horizontal="left" indent="3"/>
    </xf>
    <xf numFmtId="0" fontId="2" fillId="0" borderId="0" xfId="0" applyFont="1" applyFill="1" applyAlignment="1">
      <alignment horizontal="left" indent="6"/>
    </xf>
    <xf numFmtId="0" fontId="2" fillId="0" borderId="0" xfId="0" applyFont="1" applyFill="1" applyAlignment="1">
      <alignment horizontal="left" indent="4"/>
    </xf>
    <xf numFmtId="0" fontId="3" fillId="0" borderId="0" xfId="0" applyFont="1" applyFill="1"/>
    <xf numFmtId="0" fontId="4" fillId="0" borderId="0" xfId="0" applyFont="1" applyFill="1" applyAlignment="1">
      <alignment horizontal="left"/>
    </xf>
    <xf numFmtId="164" fontId="3" fillId="0" borderId="0" xfId="0" applyNumberFormat="1" applyFont="1" applyFill="1"/>
    <xf numFmtId="3" fontId="6" fillId="0" borderId="0" xfId="3" applyNumberFormat="1" applyFont="1" applyFill="1" applyAlignment="1">
      <alignment horizontal="left" wrapText="1"/>
    </xf>
    <xf numFmtId="3" fontId="6" fillId="0" borderId="0" xfId="3" applyNumberFormat="1" applyFont="1" applyFill="1" applyAlignment="1">
      <alignment horizontal="right" wrapText="1"/>
    </xf>
    <xf numFmtId="3" fontId="6" fillId="0" borderId="0" xfId="3" applyNumberFormat="1" applyFont="1" applyFill="1" applyAlignment="1">
      <alignment horizontal="right"/>
    </xf>
    <xf numFmtId="3" fontId="6" fillId="0" borderId="0" xfId="3" applyNumberFormat="1" applyFont="1" applyFill="1" applyAlignment="1">
      <alignment horizontal="left"/>
    </xf>
    <xf numFmtId="3" fontId="7" fillId="0" borderId="0" xfId="3" applyNumberFormat="1" applyFont="1" applyFill="1" applyAlignment="1">
      <alignment horizontal="left"/>
    </xf>
    <xf numFmtId="43" fontId="6" fillId="0" borderId="0" xfId="1" applyFont="1" applyFill="1" applyAlignment="1">
      <alignment horizontal="right"/>
    </xf>
    <xf numFmtId="3" fontId="6" fillId="0" borderId="0" xfId="3" applyNumberFormat="1" applyFont="1" applyFill="1" applyAlignment="1">
      <alignment horizontal="center" wrapText="1"/>
    </xf>
    <xf numFmtId="166" fontId="6" fillId="0" borderId="0" xfId="1" applyNumberFormat="1" applyFont="1" applyFill="1" applyAlignment="1">
      <alignment horizontal="right"/>
    </xf>
    <xf numFmtId="166" fontId="6" fillId="2" borderId="0" xfId="1" applyNumberFormat="1" applyFont="1" applyFill="1" applyAlignment="1">
      <alignment horizontal="center"/>
    </xf>
    <xf numFmtId="3" fontId="6" fillId="0" borderId="4" xfId="3" applyNumberFormat="1" applyFont="1" applyFill="1" applyBorder="1" applyAlignment="1">
      <alignment horizontal="center" wrapText="1"/>
    </xf>
    <xf numFmtId="166" fontId="6" fillId="0" borderId="4" xfId="1" applyNumberFormat="1" applyFont="1" applyFill="1" applyBorder="1" applyAlignment="1">
      <alignment horizontal="right"/>
    </xf>
    <xf numFmtId="3" fontId="6" fillId="0" borderId="4" xfId="3" applyNumberFormat="1" applyFont="1" applyFill="1" applyBorder="1" applyAlignment="1">
      <alignment horizontal="right"/>
    </xf>
    <xf numFmtId="0" fontId="0" fillId="0" borderId="4" xfId="0" applyBorder="1"/>
    <xf numFmtId="3" fontId="7" fillId="0" borderId="0" xfId="3" applyNumberFormat="1" applyFont="1" applyFill="1" applyAlignment="1">
      <alignment horizontal="center" wrapText="1"/>
    </xf>
    <xf numFmtId="0" fontId="9" fillId="0" borderId="0" xfId="0" applyFont="1" applyAlignment="1">
      <alignment horizontal="center"/>
    </xf>
    <xf numFmtId="165" fontId="6" fillId="0" borderId="4" xfId="2" applyNumberFormat="1" applyFont="1" applyFill="1" applyBorder="1" applyAlignment="1">
      <alignment horizontal="right"/>
    </xf>
    <xf numFmtId="165" fontId="6" fillId="0" borderId="0" xfId="2" applyNumberFormat="1" applyFont="1" applyFill="1" applyAlignment="1">
      <alignment horizontal="right"/>
    </xf>
    <xf numFmtId="0" fontId="0" fillId="0" borderId="0" xfId="0" applyAlignment="1">
      <alignment textRotation="180" wrapText="1"/>
    </xf>
    <xf numFmtId="166" fontId="3" fillId="0" borderId="0" xfId="1" applyNumberFormat="1" applyFont="1" applyFill="1"/>
    <xf numFmtId="166" fontId="3" fillId="0" borderId="0" xfId="0" applyNumberFormat="1" applyFont="1" applyFill="1"/>
    <xf numFmtId="4" fontId="6" fillId="0" borderId="0" xfId="3" applyNumberFormat="1" applyFont="1" applyFill="1" applyAlignment="1">
      <alignment horizontal="right"/>
    </xf>
    <xf numFmtId="3" fontId="7" fillId="0" borderId="0" xfId="3" applyNumberFormat="1" applyFont="1" applyFill="1" applyAlignment="1">
      <alignment horizontal="right"/>
    </xf>
    <xf numFmtId="3" fontId="7" fillId="0" borderId="0" xfId="3" applyNumberFormat="1" applyFont="1" applyFill="1" applyAlignment="1">
      <alignment horizontal="center"/>
    </xf>
    <xf numFmtId="166" fontId="7" fillId="0" borderId="0" xfId="1" applyNumberFormat="1" applyFont="1" applyFill="1" applyAlignment="1">
      <alignment horizontal="right"/>
    </xf>
    <xf numFmtId="166" fontId="7" fillId="0" borderId="0" xfId="1" applyNumberFormat="1" applyFont="1" applyFill="1" applyAlignment="1">
      <alignment horizontal="center"/>
    </xf>
    <xf numFmtId="5" fontId="7" fillId="0" borderId="0" xfId="1" applyNumberFormat="1" applyFont="1" applyFill="1" applyAlignment="1">
      <alignment horizontal="center"/>
    </xf>
    <xf numFmtId="167" fontId="3" fillId="0" borderId="0" xfId="0" applyNumberFormat="1" applyFont="1" applyFill="1"/>
    <xf numFmtId="167" fontId="3" fillId="0" borderId="0" xfId="1" applyNumberFormat="1" applyFont="1" applyFill="1"/>
    <xf numFmtId="43" fontId="3" fillId="0" borderId="0" xfId="1" applyFont="1" applyFill="1"/>
    <xf numFmtId="167" fontId="12" fillId="0" borderId="0" xfId="0" quotePrefix="1" applyNumberFormat="1" applyFont="1" applyFill="1"/>
    <xf numFmtId="0" fontId="3" fillId="0" borderId="0" xfId="0" applyFont="1" applyFill="1" applyBorder="1"/>
    <xf numFmtId="3" fontId="7" fillId="0" borderId="2" xfId="3" applyNumberFormat="1" applyFont="1" applyFill="1" applyBorder="1" applyAlignment="1">
      <alignment horizontal="center" wrapText="1"/>
    </xf>
    <xf numFmtId="3" fontId="6" fillId="0" borderId="0" xfId="3" applyNumberFormat="1" applyFont="1" applyFill="1" applyBorder="1" applyAlignment="1">
      <alignment horizontal="center" wrapText="1"/>
    </xf>
    <xf numFmtId="3" fontId="7" fillId="0" borderId="0" xfId="3" applyNumberFormat="1" applyFont="1" applyFill="1" applyBorder="1" applyAlignment="1">
      <alignment horizontal="center" wrapText="1"/>
    </xf>
    <xf numFmtId="3" fontId="16" fillId="0" borderId="0" xfId="3" applyNumberFormat="1" applyFont="1" applyFill="1" applyAlignment="1">
      <alignment horizontal="center" wrapText="1"/>
    </xf>
    <xf numFmtId="3" fontId="15" fillId="0" borderId="0" xfId="3" applyNumberFormat="1" applyFont="1" applyFill="1" applyAlignment="1">
      <alignment horizontal="left"/>
    </xf>
    <xf numFmtId="3" fontId="15" fillId="0" borderId="0" xfId="3" applyNumberFormat="1" applyFont="1" applyFill="1" applyAlignment="1">
      <alignment horizontal="right"/>
    </xf>
    <xf numFmtId="3" fontId="18" fillId="0" borderId="0" xfId="3" applyNumberFormat="1" applyFont="1" applyFill="1" applyAlignment="1">
      <alignment horizontal="right"/>
    </xf>
    <xf numFmtId="0" fontId="3" fillId="0" borderId="0" xfId="0" applyFont="1" applyFill="1" applyAlignment="1">
      <alignment horizontal="left"/>
    </xf>
    <xf numFmtId="43" fontId="2" fillId="0" borderId="0" xfId="1" applyFont="1" applyFill="1" applyAlignment="1">
      <alignment horizontal="right"/>
    </xf>
    <xf numFmtId="0" fontId="19" fillId="0" borderId="2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/>
    </xf>
    <xf numFmtId="0" fontId="14" fillId="0" borderId="0" xfId="0" applyFont="1" applyAlignment="1">
      <alignment horizontal="center"/>
    </xf>
    <xf numFmtId="0" fontId="11" fillId="0" borderId="0" xfId="0" applyFont="1" applyFill="1"/>
    <xf numFmtId="3" fontId="20" fillId="0" borderId="0" xfId="3" applyNumberFormat="1" applyFont="1" applyFill="1" applyAlignment="1">
      <alignment horizontal="left"/>
    </xf>
    <xf numFmtId="3" fontId="7" fillId="0" borderId="0" xfId="3" applyNumberFormat="1" applyFont="1" applyFill="1" applyAlignment="1">
      <alignment horizontal="center" vertical="center"/>
    </xf>
    <xf numFmtId="5" fontId="7" fillId="0" borderId="0" xfId="1" applyNumberFormat="1" applyFont="1" applyFill="1" applyAlignment="1">
      <alignment horizontal="center" vertical="center"/>
    </xf>
    <xf numFmtId="165" fontId="0" fillId="0" borderId="4" xfId="0" applyNumberFormat="1" applyBorder="1"/>
    <xf numFmtId="166" fontId="0" fillId="0" borderId="4" xfId="0" applyNumberFormat="1" applyBorder="1"/>
    <xf numFmtId="3" fontId="7" fillId="0" borderId="6" xfId="3" applyNumberFormat="1" applyFont="1" applyFill="1" applyBorder="1" applyAlignment="1">
      <alignment horizontal="center" wrapText="1"/>
    </xf>
    <xf numFmtId="165" fontId="6" fillId="0" borderId="0" xfId="2" applyNumberFormat="1" applyFont="1" applyFill="1" applyBorder="1" applyAlignment="1">
      <alignment horizontal="right"/>
    </xf>
    <xf numFmtId="5" fontId="7" fillId="0" borderId="0" xfId="1" applyNumberFormat="1" applyFont="1" applyFill="1" applyBorder="1" applyAlignment="1">
      <alignment horizontal="center" vertical="center"/>
    </xf>
    <xf numFmtId="5" fontId="7" fillId="0" borderId="0" xfId="2" applyNumberFormat="1" applyFont="1" applyFill="1" applyAlignment="1">
      <alignment horizontal="center"/>
    </xf>
    <xf numFmtId="0" fontId="22" fillId="0" borderId="0" xfId="0" applyFont="1" applyAlignment="1">
      <alignment horizontal="left"/>
    </xf>
    <xf numFmtId="39" fontId="23" fillId="0" borderId="0" xfId="0" applyNumberFormat="1" applyFont="1" applyAlignment="1">
      <alignment horizontal="right"/>
    </xf>
    <xf numFmtId="0" fontId="24" fillId="0" borderId="0" xfId="0" applyFont="1" applyAlignment="1">
      <alignment horizontal="left" indent="2"/>
    </xf>
    <xf numFmtId="0" fontId="2" fillId="0" borderId="0" xfId="0" applyFont="1" applyAlignment="1">
      <alignment horizontal="left" indent="1"/>
    </xf>
    <xf numFmtId="166" fontId="0" fillId="0" borderId="0" xfId="1" applyNumberFormat="1" applyFont="1"/>
    <xf numFmtId="166" fontId="2" fillId="0" borderId="0" xfId="1" applyNumberFormat="1" applyFont="1" applyAlignment="1">
      <alignment horizontal="right"/>
    </xf>
    <xf numFmtId="166" fontId="19" fillId="0" borderId="1" xfId="1" applyNumberFormat="1" applyFont="1" applyBorder="1" applyAlignment="1">
      <alignment horizontal="right"/>
    </xf>
    <xf numFmtId="166" fontId="2" fillId="0" borderId="0" xfId="1" applyNumberFormat="1" applyFont="1" applyFill="1" applyAlignment="1">
      <alignment horizontal="right"/>
    </xf>
    <xf numFmtId="165" fontId="2" fillId="0" borderId="0" xfId="2" applyNumberFormat="1" applyFont="1" applyAlignment="1">
      <alignment horizontal="right"/>
    </xf>
    <xf numFmtId="0" fontId="25" fillId="0" borderId="0" xfId="0" applyFont="1" applyAlignment="1">
      <alignment horizontal="left"/>
    </xf>
    <xf numFmtId="0" fontId="19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3" fillId="0" borderId="0" xfId="0" applyFont="1"/>
    <xf numFmtId="166" fontId="3" fillId="0" borderId="0" xfId="1" applyNumberFormat="1" applyFont="1"/>
    <xf numFmtId="166" fontId="2" fillId="0" borderId="2" xfId="1" applyNumberFormat="1" applyFont="1" applyBorder="1" applyAlignment="1">
      <alignment horizontal="right"/>
    </xf>
    <xf numFmtId="166" fontId="19" fillId="0" borderId="0" xfId="1" applyNumberFormat="1" applyFont="1" applyAlignment="1">
      <alignment horizontal="right"/>
    </xf>
    <xf numFmtId="0" fontId="19" fillId="0" borderId="0" xfId="0" applyFont="1" applyAlignment="1">
      <alignment horizontal="right"/>
    </xf>
    <xf numFmtId="165" fontId="14" fillId="0" borderId="3" xfId="2" applyNumberFormat="1" applyFont="1" applyBorder="1"/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/>
    <xf numFmtId="39" fontId="23" fillId="0" borderId="0" xfId="0" applyNumberFormat="1" applyFont="1" applyBorder="1" applyAlignment="1">
      <alignment horizontal="right"/>
    </xf>
    <xf numFmtId="165" fontId="2" fillId="0" borderId="0" xfId="2" applyNumberFormat="1" applyFont="1" applyBorder="1" applyAlignment="1">
      <alignment horizontal="right"/>
    </xf>
    <xf numFmtId="166" fontId="2" fillId="0" borderId="0" xfId="1" applyNumberFormat="1" applyFont="1" applyBorder="1" applyAlignment="1">
      <alignment horizontal="right"/>
    </xf>
    <xf numFmtId="166" fontId="19" fillId="0" borderId="0" xfId="1" applyNumberFormat="1" applyFont="1" applyBorder="1" applyAlignment="1">
      <alignment horizontal="right"/>
    </xf>
    <xf numFmtId="166" fontId="0" fillId="0" borderId="0" xfId="1" applyNumberFormat="1" applyFont="1" applyBorder="1"/>
    <xf numFmtId="166" fontId="2" fillId="0" borderId="0" xfId="1" applyNumberFormat="1" applyFont="1" applyFill="1" applyBorder="1" applyAlignment="1">
      <alignment horizontal="right"/>
    </xf>
    <xf numFmtId="166" fontId="3" fillId="0" borderId="0" xfId="1" applyNumberFormat="1" applyFont="1" applyBorder="1"/>
    <xf numFmtId="0" fontId="0" fillId="0" borderId="0" xfId="0" applyBorder="1"/>
    <xf numFmtId="0" fontId="3" fillId="0" borderId="0" xfId="0" applyFont="1" applyBorder="1"/>
    <xf numFmtId="168" fontId="3" fillId="0" borderId="0" xfId="0" applyNumberFormat="1" applyFont="1"/>
    <xf numFmtId="0" fontId="27" fillId="0" borderId="0" xfId="0" applyFont="1"/>
    <xf numFmtId="166" fontId="2" fillId="0" borderId="1" xfId="1" applyNumberFormat="1" applyFont="1" applyFill="1" applyBorder="1" applyAlignment="1">
      <alignment horizontal="right"/>
    </xf>
    <xf numFmtId="165" fontId="2" fillId="0" borderId="0" xfId="2" applyNumberFormat="1" applyFont="1" applyFill="1" applyAlignment="1">
      <alignment horizontal="right"/>
    </xf>
    <xf numFmtId="165" fontId="12" fillId="0" borderId="0" xfId="2" applyNumberFormat="1" applyFont="1" applyBorder="1"/>
    <xf numFmtId="0" fontId="12" fillId="0" borderId="0" xfId="0" applyFont="1"/>
    <xf numFmtId="0" fontId="0" fillId="0" borderId="0" xfId="0" applyFill="1"/>
    <xf numFmtId="165" fontId="6" fillId="0" borderId="0" xfId="2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center"/>
    </xf>
    <xf numFmtId="0" fontId="0" fillId="0" borderId="0" xfId="0" applyFill="1" applyAlignment="1">
      <alignment textRotation="180" wrapText="1"/>
    </xf>
    <xf numFmtId="165" fontId="7" fillId="0" borderId="5" xfId="2" applyNumberFormat="1" applyFont="1" applyFill="1" applyBorder="1" applyAlignment="1">
      <alignment horizontal="right"/>
    </xf>
    <xf numFmtId="165" fontId="14" fillId="0" borderId="3" xfId="2" applyNumberFormat="1" applyFont="1" applyFill="1" applyBorder="1"/>
    <xf numFmtId="167" fontId="14" fillId="0" borderId="0" xfId="0" applyNumberFormat="1" applyFont="1" applyFill="1" applyAlignment="1">
      <alignment horizontal="right"/>
    </xf>
    <xf numFmtId="166" fontId="26" fillId="0" borderId="0" xfId="1" quotePrefix="1" applyNumberFormat="1" applyFont="1" applyBorder="1" applyAlignment="1">
      <alignment horizontal="left"/>
    </xf>
    <xf numFmtId="5" fontId="7" fillId="0" borderId="0" xfId="2" applyNumberFormat="1" applyFont="1" applyFill="1" applyBorder="1" applyAlignment="1">
      <alignment horizontal="center"/>
    </xf>
    <xf numFmtId="166" fontId="6" fillId="0" borderId="7" xfId="1" applyNumberFormat="1" applyFont="1" applyFill="1" applyBorder="1" applyAlignment="1">
      <alignment horizontal="right"/>
    </xf>
    <xf numFmtId="165" fontId="6" fillId="0" borderId="7" xfId="2" applyNumberFormat="1" applyFont="1" applyFill="1" applyBorder="1" applyAlignment="1">
      <alignment horizontal="right"/>
    </xf>
    <xf numFmtId="166" fontId="7" fillId="0" borderId="7" xfId="1" applyNumberFormat="1" applyFont="1" applyFill="1" applyBorder="1" applyAlignment="1">
      <alignment horizontal="center"/>
    </xf>
    <xf numFmtId="166" fontId="7" fillId="0" borderId="7" xfId="1" applyNumberFormat="1" applyFont="1" applyFill="1" applyBorder="1" applyAlignment="1">
      <alignment horizontal="right"/>
    </xf>
    <xf numFmtId="5" fontId="7" fillId="0" borderId="7" xfId="2" applyNumberFormat="1" applyFont="1" applyFill="1" applyBorder="1" applyAlignment="1">
      <alignment horizontal="center"/>
    </xf>
    <xf numFmtId="165" fontId="7" fillId="0" borderId="0" xfId="2" applyNumberFormat="1" applyFont="1" applyFill="1" applyAlignment="1">
      <alignment horizontal="center"/>
    </xf>
    <xf numFmtId="165" fontId="7" fillId="0" borderId="3" xfId="2" applyNumberFormat="1" applyFont="1" applyFill="1" applyBorder="1" applyAlignment="1">
      <alignment horizontal="center"/>
    </xf>
    <xf numFmtId="165" fontId="7" fillId="0" borderId="7" xfId="2" applyNumberFormat="1" applyFont="1" applyFill="1" applyBorder="1" applyAlignment="1">
      <alignment horizontal="center" vertical="center"/>
    </xf>
    <xf numFmtId="165" fontId="7" fillId="0" borderId="0" xfId="2" applyNumberFormat="1" applyFont="1" applyFill="1" applyAlignment="1">
      <alignment horizontal="center" vertical="center"/>
    </xf>
    <xf numFmtId="165" fontId="7" fillId="0" borderId="3" xfId="2" applyNumberFormat="1" applyFont="1" applyFill="1" applyBorder="1" applyAlignment="1">
      <alignment horizontal="center" vertical="center"/>
    </xf>
    <xf numFmtId="37" fontId="2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3" fontId="16" fillId="0" borderId="0" xfId="3" applyNumberFormat="1" applyFont="1" applyFill="1" applyAlignment="1">
      <alignment horizontal="center" wrapText="1"/>
    </xf>
    <xf numFmtId="166" fontId="7" fillId="0" borderId="0" xfId="1" applyNumberFormat="1" applyFont="1" applyFill="1" applyAlignment="1">
      <alignment horizontal="left"/>
    </xf>
    <xf numFmtId="0" fontId="0" fillId="0" borderId="0" xfId="0" applyAlignment="1">
      <alignment horizontal="left"/>
    </xf>
    <xf numFmtId="3" fontId="6" fillId="0" borderId="0" xfId="3" applyNumberFormat="1" applyFont="1" applyFill="1" applyBorder="1" applyAlignment="1">
      <alignment horizontal="right" wrapText="1"/>
    </xf>
    <xf numFmtId="3" fontId="6" fillId="0" borderId="0" xfId="3" applyNumberFormat="1" applyFont="1" applyFill="1" applyBorder="1" applyAlignment="1">
      <alignment horizontal="right"/>
    </xf>
    <xf numFmtId="165" fontId="7" fillId="0" borderId="0" xfId="2" applyNumberFormat="1" applyFont="1" applyFill="1" applyBorder="1" applyAlignment="1">
      <alignment horizontal="right"/>
    </xf>
    <xf numFmtId="166" fontId="6" fillId="0" borderId="0" xfId="1" applyNumberFormat="1" applyFont="1" applyFill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Alignment="1">
      <alignment textRotation="180" wrapText="1"/>
    </xf>
    <xf numFmtId="3" fontId="6" fillId="0" borderId="0" xfId="3" applyNumberFormat="1" applyFont="1" applyFill="1" applyBorder="1" applyAlignment="1">
      <alignment horizontal="left"/>
    </xf>
    <xf numFmtId="0" fontId="10" fillId="0" borderId="0" xfId="0" quotePrefix="1" applyFont="1" applyBorder="1" applyAlignment="1">
      <alignment horizontal="center"/>
    </xf>
    <xf numFmtId="3" fontId="6" fillId="0" borderId="0" xfId="3" applyNumberFormat="1" applyFont="1" applyFill="1" applyBorder="1" applyAlignment="1">
      <alignment horizontal="left" wrapText="1"/>
    </xf>
    <xf numFmtId="3" fontId="7" fillId="0" borderId="0" xfId="3" applyNumberFormat="1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indent="2"/>
    </xf>
    <xf numFmtId="0" fontId="2" fillId="0" borderId="0" xfId="0" applyFont="1" applyFill="1" applyBorder="1" applyAlignment="1">
      <alignment horizontal="left" indent="3"/>
    </xf>
    <xf numFmtId="0" fontId="2" fillId="0" borderId="0" xfId="0" applyFont="1" applyFill="1" applyBorder="1" applyAlignment="1">
      <alignment horizontal="left" indent="4"/>
    </xf>
    <xf numFmtId="0" fontId="2" fillId="0" borderId="0" xfId="0" applyFont="1" applyFill="1" applyBorder="1" applyAlignment="1">
      <alignment horizontal="left" indent="6"/>
    </xf>
    <xf numFmtId="0" fontId="3" fillId="0" borderId="0" xfId="0" applyFont="1" applyFill="1" applyBorder="1" applyAlignment="1">
      <alignment horizontal="left"/>
    </xf>
    <xf numFmtId="167" fontId="14" fillId="0" borderId="0" xfId="0" applyNumberFormat="1" applyFont="1" applyFill="1" applyBorder="1" applyAlignment="1">
      <alignment horizontal="right"/>
    </xf>
    <xf numFmtId="43" fontId="3" fillId="0" borderId="0" xfId="1" applyFont="1" applyFill="1" applyBorder="1"/>
    <xf numFmtId="166" fontId="3" fillId="0" borderId="0" xfId="1" applyNumberFormat="1" applyFont="1" applyFill="1" applyBorder="1"/>
    <xf numFmtId="165" fontId="12" fillId="0" borderId="0" xfId="2" quotePrefix="1" applyNumberFormat="1" applyFont="1" applyFill="1" applyBorder="1"/>
    <xf numFmtId="167" fontId="3" fillId="0" borderId="0" xfId="0" applyNumberFormat="1" applyFont="1" applyFill="1" applyBorder="1"/>
    <xf numFmtId="3" fontId="16" fillId="0" borderId="0" xfId="3" applyNumberFormat="1" applyFont="1" applyFill="1" applyBorder="1" applyAlignment="1">
      <alignment horizontal="center" wrapText="1"/>
    </xf>
    <xf numFmtId="3" fontId="20" fillId="0" borderId="0" xfId="3" applyNumberFormat="1" applyFont="1" applyFill="1" applyBorder="1" applyAlignment="1">
      <alignment horizontal="left"/>
    </xf>
    <xf numFmtId="165" fontId="6" fillId="0" borderId="0" xfId="2" applyNumberFormat="1" applyFont="1" applyFill="1" applyAlignment="1">
      <alignment horizontal="center" vertical="center"/>
    </xf>
    <xf numFmtId="3" fontId="6" fillId="0" borderId="0" xfId="3" applyNumberFormat="1" applyFont="1" applyFill="1" applyAlignment="1">
      <alignment vertical="top" wrapText="1"/>
    </xf>
    <xf numFmtId="3" fontId="33" fillId="0" borderId="0" xfId="3" applyNumberFormat="1" applyFont="1" applyFill="1" applyAlignment="1">
      <alignment horizontal="left"/>
    </xf>
    <xf numFmtId="0" fontId="27" fillId="0" borderId="0" xfId="0" applyFont="1" applyFill="1" applyAlignment="1">
      <alignment horizontal="left"/>
    </xf>
    <xf numFmtId="3" fontId="7" fillId="0" borderId="0" xfId="3" applyNumberFormat="1" applyFont="1" applyFill="1" applyAlignment="1">
      <alignment horizontal="center" vertical="center"/>
    </xf>
    <xf numFmtId="166" fontId="3" fillId="0" borderId="7" xfId="1" applyNumberFormat="1" applyFont="1" applyBorder="1"/>
    <xf numFmtId="166" fontId="14" fillId="0" borderId="0" xfId="1" applyNumberFormat="1" applyFont="1"/>
    <xf numFmtId="3" fontId="7" fillId="0" borderId="0" xfId="3" applyNumberFormat="1" applyFont="1" applyFill="1" applyAlignment="1">
      <alignment horizontal="center" vertical="center"/>
    </xf>
    <xf numFmtId="0" fontId="14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0" fontId="13" fillId="0" borderId="0" xfId="0" quotePrefix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3" fillId="0" borderId="0" xfId="0" applyFont="1" applyAlignment="1">
      <alignment horizontal="left" vertical="center" wrapText="1"/>
    </xf>
    <xf numFmtId="3" fontId="6" fillId="0" borderId="0" xfId="3" applyNumberFormat="1" applyFont="1" applyFill="1" applyAlignment="1">
      <alignment horizontal="left" vertical="top" wrapText="1"/>
    </xf>
    <xf numFmtId="3" fontId="16" fillId="0" borderId="0" xfId="3" applyNumberFormat="1" applyFont="1" applyFill="1" applyAlignment="1">
      <alignment horizontal="center" wrapText="1"/>
    </xf>
    <xf numFmtId="3" fontId="16" fillId="0" borderId="0" xfId="3" applyNumberFormat="1" applyFont="1" applyFill="1" applyAlignment="1">
      <alignment horizontal="center"/>
    </xf>
    <xf numFmtId="3" fontId="16" fillId="0" borderId="0" xfId="3" quotePrefix="1" applyNumberFormat="1" applyFont="1" applyFill="1" applyAlignment="1">
      <alignment horizontal="center" wrapText="1"/>
    </xf>
    <xf numFmtId="3" fontId="7" fillId="0" borderId="0" xfId="3" applyNumberFormat="1" applyFont="1" applyFill="1" applyAlignment="1">
      <alignment horizontal="center" vertical="center"/>
    </xf>
    <xf numFmtId="0" fontId="14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63500</xdr:colOff>
      <xdr:row>28</xdr:row>
      <xdr:rowOff>79377</xdr:rowOff>
    </xdr:from>
    <xdr:ext cx="800219" cy="2309222"/>
    <xdr:sp macro="" textlink="">
      <xdr:nvSpPr>
        <xdr:cNvPr id="3" name="TextBox 2"/>
        <xdr:cNvSpPr txBox="1"/>
      </xdr:nvSpPr>
      <xdr:spPr>
        <a:xfrm rot="5400000">
          <a:off x="6595624" y="6326628"/>
          <a:ext cx="2309222" cy="8002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Docket No. 160021-EI</a:t>
          </a:r>
        </a:p>
        <a:p>
          <a:pPr algn="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FPSC Adjustments for Cedar Bay </a:t>
          </a:r>
        </a:p>
        <a:p>
          <a:pPr algn="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and Woodford Project Costs</a:t>
          </a:r>
        </a:p>
        <a:p>
          <a:pPr algn="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Exhibit KO-9, Page 1 of 3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771524</xdr:colOff>
      <xdr:row>51</xdr:row>
      <xdr:rowOff>0</xdr:rowOff>
    </xdr:from>
    <xdr:ext cx="857249" cy="2309222"/>
    <xdr:sp macro="" textlink="">
      <xdr:nvSpPr>
        <xdr:cNvPr id="2" name="TextBox 1"/>
        <xdr:cNvSpPr txBox="1"/>
      </xdr:nvSpPr>
      <xdr:spPr>
        <a:xfrm rot="5400000">
          <a:off x="7713163" y="7117261"/>
          <a:ext cx="2309222" cy="8572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Docket No. 160021-EI</a:t>
          </a:r>
        </a:p>
        <a:p>
          <a:pPr algn="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FPSC Adjustments for Cedar Bay </a:t>
          </a:r>
        </a:p>
        <a:p>
          <a:pPr algn="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and Woodford Project Costs</a:t>
          </a:r>
        </a:p>
        <a:p>
          <a:pPr algn="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Exhibit KO-9, Page 2 of 3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450056</xdr:colOff>
      <xdr:row>33</xdr:row>
      <xdr:rowOff>45248</xdr:rowOff>
    </xdr:from>
    <xdr:ext cx="800219" cy="2309222"/>
    <xdr:sp macro="" textlink="">
      <xdr:nvSpPr>
        <xdr:cNvPr id="2" name="TextBox 1"/>
        <xdr:cNvSpPr txBox="1"/>
      </xdr:nvSpPr>
      <xdr:spPr>
        <a:xfrm rot="5400000">
          <a:off x="7658455" y="6829074"/>
          <a:ext cx="2309222" cy="8002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Docket No. 160021-EI</a:t>
          </a:r>
        </a:p>
        <a:p>
          <a:pPr algn="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FPSC Adjustments for Cedar Bay </a:t>
          </a:r>
        </a:p>
        <a:p>
          <a:pPr algn="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and Woodford Project Costs</a:t>
          </a:r>
        </a:p>
        <a:p>
          <a:pPr algn="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Exhibit KO-9, Page 3 of 3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202051</xdr:colOff>
      <xdr:row>72</xdr:row>
      <xdr:rowOff>162282</xdr:rowOff>
    </xdr:from>
    <xdr:ext cx="800219" cy="2309222"/>
    <xdr:sp macro="" textlink="">
      <xdr:nvSpPr>
        <xdr:cNvPr id="2" name="TextBox 1"/>
        <xdr:cNvSpPr txBox="1"/>
      </xdr:nvSpPr>
      <xdr:spPr>
        <a:xfrm rot="5400000">
          <a:off x="17983200" y="14404183"/>
          <a:ext cx="2309222" cy="8002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Docket No. 160021-EI</a:t>
          </a:r>
        </a:p>
        <a:p>
          <a:pPr algn="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FPSC Adjustments for Cedar Bay </a:t>
          </a:r>
        </a:p>
        <a:p>
          <a:pPr algn="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and Woodford Project Costs</a:t>
          </a:r>
        </a:p>
        <a:p>
          <a:pPr algn="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Exhibit KO-9, Page 1 of 5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1028700</xdr:colOff>
      <xdr:row>71</xdr:row>
      <xdr:rowOff>66676</xdr:rowOff>
    </xdr:from>
    <xdr:ext cx="800219" cy="2309222"/>
    <xdr:sp macro="" textlink="">
      <xdr:nvSpPr>
        <xdr:cNvPr id="2" name="TextBox 1"/>
        <xdr:cNvSpPr txBox="1"/>
      </xdr:nvSpPr>
      <xdr:spPr>
        <a:xfrm rot="5400000">
          <a:off x="18266924" y="13060802"/>
          <a:ext cx="2309222" cy="8002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Docket No. 160021-EI</a:t>
          </a:r>
        </a:p>
        <a:p>
          <a:pPr algn="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FPSC Adjustments for Cedar Bay </a:t>
          </a:r>
        </a:p>
        <a:p>
          <a:pPr algn="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and Woodford Project Costs</a:t>
          </a:r>
        </a:p>
        <a:p>
          <a:pPr algn="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Exhibit KO-9, Page 3 of 5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U67"/>
  <sheetViews>
    <sheetView tabSelected="1" zoomScale="80" zoomScaleNormal="80" workbookViewId="0">
      <selection activeCell="B2" sqref="B2"/>
    </sheetView>
  </sheetViews>
  <sheetFormatPr defaultRowHeight="14.4" x14ac:dyDescent="0.3"/>
  <cols>
    <col min="1" max="1" width="11.77734375" style="52" customWidth="1"/>
    <col min="2" max="2" width="61.33203125" bestFit="1" customWidth="1"/>
    <col min="3" max="3" width="4" style="90" customWidth="1"/>
    <col min="4" max="4" width="15.88671875" style="98" customWidth="1"/>
    <col min="5" max="5" width="3" style="127" customWidth="1"/>
    <col min="6" max="7" width="16" customWidth="1"/>
    <col min="8" max="8" width="7" customWidth="1"/>
    <col min="9" max="9" width="16" customWidth="1"/>
    <col min="10" max="10" width="14.6640625" bestFit="1" customWidth="1"/>
    <col min="11" max="11" width="14" bestFit="1" customWidth="1"/>
    <col min="12" max="21" width="15" bestFit="1" customWidth="1"/>
  </cols>
  <sheetData>
    <row r="1" spans="1:9" x14ac:dyDescent="0.3">
      <c r="A1" s="168" t="s">
        <v>208</v>
      </c>
    </row>
    <row r="2" spans="1:9" x14ac:dyDescent="0.3">
      <c r="A2" s="168" t="s">
        <v>209</v>
      </c>
    </row>
    <row r="3" spans="1:9" ht="18" x14ac:dyDescent="0.35">
      <c r="A3" s="157" t="s">
        <v>69</v>
      </c>
      <c r="B3" s="157"/>
      <c r="C3" s="157"/>
      <c r="D3" s="157"/>
      <c r="E3" s="157"/>
      <c r="F3" s="157"/>
      <c r="G3" s="118"/>
      <c r="H3" s="118"/>
      <c r="I3" s="118"/>
    </row>
    <row r="4" spans="1:9" ht="19.8" x14ac:dyDescent="0.35">
      <c r="A4" s="157" t="s">
        <v>94</v>
      </c>
      <c r="B4" s="157"/>
      <c r="C4" s="157"/>
      <c r="D4" s="157"/>
      <c r="E4" s="157"/>
      <c r="F4" s="157"/>
      <c r="G4" s="118"/>
      <c r="H4" s="118"/>
      <c r="I4" s="118"/>
    </row>
    <row r="5" spans="1:9" s="10" customFormat="1" ht="18" x14ac:dyDescent="0.35">
      <c r="A5" s="157" t="s">
        <v>115</v>
      </c>
      <c r="B5" s="157"/>
      <c r="C5" s="157"/>
      <c r="D5" s="157"/>
      <c r="E5" s="157"/>
      <c r="F5" s="157"/>
      <c r="G5" s="118"/>
      <c r="H5" s="118"/>
      <c r="I5" s="118"/>
    </row>
    <row r="6" spans="1:9" s="10" customFormat="1" ht="18" x14ac:dyDescent="0.35">
      <c r="A6" s="158" t="s">
        <v>72</v>
      </c>
      <c r="B6" s="158"/>
      <c r="C6" s="158"/>
      <c r="D6" s="158"/>
      <c r="E6" s="158"/>
      <c r="F6" s="158"/>
      <c r="G6" s="119"/>
      <c r="H6" s="119"/>
      <c r="I6" s="119"/>
    </row>
    <row r="7" spans="1:9" s="10" customFormat="1" ht="18" x14ac:dyDescent="0.35">
      <c r="A7" s="156"/>
      <c r="B7" s="119"/>
      <c r="C7" s="130"/>
      <c r="D7" s="119"/>
      <c r="E7" s="119"/>
      <c r="F7" s="119"/>
      <c r="G7" s="119"/>
      <c r="H7" s="119"/>
      <c r="I7" s="119"/>
    </row>
    <row r="8" spans="1:9" s="10" customFormat="1" ht="13.2" x14ac:dyDescent="0.25">
      <c r="A8" s="22"/>
      <c r="B8" s="9"/>
      <c r="C8" s="131"/>
      <c r="E8" s="123"/>
    </row>
    <row r="9" spans="1:9" s="15" customFormat="1" ht="41.25" customHeight="1" thickBot="1" x14ac:dyDescent="0.3">
      <c r="A9" s="40" t="s">
        <v>47</v>
      </c>
      <c r="B9" s="40" t="s">
        <v>119</v>
      </c>
      <c r="C9" s="42"/>
      <c r="D9" s="40" t="s">
        <v>117</v>
      </c>
      <c r="E9" s="42"/>
      <c r="F9" s="40" t="s">
        <v>118</v>
      </c>
      <c r="G9" s="42"/>
      <c r="H9" s="42"/>
      <c r="I9" s="42"/>
    </row>
    <row r="10" spans="1:9" s="15" customFormat="1" ht="13.2" x14ac:dyDescent="0.25">
      <c r="A10" s="22"/>
      <c r="C10" s="41"/>
      <c r="E10" s="41"/>
    </row>
    <row r="11" spans="1:9" x14ac:dyDescent="0.3">
      <c r="A11" s="52">
        <v>1</v>
      </c>
      <c r="B11" s="12" t="s">
        <v>173</v>
      </c>
      <c r="C11" s="129"/>
      <c r="D11" s="25">
        <v>8696.5859999999975</v>
      </c>
      <c r="E11" s="60"/>
      <c r="F11" s="99">
        <v>8696.5859999999975</v>
      </c>
      <c r="G11" s="99"/>
      <c r="H11" s="99"/>
      <c r="I11" s="99"/>
    </row>
    <row r="12" spans="1:9" x14ac:dyDescent="0.3">
      <c r="A12" s="52">
        <f>+A11+1</f>
        <v>2</v>
      </c>
      <c r="B12" s="12" t="s">
        <v>174</v>
      </c>
      <c r="C12" s="129"/>
      <c r="D12" s="11">
        <v>694073.13368999981</v>
      </c>
      <c r="E12" s="124"/>
      <c r="F12" s="100">
        <v>1069073.1336899998</v>
      </c>
      <c r="G12" s="100"/>
      <c r="H12" s="100"/>
      <c r="I12" s="100"/>
    </row>
    <row r="13" spans="1:9" x14ac:dyDescent="0.3">
      <c r="A13" s="52">
        <f t="shared" ref="A13:A44" si="0">+A12+1</f>
        <v>3</v>
      </c>
      <c r="B13" s="12" t="s">
        <v>175</v>
      </c>
      <c r="C13" s="129"/>
      <c r="D13" s="11">
        <v>206929</v>
      </c>
      <c r="E13" s="124"/>
      <c r="F13" s="100">
        <v>331929</v>
      </c>
      <c r="G13" s="100"/>
      <c r="H13" s="100"/>
      <c r="I13" s="100"/>
    </row>
    <row r="14" spans="1:9" x14ac:dyDescent="0.3">
      <c r="A14" s="52">
        <f t="shared" si="0"/>
        <v>4</v>
      </c>
      <c r="B14" s="12" t="s">
        <v>176</v>
      </c>
      <c r="C14" s="129"/>
      <c r="D14" s="11">
        <v>241.68899999999996</v>
      </c>
      <c r="E14" s="124"/>
      <c r="F14" s="100">
        <v>241.68899999999996</v>
      </c>
      <c r="G14" s="100"/>
      <c r="H14" s="100"/>
      <c r="I14" s="100"/>
    </row>
    <row r="15" spans="1:9" x14ac:dyDescent="0.3">
      <c r="A15" s="52">
        <f t="shared" si="0"/>
        <v>5</v>
      </c>
      <c r="B15" s="12" t="s">
        <v>177</v>
      </c>
      <c r="C15" s="129"/>
      <c r="D15" s="11">
        <v>1369.1049999999998</v>
      </c>
      <c r="E15" s="124"/>
      <c r="F15" s="100">
        <v>1369.1049999999998</v>
      </c>
      <c r="G15" s="100"/>
      <c r="H15" s="100"/>
      <c r="I15" s="100"/>
    </row>
    <row r="16" spans="1:9" x14ac:dyDescent="0.3">
      <c r="A16" s="52">
        <f t="shared" si="0"/>
        <v>6</v>
      </c>
      <c r="B16" s="12" t="s">
        <v>178</v>
      </c>
      <c r="C16" s="129"/>
      <c r="D16" s="11">
        <v>5.5300000060636229E-3</v>
      </c>
      <c r="E16" s="124"/>
      <c r="F16" s="100">
        <v>9.5300000049173498E-3</v>
      </c>
      <c r="G16" s="100"/>
      <c r="H16" s="100"/>
      <c r="I16" s="100"/>
    </row>
    <row r="17" spans="1:10" ht="16.2" x14ac:dyDescent="0.3">
      <c r="A17" s="52">
        <f t="shared" si="0"/>
        <v>7</v>
      </c>
      <c r="B17" s="13" t="s">
        <v>131</v>
      </c>
      <c r="C17" s="132"/>
      <c r="D17" s="102">
        <f>SUM(D11:D16)</f>
        <v>911309.51921999978</v>
      </c>
      <c r="E17" s="125"/>
      <c r="F17" s="102">
        <f>SUM(F11:F16)</f>
        <v>1411309.5232199996</v>
      </c>
      <c r="G17" s="125"/>
      <c r="H17" s="125"/>
      <c r="I17" s="125"/>
      <c r="J17" s="121"/>
    </row>
    <row r="18" spans="1:10" x14ac:dyDescent="0.3">
      <c r="A18" s="52">
        <f t="shared" si="0"/>
        <v>8</v>
      </c>
      <c r="B18" s="12"/>
      <c r="C18" s="129"/>
      <c r="D18" s="16"/>
      <c r="E18" s="126"/>
      <c r="F18" s="100"/>
      <c r="G18" s="100"/>
      <c r="H18" s="100"/>
      <c r="I18" s="100"/>
    </row>
    <row r="19" spans="1:10" x14ac:dyDescent="0.3">
      <c r="A19" s="52">
        <f t="shared" si="0"/>
        <v>9</v>
      </c>
      <c r="B19" s="12" t="s">
        <v>179</v>
      </c>
      <c r="C19" s="129"/>
      <c r="D19" s="25">
        <v>-20.670153846153845</v>
      </c>
      <c r="E19" s="60"/>
      <c r="F19" s="99">
        <v>-30.337769230769229</v>
      </c>
      <c r="G19" s="99"/>
      <c r="H19" s="99"/>
      <c r="I19" s="99"/>
    </row>
    <row r="20" spans="1:10" x14ac:dyDescent="0.3">
      <c r="A20" s="52">
        <f t="shared" si="0"/>
        <v>10</v>
      </c>
      <c r="B20" s="12" t="s">
        <v>180</v>
      </c>
      <c r="C20" s="129"/>
      <c r="D20" s="16">
        <v>-2331.7646923076923</v>
      </c>
      <c r="E20" s="126"/>
      <c r="F20" s="100">
        <v>-3098.3466153846148</v>
      </c>
      <c r="G20" s="100"/>
      <c r="H20" s="100"/>
      <c r="I20" s="100"/>
    </row>
    <row r="21" spans="1:10" x14ac:dyDescent="0.3">
      <c r="A21" s="52">
        <f t="shared" si="0"/>
        <v>11</v>
      </c>
      <c r="B21" s="12" t="s">
        <v>181</v>
      </c>
      <c r="C21" s="129"/>
      <c r="D21" s="16">
        <v>-91884.736000000004</v>
      </c>
      <c r="E21" s="126"/>
      <c r="F21" s="100">
        <v>-193082.40330769232</v>
      </c>
      <c r="G21" s="100"/>
      <c r="H21" s="100"/>
      <c r="I21" s="100"/>
    </row>
    <row r="22" spans="1:10" x14ac:dyDescent="0.3">
      <c r="A22" s="52">
        <f t="shared" si="0"/>
        <v>12</v>
      </c>
      <c r="B22" s="12" t="s">
        <v>182</v>
      </c>
      <c r="C22" s="129"/>
      <c r="D22" s="16">
        <v>-29442.82453846154</v>
      </c>
      <c r="E22" s="126"/>
      <c r="F22" s="100">
        <v>-62959.50453846153</v>
      </c>
      <c r="G22" s="100"/>
      <c r="H22" s="100"/>
      <c r="I22" s="100"/>
    </row>
    <row r="23" spans="1:10" ht="16.2" x14ac:dyDescent="0.3">
      <c r="A23" s="52">
        <f t="shared" si="0"/>
        <v>13</v>
      </c>
      <c r="B23" s="13" t="s">
        <v>132</v>
      </c>
      <c r="C23" s="132"/>
      <c r="D23" s="102">
        <f>SUM(D19:D22)</f>
        <v>-123679.99538461539</v>
      </c>
      <c r="E23" s="125"/>
      <c r="F23" s="102">
        <f>SUM(F19:F22)</f>
        <v>-259170.59223076925</v>
      </c>
      <c r="G23" s="125"/>
      <c r="H23" s="125"/>
      <c r="I23" s="125"/>
      <c r="J23" s="121"/>
    </row>
    <row r="24" spans="1:10" x14ac:dyDescent="0.3">
      <c r="A24" s="52">
        <f t="shared" si="0"/>
        <v>14</v>
      </c>
      <c r="B24" s="12"/>
      <c r="C24" s="129"/>
      <c r="D24" s="16"/>
      <c r="E24" s="126"/>
      <c r="F24" s="100"/>
      <c r="G24" s="100"/>
      <c r="H24" s="100"/>
      <c r="I24" s="100"/>
      <c r="J24" s="122"/>
    </row>
    <row r="25" spans="1:10" s="11" customFormat="1" ht="13.2" x14ac:dyDescent="0.25">
      <c r="A25" s="52">
        <f t="shared" si="0"/>
        <v>15</v>
      </c>
      <c r="B25" s="12" t="s">
        <v>58</v>
      </c>
      <c r="C25" s="129"/>
      <c r="D25" s="25">
        <v>2176.8200000000002</v>
      </c>
      <c r="E25" s="60"/>
      <c r="F25" s="99">
        <v>2176.8200000000002</v>
      </c>
      <c r="G25" s="99"/>
      <c r="H25" s="99"/>
      <c r="I25" s="99"/>
      <c r="J25" s="12"/>
    </row>
    <row r="26" spans="1:10" s="11" customFormat="1" ht="15.6" x14ac:dyDescent="0.25">
      <c r="A26" s="52">
        <f t="shared" si="0"/>
        <v>16</v>
      </c>
      <c r="B26" s="13" t="s">
        <v>133</v>
      </c>
      <c r="C26" s="132"/>
      <c r="D26" s="102">
        <f>SUM(D25)</f>
        <v>2176.8200000000002</v>
      </c>
      <c r="E26" s="125"/>
      <c r="F26" s="102">
        <f>SUM(F25)</f>
        <v>2176.8200000000002</v>
      </c>
      <c r="G26" s="125"/>
      <c r="H26" s="125"/>
      <c r="I26" s="125"/>
      <c r="J26" s="121"/>
    </row>
    <row r="27" spans="1:10" x14ac:dyDescent="0.3">
      <c r="A27" s="52">
        <f t="shared" si="0"/>
        <v>17</v>
      </c>
      <c r="F27" s="98"/>
      <c r="G27" s="98"/>
      <c r="H27" s="98"/>
      <c r="I27" s="98"/>
      <c r="J27" s="122"/>
    </row>
    <row r="28" spans="1:10" x14ac:dyDescent="0.3">
      <c r="A28" s="52">
        <f t="shared" si="0"/>
        <v>18</v>
      </c>
      <c r="B28" s="12" t="s">
        <v>183</v>
      </c>
      <c r="C28" s="129"/>
      <c r="D28" s="25">
        <v>-275.45176923076917</v>
      </c>
      <c r="E28" s="60"/>
      <c r="F28" s="99">
        <v>-291.24269230769232</v>
      </c>
      <c r="G28" s="99"/>
      <c r="H28" s="99"/>
      <c r="I28" s="99"/>
      <c r="J28" s="122"/>
    </row>
    <row r="29" spans="1:10" x14ac:dyDescent="0.3">
      <c r="A29" s="52">
        <f t="shared" si="0"/>
        <v>19</v>
      </c>
      <c r="B29" s="12" t="s">
        <v>187</v>
      </c>
      <c r="C29" s="129"/>
      <c r="D29" s="16">
        <v>-47036.629692307688</v>
      </c>
      <c r="E29" s="126"/>
      <c r="F29" s="100">
        <v>-48359.175153846154</v>
      </c>
      <c r="G29" s="100"/>
      <c r="H29" s="100"/>
      <c r="I29" s="100"/>
      <c r="J29" s="122"/>
    </row>
    <row r="30" spans="1:10" x14ac:dyDescent="0.3">
      <c r="A30" s="52">
        <f t="shared" si="0"/>
        <v>20</v>
      </c>
      <c r="B30" s="12" t="s">
        <v>184</v>
      </c>
      <c r="C30" s="129"/>
      <c r="D30" s="16">
        <v>-954.94476923076934</v>
      </c>
      <c r="E30" s="126"/>
      <c r="F30" s="100">
        <v>-1425.9026153846155</v>
      </c>
      <c r="G30" s="100"/>
      <c r="H30" s="100"/>
      <c r="I30" s="100"/>
      <c r="J30" s="122"/>
    </row>
    <row r="31" spans="1:10" x14ac:dyDescent="0.3">
      <c r="A31" s="52">
        <f t="shared" si="0"/>
        <v>21</v>
      </c>
      <c r="B31" s="12" t="s">
        <v>185</v>
      </c>
      <c r="C31" s="129"/>
      <c r="D31" s="16">
        <v>41767.509661322241</v>
      </c>
      <c r="E31" s="126"/>
      <c r="F31" s="100">
        <v>32351.457802781275</v>
      </c>
      <c r="G31" s="100"/>
      <c r="H31" s="100"/>
      <c r="I31" s="100"/>
      <c r="J31" s="122"/>
    </row>
    <row r="32" spans="1:10" x14ac:dyDescent="0.3">
      <c r="A32" s="52">
        <f t="shared" si="0"/>
        <v>22</v>
      </c>
      <c r="B32" s="12" t="s">
        <v>186</v>
      </c>
      <c r="C32" s="129"/>
      <c r="D32" s="16">
        <v>-23917.903076923078</v>
      </c>
      <c r="E32" s="126"/>
      <c r="F32" s="100">
        <v>-24589.280153846154</v>
      </c>
      <c r="G32" s="100"/>
      <c r="H32" s="100"/>
      <c r="I32" s="100"/>
      <c r="J32" s="122"/>
    </row>
    <row r="33" spans="1:21" ht="16.2" x14ac:dyDescent="0.3">
      <c r="A33" s="52">
        <f t="shared" si="0"/>
        <v>23</v>
      </c>
      <c r="B33" s="13" t="s">
        <v>134</v>
      </c>
      <c r="C33" s="132"/>
      <c r="D33" s="102">
        <f>SUM(D28:D32)</f>
        <v>-30417.419646370061</v>
      </c>
      <c r="E33" s="125"/>
      <c r="F33" s="102">
        <f>SUM(F28:F32)</f>
        <v>-42314.142812603342</v>
      </c>
      <c r="G33" s="125"/>
      <c r="H33" s="125"/>
      <c r="I33" s="125"/>
      <c r="J33" s="121"/>
    </row>
    <row r="34" spans="1:21" x14ac:dyDescent="0.3">
      <c r="A34" s="52">
        <f t="shared" si="0"/>
        <v>24</v>
      </c>
    </row>
    <row r="35" spans="1:21" x14ac:dyDescent="0.3">
      <c r="A35" s="52">
        <f t="shared" si="0"/>
        <v>25</v>
      </c>
      <c r="B35" s="13"/>
      <c r="C35" s="132"/>
      <c r="D35" s="15"/>
      <c r="E35" s="41"/>
    </row>
    <row r="36" spans="1:21" x14ac:dyDescent="0.3">
      <c r="A36" s="52">
        <f t="shared" si="0"/>
        <v>26</v>
      </c>
      <c r="B36" s="129"/>
      <c r="C36" s="129"/>
      <c r="D36" s="15"/>
      <c r="E36" s="41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7"/>
    </row>
    <row r="37" spans="1:21" x14ac:dyDescent="0.3">
      <c r="A37" s="52">
        <f t="shared" si="0"/>
        <v>27</v>
      </c>
      <c r="B37" s="42"/>
      <c r="C37" s="42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7"/>
    </row>
    <row r="38" spans="1:21" x14ac:dyDescent="0.3">
      <c r="A38" s="52">
        <f t="shared" si="0"/>
        <v>28</v>
      </c>
      <c r="B38" s="150" t="s">
        <v>45</v>
      </c>
      <c r="C38" s="129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7"/>
    </row>
    <row r="39" spans="1:21" ht="16.2" x14ac:dyDescent="0.3">
      <c r="A39" s="52">
        <f t="shared" si="0"/>
        <v>29</v>
      </c>
      <c r="B39" s="12" t="s">
        <v>128</v>
      </c>
      <c r="C39" s="129"/>
    </row>
    <row r="40" spans="1:21" x14ac:dyDescent="0.3">
      <c r="A40" s="52">
        <f t="shared" si="0"/>
        <v>30</v>
      </c>
      <c r="B40" s="12" t="s">
        <v>124</v>
      </c>
    </row>
    <row r="41" spans="1:21" ht="16.2" x14ac:dyDescent="0.3">
      <c r="A41" s="52">
        <f t="shared" si="0"/>
        <v>31</v>
      </c>
      <c r="B41" s="12" t="s">
        <v>129</v>
      </c>
    </row>
    <row r="42" spans="1:21" ht="16.2" x14ac:dyDescent="0.3">
      <c r="A42" s="52">
        <f t="shared" si="0"/>
        <v>32</v>
      </c>
      <c r="B42" s="12" t="s">
        <v>130</v>
      </c>
      <c r="C42" s="129"/>
    </row>
    <row r="43" spans="1:21" ht="16.2" x14ac:dyDescent="0.3">
      <c r="A43" s="52">
        <f t="shared" si="0"/>
        <v>33</v>
      </c>
      <c r="B43" s="12" t="s">
        <v>198</v>
      </c>
      <c r="C43" s="129"/>
    </row>
    <row r="44" spans="1:21" ht="16.2" x14ac:dyDescent="0.3">
      <c r="A44" s="52">
        <f t="shared" si="0"/>
        <v>34</v>
      </c>
      <c r="B44" s="12" t="s">
        <v>199</v>
      </c>
      <c r="C44" s="129"/>
    </row>
    <row r="45" spans="1:21" x14ac:dyDescent="0.3">
      <c r="B45" s="12"/>
      <c r="C45" s="129"/>
      <c r="J45" s="121"/>
    </row>
    <row r="46" spans="1:21" x14ac:dyDescent="0.3">
      <c r="B46" s="12"/>
      <c r="C46" s="129"/>
      <c r="J46" s="122"/>
    </row>
    <row r="47" spans="1:21" x14ac:dyDescent="0.3">
      <c r="B47" s="12"/>
      <c r="C47" s="129"/>
      <c r="J47" s="122"/>
    </row>
    <row r="48" spans="1:21" x14ac:dyDescent="0.3">
      <c r="B48" s="12"/>
      <c r="C48" s="129"/>
      <c r="J48" s="122"/>
    </row>
    <row r="49" spans="2:10" x14ac:dyDescent="0.3">
      <c r="B49" s="12"/>
      <c r="C49" s="129"/>
      <c r="J49" s="122"/>
    </row>
    <row r="50" spans="2:10" x14ac:dyDescent="0.3">
      <c r="B50" s="12"/>
      <c r="C50" s="129"/>
      <c r="J50" s="122"/>
    </row>
    <row r="51" spans="2:10" x14ac:dyDescent="0.3">
      <c r="B51" s="12"/>
      <c r="C51" s="129"/>
      <c r="J51" s="121"/>
    </row>
    <row r="52" spans="2:10" x14ac:dyDescent="0.3">
      <c r="B52" s="12"/>
      <c r="C52" s="129"/>
      <c r="J52" s="122"/>
    </row>
    <row r="53" spans="2:10" x14ac:dyDescent="0.3">
      <c r="B53" s="12"/>
      <c r="C53" s="129"/>
      <c r="J53" s="122"/>
    </row>
    <row r="54" spans="2:10" x14ac:dyDescent="0.3">
      <c r="B54" s="12"/>
      <c r="C54" s="129"/>
      <c r="J54" s="121"/>
    </row>
    <row r="55" spans="2:10" x14ac:dyDescent="0.3">
      <c r="J55" s="122"/>
    </row>
    <row r="56" spans="2:10" x14ac:dyDescent="0.3">
      <c r="B56" s="12"/>
      <c r="C56" s="129"/>
      <c r="J56" s="122"/>
    </row>
    <row r="57" spans="2:10" x14ac:dyDescent="0.3">
      <c r="B57" s="12"/>
      <c r="C57" s="129"/>
      <c r="J57" s="122"/>
    </row>
    <row r="58" spans="2:10" x14ac:dyDescent="0.3">
      <c r="B58" s="12"/>
      <c r="C58" s="129"/>
      <c r="J58" s="122"/>
    </row>
    <row r="59" spans="2:10" x14ac:dyDescent="0.3">
      <c r="B59" s="12"/>
      <c r="C59" s="129"/>
      <c r="J59" s="122"/>
    </row>
    <row r="60" spans="2:10" x14ac:dyDescent="0.3">
      <c r="B60" s="12"/>
      <c r="C60" s="129"/>
      <c r="J60" s="122"/>
    </row>
    <row r="61" spans="2:10" x14ac:dyDescent="0.3">
      <c r="J61" s="121"/>
    </row>
    <row r="66" spans="4:5" ht="15" customHeight="1" x14ac:dyDescent="0.3">
      <c r="D66" s="101"/>
      <c r="E66" s="128"/>
    </row>
    <row r="67" spans="4:5" x14ac:dyDescent="0.3">
      <c r="D67" s="101"/>
      <c r="E67" s="128"/>
    </row>
  </sheetData>
  <mergeCells count="4">
    <mergeCell ref="A3:F3"/>
    <mergeCell ref="A4:F4"/>
    <mergeCell ref="A5:F5"/>
    <mergeCell ref="A6:F6"/>
  </mergeCells>
  <printOptions horizontalCentered="1" verticalCentered="1"/>
  <pageMargins left="1.25" right="0.25" top="0.25" bottom="0.25" header="0.05" footer="0.05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G64"/>
  <sheetViews>
    <sheetView showGridLines="0" zoomScale="80" zoomScaleNormal="80" workbookViewId="0">
      <selection activeCell="A2" sqref="A2"/>
    </sheetView>
  </sheetViews>
  <sheetFormatPr defaultColWidth="9.109375" defaultRowHeight="13.2" x14ac:dyDescent="0.25"/>
  <cols>
    <col min="1" max="1" width="10.88671875" style="50" customWidth="1"/>
    <col min="2" max="2" width="62.33203125" style="47" customWidth="1"/>
    <col min="3" max="3" width="3.5546875" style="140" customWidth="1"/>
    <col min="4" max="4" width="17.5546875" style="6" customWidth="1"/>
    <col min="5" max="5" width="4.88671875" style="39" customWidth="1"/>
    <col min="6" max="6" width="17.5546875" style="6" customWidth="1"/>
    <col min="7" max="7" width="16.88671875" style="6" customWidth="1"/>
    <col min="8" max="16384" width="9.109375" style="6"/>
  </cols>
  <sheetData>
    <row r="1" spans="1:7" x14ac:dyDescent="0.25">
      <c r="A1" s="51" t="s">
        <v>210</v>
      </c>
    </row>
    <row r="2" spans="1:7" x14ac:dyDescent="0.25">
      <c r="A2" s="51" t="s">
        <v>209</v>
      </c>
    </row>
    <row r="3" spans="1:7" s="53" customFormat="1" ht="15.6" x14ac:dyDescent="0.3">
      <c r="A3" s="161" t="s">
        <v>69</v>
      </c>
      <c r="B3" s="161"/>
      <c r="C3" s="161"/>
      <c r="D3" s="161"/>
      <c r="E3" s="161"/>
      <c r="F3" s="161"/>
      <c r="G3" s="161"/>
    </row>
    <row r="4" spans="1:7" s="53" customFormat="1" ht="15.6" x14ac:dyDescent="0.3">
      <c r="A4" s="161" t="s">
        <v>73</v>
      </c>
      <c r="B4" s="161"/>
      <c r="C4" s="161"/>
      <c r="D4" s="161"/>
      <c r="E4" s="161"/>
      <c r="F4" s="161"/>
      <c r="G4" s="161"/>
    </row>
    <row r="5" spans="1:7" s="53" customFormat="1" ht="15.6" x14ac:dyDescent="0.3">
      <c r="A5" s="161" t="s">
        <v>115</v>
      </c>
      <c r="B5" s="161"/>
      <c r="C5" s="161"/>
      <c r="D5" s="161"/>
      <c r="E5" s="161"/>
      <c r="F5" s="161"/>
      <c r="G5" s="161"/>
    </row>
    <row r="6" spans="1:7" s="53" customFormat="1" ht="15.6" x14ac:dyDescent="0.25">
      <c r="A6" s="159" t="s">
        <v>72</v>
      </c>
      <c r="B6" s="160"/>
      <c r="C6" s="160"/>
      <c r="D6" s="160"/>
      <c r="E6" s="160"/>
      <c r="F6" s="160"/>
      <c r="G6" s="160"/>
    </row>
    <row r="7" spans="1:7" x14ac:dyDescent="0.25">
      <c r="B7" s="51"/>
      <c r="C7" s="133"/>
      <c r="D7" s="50"/>
      <c r="E7" s="81"/>
      <c r="F7" s="50"/>
      <c r="G7" s="50"/>
    </row>
    <row r="8" spans="1:7" s="39" customFormat="1" ht="13.8" thickBot="1" x14ac:dyDescent="0.3">
      <c r="A8" s="40" t="s">
        <v>47</v>
      </c>
      <c r="B8" s="49" t="s">
        <v>70</v>
      </c>
      <c r="C8" s="134"/>
      <c r="D8" s="49">
        <v>2017</v>
      </c>
      <c r="E8" s="82"/>
      <c r="F8" s="49">
        <v>2018</v>
      </c>
    </row>
    <row r="9" spans="1:7" x14ac:dyDescent="0.25">
      <c r="A9" s="22"/>
      <c r="B9" s="7"/>
      <c r="C9" s="135"/>
      <c r="D9" s="1"/>
      <c r="F9" s="1"/>
    </row>
    <row r="10" spans="1:7" x14ac:dyDescent="0.25">
      <c r="A10" s="52">
        <v>1</v>
      </c>
      <c r="B10" s="2" t="s">
        <v>0</v>
      </c>
      <c r="C10" s="136"/>
      <c r="D10" s="1"/>
      <c r="F10" s="1"/>
    </row>
    <row r="11" spans="1:7" x14ac:dyDescent="0.25">
      <c r="A11" s="52">
        <f>+A10+1</f>
        <v>2</v>
      </c>
      <c r="B11" s="3" t="s">
        <v>1</v>
      </c>
      <c r="C11" s="137"/>
      <c r="D11" s="1"/>
      <c r="F11" s="1"/>
    </row>
    <row r="12" spans="1:7" x14ac:dyDescent="0.25">
      <c r="A12" s="52">
        <f t="shared" ref="A12:A21" si="0">+A11+1</f>
        <v>3</v>
      </c>
      <c r="B12" s="5" t="s">
        <v>2</v>
      </c>
      <c r="C12" s="138"/>
      <c r="D12" s="1"/>
      <c r="F12" s="1"/>
    </row>
    <row r="13" spans="1:7" hidden="1" x14ac:dyDescent="0.25">
      <c r="A13" s="52">
        <f t="shared" si="0"/>
        <v>4</v>
      </c>
      <c r="B13" s="4" t="s">
        <v>3</v>
      </c>
      <c r="C13" s="139"/>
      <c r="D13" s="48">
        <v>0</v>
      </c>
      <c r="E13" s="142"/>
      <c r="F13" s="48">
        <v>0</v>
      </c>
    </row>
    <row r="14" spans="1:7" hidden="1" x14ac:dyDescent="0.25">
      <c r="A14" s="52">
        <f t="shared" si="0"/>
        <v>5</v>
      </c>
      <c r="B14" s="4" t="s">
        <v>4</v>
      </c>
      <c r="C14" s="139"/>
      <c r="D14" s="48">
        <v>0</v>
      </c>
      <c r="E14" s="142"/>
      <c r="F14" s="48">
        <v>0</v>
      </c>
    </row>
    <row r="15" spans="1:7" x14ac:dyDescent="0.25">
      <c r="A15" s="52">
        <f>+A12+1</f>
        <v>4</v>
      </c>
      <c r="B15" s="4" t="s">
        <v>164</v>
      </c>
      <c r="C15" s="139"/>
      <c r="D15" s="95">
        <v>2678.7130000000002</v>
      </c>
      <c r="E15" s="143"/>
      <c r="F15" s="95">
        <v>2234.0740000000001</v>
      </c>
    </row>
    <row r="16" spans="1:7" hidden="1" x14ac:dyDescent="0.25">
      <c r="A16" s="52">
        <f t="shared" si="0"/>
        <v>5</v>
      </c>
      <c r="B16" s="4" t="s">
        <v>5</v>
      </c>
      <c r="C16" s="139"/>
      <c r="D16" s="70">
        <v>0</v>
      </c>
      <c r="E16" s="143"/>
      <c r="F16" s="70">
        <v>0</v>
      </c>
    </row>
    <row r="17" spans="1:6" hidden="1" x14ac:dyDescent="0.25">
      <c r="A17" s="52">
        <f t="shared" si="0"/>
        <v>6</v>
      </c>
      <c r="B17" s="4" t="s">
        <v>6</v>
      </c>
      <c r="C17" s="139"/>
      <c r="D17" s="70">
        <v>0</v>
      </c>
      <c r="E17" s="143"/>
      <c r="F17" s="70">
        <v>0</v>
      </c>
    </row>
    <row r="18" spans="1:6" hidden="1" x14ac:dyDescent="0.25">
      <c r="A18" s="52">
        <f t="shared" si="0"/>
        <v>7</v>
      </c>
      <c r="B18" s="4" t="s">
        <v>7</v>
      </c>
      <c r="C18" s="139"/>
      <c r="D18" s="70">
        <v>0</v>
      </c>
      <c r="E18" s="143"/>
      <c r="F18" s="70">
        <v>0</v>
      </c>
    </row>
    <row r="19" spans="1:6" ht="13.8" thickBot="1" x14ac:dyDescent="0.3">
      <c r="A19" s="52">
        <f>+A15+1</f>
        <v>5</v>
      </c>
      <c r="B19" s="4" t="s">
        <v>165</v>
      </c>
      <c r="C19" s="139"/>
      <c r="D19" s="70">
        <v>58187.95</v>
      </c>
      <c r="E19" s="143"/>
      <c r="F19" s="70">
        <v>69862.013999999996</v>
      </c>
    </row>
    <row r="20" spans="1:6" ht="13.8" hidden="1" thickBot="1" x14ac:dyDescent="0.3">
      <c r="A20" s="52">
        <f t="shared" si="0"/>
        <v>6</v>
      </c>
      <c r="B20" s="4" t="s">
        <v>8</v>
      </c>
      <c r="C20" s="139"/>
      <c r="D20" s="70">
        <v>0</v>
      </c>
      <c r="E20" s="143"/>
      <c r="F20" s="70">
        <v>0</v>
      </c>
    </row>
    <row r="21" spans="1:6" ht="13.8" hidden="1" thickBot="1" x14ac:dyDescent="0.3">
      <c r="A21" s="52">
        <f t="shared" si="0"/>
        <v>7</v>
      </c>
      <c r="B21" s="4" t="s">
        <v>9</v>
      </c>
      <c r="C21" s="139"/>
      <c r="D21" s="70">
        <v>0</v>
      </c>
      <c r="E21" s="143"/>
      <c r="F21" s="70">
        <v>0</v>
      </c>
    </row>
    <row r="22" spans="1:6" ht="13.8" hidden="1" thickBot="1" x14ac:dyDescent="0.3">
      <c r="B22" s="4" t="s">
        <v>10</v>
      </c>
      <c r="C22" s="139"/>
      <c r="D22" s="70">
        <v>0</v>
      </c>
      <c r="E22" s="143"/>
      <c r="F22" s="70">
        <v>0</v>
      </c>
    </row>
    <row r="23" spans="1:6" ht="13.8" hidden="1" thickBot="1" x14ac:dyDescent="0.3">
      <c r="B23" s="4" t="s">
        <v>11</v>
      </c>
      <c r="C23" s="139"/>
      <c r="D23" s="70">
        <v>0</v>
      </c>
      <c r="E23" s="143"/>
      <c r="F23" s="70">
        <v>0</v>
      </c>
    </row>
    <row r="24" spans="1:6" ht="13.8" hidden="1" thickBot="1" x14ac:dyDescent="0.3">
      <c r="B24" s="4" t="s">
        <v>12</v>
      </c>
      <c r="C24" s="139"/>
      <c r="D24" s="70">
        <v>0</v>
      </c>
      <c r="E24" s="143"/>
      <c r="F24" s="70">
        <v>0</v>
      </c>
    </row>
    <row r="25" spans="1:6" ht="13.8" hidden="1" thickBot="1" x14ac:dyDescent="0.3">
      <c r="B25" s="4" t="s">
        <v>13</v>
      </c>
      <c r="C25" s="139"/>
      <c r="D25" s="70">
        <v>0</v>
      </c>
      <c r="E25" s="143"/>
      <c r="F25" s="70">
        <v>0</v>
      </c>
    </row>
    <row r="26" spans="1:6" ht="13.8" hidden="1" thickBot="1" x14ac:dyDescent="0.3">
      <c r="B26" s="4" t="s">
        <v>14</v>
      </c>
      <c r="C26" s="139"/>
      <c r="D26" s="70">
        <v>0</v>
      </c>
      <c r="E26" s="143"/>
      <c r="F26" s="70">
        <v>0</v>
      </c>
    </row>
    <row r="27" spans="1:6" x14ac:dyDescent="0.25">
      <c r="A27" s="50">
        <f>+A19+1</f>
        <v>6</v>
      </c>
      <c r="B27" s="5" t="s">
        <v>2</v>
      </c>
      <c r="C27" s="138"/>
      <c r="D27" s="94">
        <f>SUM(D13:D26)</f>
        <v>60866.663</v>
      </c>
      <c r="E27" s="143"/>
      <c r="F27" s="94">
        <f>SUM(F13:F26)</f>
        <v>72096.087999999989</v>
      </c>
    </row>
    <row r="28" spans="1:6" x14ac:dyDescent="0.25">
      <c r="A28" s="50">
        <f t="shared" ref="A28:A29" si="1">+A20+1</f>
        <v>7</v>
      </c>
      <c r="D28" s="27"/>
      <c r="E28" s="143"/>
      <c r="F28" s="27"/>
    </row>
    <row r="29" spans="1:6" x14ac:dyDescent="0.25">
      <c r="A29" s="50">
        <f t="shared" si="1"/>
        <v>8</v>
      </c>
      <c r="B29" s="5" t="s">
        <v>15</v>
      </c>
      <c r="C29" s="138"/>
      <c r="D29" s="70"/>
      <c r="E29" s="143"/>
      <c r="F29" s="70"/>
    </row>
    <row r="30" spans="1:6" ht="13.8" thickBot="1" x14ac:dyDescent="0.3">
      <c r="A30" s="50">
        <f>+A29+1</f>
        <v>9</v>
      </c>
      <c r="B30" s="4" t="s">
        <v>166</v>
      </c>
      <c r="C30" s="139"/>
      <c r="D30" s="70">
        <v>1411.8240000000001</v>
      </c>
      <c r="E30" s="143"/>
      <c r="F30" s="70">
        <v>1440.06</v>
      </c>
    </row>
    <row r="31" spans="1:6" x14ac:dyDescent="0.25">
      <c r="A31" s="50">
        <f t="shared" ref="A31:A55" si="2">+A30+1</f>
        <v>10</v>
      </c>
      <c r="B31" s="5" t="s">
        <v>15</v>
      </c>
      <c r="C31" s="138"/>
      <c r="D31" s="94">
        <f>SUM(D30)</f>
        <v>1411.8240000000001</v>
      </c>
      <c r="E31" s="143"/>
      <c r="F31" s="94">
        <f>SUM(F30)</f>
        <v>1440.06</v>
      </c>
    </row>
    <row r="32" spans="1:6" ht="13.8" thickBot="1" x14ac:dyDescent="0.3">
      <c r="A32" s="50">
        <f t="shared" si="2"/>
        <v>11</v>
      </c>
      <c r="D32" s="27"/>
      <c r="E32" s="143"/>
      <c r="F32" s="27"/>
    </row>
    <row r="33" spans="1:6" x14ac:dyDescent="0.25">
      <c r="A33" s="50">
        <f t="shared" si="2"/>
        <v>12</v>
      </c>
      <c r="B33" s="3" t="s">
        <v>1</v>
      </c>
      <c r="C33" s="137"/>
      <c r="D33" s="94">
        <f>+D27+D31</f>
        <v>62278.487000000001</v>
      </c>
      <c r="E33" s="143"/>
      <c r="F33" s="94">
        <f>+F27+F31</f>
        <v>73536.147999999986</v>
      </c>
    </row>
    <row r="34" spans="1:6" x14ac:dyDescent="0.25">
      <c r="A34" s="50">
        <f t="shared" si="2"/>
        <v>13</v>
      </c>
      <c r="D34" s="27"/>
      <c r="E34" s="143"/>
      <c r="F34" s="27"/>
    </row>
    <row r="35" spans="1:6" x14ac:dyDescent="0.25">
      <c r="A35" s="50">
        <f t="shared" si="2"/>
        <v>14</v>
      </c>
      <c r="B35" s="3" t="s">
        <v>16</v>
      </c>
      <c r="C35" s="137"/>
      <c r="D35" s="70"/>
      <c r="E35" s="143"/>
      <c r="F35" s="70"/>
    </row>
    <row r="36" spans="1:6" ht="13.8" thickBot="1" x14ac:dyDescent="0.3">
      <c r="A36" s="50">
        <f t="shared" si="2"/>
        <v>15</v>
      </c>
      <c r="B36" s="4" t="s">
        <v>167</v>
      </c>
      <c r="C36" s="139"/>
      <c r="D36" s="70">
        <v>9.6720000000000006</v>
      </c>
      <c r="E36" s="143"/>
      <c r="F36" s="70">
        <v>9.6720000000000006</v>
      </c>
    </row>
    <row r="37" spans="1:6" x14ac:dyDescent="0.25">
      <c r="A37" s="50">
        <f t="shared" si="2"/>
        <v>16</v>
      </c>
      <c r="B37" s="3" t="s">
        <v>16</v>
      </c>
      <c r="C37" s="137"/>
      <c r="D37" s="94">
        <f>D36</f>
        <v>9.6720000000000006</v>
      </c>
      <c r="E37" s="143"/>
      <c r="F37" s="94">
        <f>F36</f>
        <v>9.6720000000000006</v>
      </c>
    </row>
    <row r="38" spans="1:6" x14ac:dyDescent="0.25">
      <c r="A38" s="50">
        <f t="shared" si="2"/>
        <v>17</v>
      </c>
      <c r="D38" s="27"/>
      <c r="E38" s="143"/>
      <c r="F38" s="27"/>
    </row>
    <row r="39" spans="1:6" x14ac:dyDescent="0.25">
      <c r="A39" s="50">
        <f t="shared" si="2"/>
        <v>18</v>
      </c>
      <c r="B39" s="3" t="s">
        <v>17</v>
      </c>
      <c r="C39" s="137"/>
      <c r="D39" s="70"/>
      <c r="E39" s="143"/>
      <c r="F39" s="70"/>
    </row>
    <row r="40" spans="1:6" x14ac:dyDescent="0.25">
      <c r="A40" s="50">
        <f t="shared" si="2"/>
        <v>19</v>
      </c>
      <c r="B40" s="4" t="s">
        <v>168</v>
      </c>
      <c r="C40" s="139"/>
      <c r="D40" s="70">
        <f>115681122/1000</f>
        <v>115681.122</v>
      </c>
      <c r="E40" s="143"/>
      <c r="F40" s="70">
        <f>153634488/1000</f>
        <v>153634.48800000001</v>
      </c>
    </row>
    <row r="41" spans="1:6" ht="13.8" thickBot="1" x14ac:dyDescent="0.3">
      <c r="A41" s="50">
        <f t="shared" si="2"/>
        <v>20</v>
      </c>
      <c r="B41" s="4" t="s">
        <v>169</v>
      </c>
      <c r="C41" s="139"/>
      <c r="D41" s="70">
        <v>15.792</v>
      </c>
      <c r="E41" s="143"/>
      <c r="F41" s="70">
        <v>15.792</v>
      </c>
    </row>
    <row r="42" spans="1:6" x14ac:dyDescent="0.25">
      <c r="A42" s="50">
        <f t="shared" si="2"/>
        <v>21</v>
      </c>
      <c r="B42" s="3" t="s">
        <v>17</v>
      </c>
      <c r="C42" s="137"/>
      <c r="D42" s="94">
        <f>SUM(D40:D41)</f>
        <v>115696.914</v>
      </c>
      <c r="E42" s="143"/>
      <c r="F42" s="94">
        <f>SUM(F40:F41)</f>
        <v>153650.28</v>
      </c>
    </row>
    <row r="43" spans="1:6" x14ac:dyDescent="0.25">
      <c r="A43" s="50">
        <f t="shared" si="2"/>
        <v>22</v>
      </c>
      <c r="D43" s="27"/>
      <c r="E43" s="143"/>
      <c r="F43" s="27"/>
    </row>
    <row r="44" spans="1:6" x14ac:dyDescent="0.25">
      <c r="A44" s="50">
        <f t="shared" si="2"/>
        <v>23</v>
      </c>
      <c r="B44" s="3" t="s">
        <v>18</v>
      </c>
      <c r="C44" s="137"/>
      <c r="D44" s="70"/>
      <c r="E44" s="143"/>
      <c r="F44" s="70"/>
    </row>
    <row r="45" spans="1:6" ht="13.8" thickBot="1" x14ac:dyDescent="0.3">
      <c r="A45" s="50">
        <f t="shared" si="2"/>
        <v>24</v>
      </c>
      <c r="B45" s="4" t="s">
        <v>170</v>
      </c>
      <c r="C45" s="139"/>
      <c r="D45" s="70">
        <v>4192.1229999999996</v>
      </c>
      <c r="E45" s="143"/>
      <c r="F45" s="70">
        <v>8872.7209999999995</v>
      </c>
    </row>
    <row r="46" spans="1:6" x14ac:dyDescent="0.25">
      <c r="A46" s="50">
        <f t="shared" si="2"/>
        <v>25</v>
      </c>
      <c r="B46" s="3" t="s">
        <v>18</v>
      </c>
      <c r="C46" s="137"/>
      <c r="D46" s="94">
        <f>+D45</f>
        <v>4192.1229999999996</v>
      </c>
      <c r="E46" s="143"/>
      <c r="F46" s="94">
        <f>+F45</f>
        <v>8872.7209999999995</v>
      </c>
    </row>
    <row r="47" spans="1:6" x14ac:dyDescent="0.25">
      <c r="A47" s="50">
        <f t="shared" si="2"/>
        <v>26</v>
      </c>
      <c r="D47" s="27"/>
      <c r="E47" s="143"/>
      <c r="F47" s="27"/>
    </row>
    <row r="48" spans="1:6" x14ac:dyDescent="0.25">
      <c r="A48" s="50">
        <f t="shared" si="2"/>
        <v>27</v>
      </c>
      <c r="B48" s="3" t="s">
        <v>19</v>
      </c>
      <c r="C48" s="137"/>
      <c r="D48" s="70"/>
      <c r="E48" s="143"/>
      <c r="F48" s="70"/>
    </row>
    <row r="49" spans="1:7" x14ac:dyDescent="0.25">
      <c r="A49" s="50">
        <f>+A48+1</f>
        <v>28</v>
      </c>
      <c r="B49" s="4" t="s">
        <v>171</v>
      </c>
      <c r="C49" s="139"/>
      <c r="D49" s="70">
        <f>-93617034.2005989/1000</f>
        <v>-93617.034200598893</v>
      </c>
      <c r="E49" s="143"/>
      <c r="F49" s="70">
        <f>-72350536.7445533/1000</f>
        <v>-72350.536744553305</v>
      </c>
    </row>
    <row r="50" spans="1:7" ht="13.8" thickBot="1" x14ac:dyDescent="0.3">
      <c r="A50" s="50">
        <f t="shared" si="2"/>
        <v>29</v>
      </c>
      <c r="B50" s="4" t="s">
        <v>172</v>
      </c>
      <c r="C50" s="139"/>
      <c r="D50" s="70">
        <f>(20908194.9047591+1848000)/1000</f>
        <v>22756.194904759101</v>
      </c>
      <c r="E50" s="143"/>
      <c r="F50" s="70">
        <f>(18606825.9029152)/1000-38087.06</f>
        <v>-19480.234097084798</v>
      </c>
    </row>
    <row r="51" spans="1:7" x14ac:dyDescent="0.25">
      <c r="A51" s="50">
        <f t="shared" si="2"/>
        <v>30</v>
      </c>
      <c r="B51" s="3" t="s">
        <v>19</v>
      </c>
      <c r="C51" s="137"/>
      <c r="D51" s="94">
        <f>SUM(D49:D50)-6</f>
        <v>-70866.839295839789</v>
      </c>
      <c r="E51" s="143"/>
      <c r="F51" s="94">
        <f>SUM(F49:F50)</f>
        <v>-91830.770841638107</v>
      </c>
    </row>
    <row r="52" spans="1:7" ht="16.2" thickBot="1" x14ac:dyDescent="0.3">
      <c r="A52" s="50">
        <f t="shared" si="2"/>
        <v>31</v>
      </c>
      <c r="B52" s="104" t="s">
        <v>103</v>
      </c>
      <c r="C52" s="141"/>
      <c r="D52" s="103">
        <f>+D42+D37+D33+D46+D51</f>
        <v>111310.35670416021</v>
      </c>
      <c r="E52" s="144"/>
      <c r="F52" s="103">
        <f>+F42+F37+F33+F46+F51</f>
        <v>144238.05015836185</v>
      </c>
      <c r="G52" s="38"/>
    </row>
    <row r="53" spans="1:7" ht="13.8" thickTop="1" x14ac:dyDescent="0.25">
      <c r="A53" s="50">
        <f t="shared" si="2"/>
        <v>32</v>
      </c>
      <c r="B53" s="151" t="s">
        <v>45</v>
      </c>
      <c r="D53" s="35"/>
      <c r="E53" s="145"/>
      <c r="F53" s="36"/>
    </row>
    <row r="54" spans="1:7" ht="15.6" x14ac:dyDescent="0.25">
      <c r="A54" s="50">
        <f t="shared" si="2"/>
        <v>33</v>
      </c>
      <c r="B54" s="47" t="s">
        <v>91</v>
      </c>
      <c r="D54" s="37"/>
      <c r="E54" s="145"/>
      <c r="F54" s="117"/>
    </row>
    <row r="55" spans="1:7" x14ac:dyDescent="0.25">
      <c r="A55" s="50">
        <f t="shared" si="2"/>
        <v>34</v>
      </c>
      <c r="F55" s="37"/>
    </row>
    <row r="56" spans="1:7" x14ac:dyDescent="0.25">
      <c r="D56" s="27"/>
    </row>
    <row r="57" spans="1:7" x14ac:dyDescent="0.25">
      <c r="D57" s="27"/>
    </row>
    <row r="58" spans="1:7" x14ac:dyDescent="0.25">
      <c r="D58" s="27"/>
    </row>
    <row r="59" spans="1:7" x14ac:dyDescent="0.25">
      <c r="D59" s="8"/>
      <c r="F59" s="8"/>
    </row>
    <row r="60" spans="1:7" x14ac:dyDescent="0.25">
      <c r="F60" s="8"/>
    </row>
    <row r="61" spans="1:7" x14ac:dyDescent="0.25">
      <c r="D61" s="27"/>
    </row>
    <row r="62" spans="1:7" x14ac:dyDescent="0.25">
      <c r="D62" s="28"/>
    </row>
    <row r="64" spans="1:7" x14ac:dyDescent="0.25">
      <c r="D64" s="28"/>
    </row>
  </sheetData>
  <mergeCells count="4">
    <mergeCell ref="A6:G6"/>
    <mergeCell ref="A3:G3"/>
    <mergeCell ref="A4:G4"/>
    <mergeCell ref="A5:G5"/>
  </mergeCells>
  <printOptions horizontalCentered="1" verticalCentered="1"/>
  <pageMargins left="0.7" right="0.7" top="0.75" bottom="0.75" header="0.3" footer="0.3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F46"/>
  <sheetViews>
    <sheetView zoomScale="80" zoomScaleNormal="80" workbookViewId="0">
      <selection activeCell="A2" sqref="A2"/>
    </sheetView>
  </sheetViews>
  <sheetFormatPr defaultColWidth="8.88671875" defaultRowHeight="13.2" x14ac:dyDescent="0.25"/>
  <cols>
    <col min="1" max="1" width="11.44140625" style="31" customWidth="1"/>
    <col min="2" max="2" width="67" style="12" customWidth="1"/>
    <col min="3" max="3" width="4.33203125" style="129" customWidth="1"/>
    <col min="4" max="4" width="18.44140625" style="30" customWidth="1"/>
    <col min="5" max="5" width="4" style="11" customWidth="1"/>
    <col min="6" max="6" width="16.88671875" style="11" customWidth="1"/>
    <col min="7" max="16384" width="8.88671875" style="11"/>
  </cols>
  <sheetData>
    <row r="1" spans="1:6" x14ac:dyDescent="0.25">
      <c r="A1" s="13" t="s">
        <v>211</v>
      </c>
    </row>
    <row r="2" spans="1:6" x14ac:dyDescent="0.25">
      <c r="A2" s="13" t="s">
        <v>209</v>
      </c>
    </row>
    <row r="3" spans="1:6" ht="15.6" x14ac:dyDescent="0.3">
      <c r="A3" s="164" t="s">
        <v>69</v>
      </c>
      <c r="B3" s="164"/>
      <c r="C3" s="164"/>
      <c r="D3" s="164"/>
      <c r="E3" s="164"/>
      <c r="F3" s="164"/>
    </row>
    <row r="4" spans="1:6" ht="15.75" customHeight="1" x14ac:dyDescent="0.3">
      <c r="A4" s="165" t="s">
        <v>192</v>
      </c>
      <c r="B4" s="165"/>
      <c r="C4" s="165"/>
      <c r="D4" s="165"/>
      <c r="E4" s="165"/>
      <c r="F4" s="165"/>
    </row>
    <row r="5" spans="1:6" s="10" customFormat="1" ht="15.6" x14ac:dyDescent="0.3">
      <c r="A5" s="164" t="s">
        <v>115</v>
      </c>
      <c r="B5" s="164"/>
      <c r="C5" s="164"/>
      <c r="D5" s="164"/>
      <c r="E5" s="164"/>
      <c r="F5" s="164"/>
    </row>
    <row r="6" spans="1:6" s="10" customFormat="1" ht="15.6" x14ac:dyDescent="0.3">
      <c r="A6" s="166" t="s">
        <v>72</v>
      </c>
      <c r="B6" s="166"/>
      <c r="C6" s="166"/>
      <c r="D6" s="166"/>
      <c r="E6" s="166"/>
      <c r="F6" s="166"/>
    </row>
    <row r="7" spans="1:6" s="10" customFormat="1" ht="15.6" x14ac:dyDescent="0.3">
      <c r="A7" s="22"/>
      <c r="B7" s="43"/>
      <c r="C7" s="146"/>
      <c r="D7" s="43"/>
    </row>
    <row r="8" spans="1:6" s="15" customFormat="1" ht="42" customHeight="1" thickBot="1" x14ac:dyDescent="0.3">
      <c r="A8" s="40" t="s">
        <v>47</v>
      </c>
      <c r="B8" s="40" t="s">
        <v>64</v>
      </c>
      <c r="C8" s="42"/>
      <c r="D8" s="40" t="s">
        <v>117</v>
      </c>
      <c r="F8" s="40" t="s">
        <v>118</v>
      </c>
    </row>
    <row r="9" spans="1:6" x14ac:dyDescent="0.25">
      <c r="B9" s="13"/>
      <c r="C9" s="132"/>
      <c r="F9" s="30"/>
    </row>
    <row r="10" spans="1:6" x14ac:dyDescent="0.25">
      <c r="A10" s="55">
        <v>1</v>
      </c>
      <c r="B10" s="150" t="s">
        <v>193</v>
      </c>
    </row>
    <row r="11" spans="1:6" x14ac:dyDescent="0.25">
      <c r="A11" s="55">
        <f>+A10+1</f>
        <v>2</v>
      </c>
    </row>
    <row r="12" spans="1:6" ht="15.6" x14ac:dyDescent="0.25">
      <c r="A12" s="55">
        <f t="shared" ref="A12:A46" si="0">+A11+1</f>
        <v>3</v>
      </c>
      <c r="B12" s="12" t="s">
        <v>120</v>
      </c>
      <c r="D12" s="99">
        <v>5604.3955715384618</v>
      </c>
      <c r="F12" s="99">
        <v>0</v>
      </c>
    </row>
    <row r="13" spans="1:6" ht="15.6" x14ac:dyDescent="0.25">
      <c r="A13" s="55">
        <f t="shared" si="0"/>
        <v>4</v>
      </c>
      <c r="B13" s="12" t="s">
        <v>121</v>
      </c>
      <c r="D13" s="100">
        <v>3519.5695676923078</v>
      </c>
      <c r="F13" s="100">
        <v>0</v>
      </c>
    </row>
    <row r="14" spans="1:6" ht="15.6" x14ac:dyDescent="0.25">
      <c r="A14" s="55">
        <f t="shared" si="0"/>
        <v>5</v>
      </c>
      <c r="B14" s="12" t="s">
        <v>122</v>
      </c>
      <c r="D14" s="100">
        <v>412654.53242988657</v>
      </c>
      <c r="F14" s="100">
        <v>362491.07085856091</v>
      </c>
    </row>
    <row r="15" spans="1:6" ht="15.6" x14ac:dyDescent="0.25">
      <c r="A15" s="55">
        <f t="shared" si="0"/>
        <v>6</v>
      </c>
      <c r="B15" s="12" t="s">
        <v>123</v>
      </c>
      <c r="D15" s="100">
        <v>259147.71942412033</v>
      </c>
      <c r="F15" s="148">
        <v>227644.98383142796</v>
      </c>
    </row>
    <row r="16" spans="1:6" ht="16.2" thickBot="1" x14ac:dyDescent="0.3">
      <c r="A16" s="55">
        <f t="shared" si="0"/>
        <v>7</v>
      </c>
      <c r="B16" s="13" t="s">
        <v>204</v>
      </c>
      <c r="C16" s="132"/>
      <c r="D16" s="113">
        <v>675321.82142169913</v>
      </c>
      <c r="F16" s="116">
        <v>590136.05468998884</v>
      </c>
    </row>
    <row r="17" spans="1:6" ht="13.8" thickTop="1" x14ac:dyDescent="0.25">
      <c r="A17" s="55">
        <f t="shared" si="0"/>
        <v>8</v>
      </c>
      <c r="F17" s="30"/>
    </row>
    <row r="18" spans="1:6" ht="15.6" x14ac:dyDescent="0.25">
      <c r="A18" s="55">
        <f t="shared" si="0"/>
        <v>9</v>
      </c>
      <c r="B18" s="12" t="s">
        <v>197</v>
      </c>
      <c r="D18" s="99">
        <v>5686.4448125000335</v>
      </c>
      <c r="F18" s="148">
        <v>4928.2521339286777</v>
      </c>
    </row>
    <row r="19" spans="1:6" ht="16.2" thickBot="1" x14ac:dyDescent="0.3">
      <c r="A19" s="55">
        <f t="shared" si="0"/>
        <v>10</v>
      </c>
      <c r="B19" s="13" t="s">
        <v>205</v>
      </c>
      <c r="C19" s="132"/>
      <c r="D19" s="113">
        <v>5686.4448125000335</v>
      </c>
      <c r="F19" s="116">
        <v>4928.2521339286695</v>
      </c>
    </row>
    <row r="20" spans="1:6" ht="13.8" thickTop="1" x14ac:dyDescent="0.25">
      <c r="A20" s="55">
        <f t="shared" si="0"/>
        <v>11</v>
      </c>
      <c r="D20" s="11"/>
    </row>
    <row r="21" spans="1:6" x14ac:dyDescent="0.25">
      <c r="A21" s="55">
        <f t="shared" si="0"/>
        <v>12</v>
      </c>
      <c r="B21" s="11"/>
      <c r="C21" s="11"/>
      <c r="D21" s="11"/>
    </row>
    <row r="22" spans="1:6" x14ac:dyDescent="0.25">
      <c r="A22" s="55">
        <f t="shared" si="0"/>
        <v>13</v>
      </c>
      <c r="B22" s="11"/>
      <c r="C22" s="11"/>
      <c r="D22" s="11"/>
    </row>
    <row r="23" spans="1:6" s="45" customFormat="1" ht="15" customHeight="1" x14ac:dyDescent="0.25">
      <c r="A23" s="55">
        <f t="shared" si="0"/>
        <v>14</v>
      </c>
      <c r="B23" s="150" t="s">
        <v>190</v>
      </c>
      <c r="C23" s="11"/>
      <c r="D23" s="11"/>
      <c r="E23" s="11"/>
      <c r="F23" s="11"/>
    </row>
    <row r="24" spans="1:6" s="45" customFormat="1" ht="15" customHeight="1" x14ac:dyDescent="0.25">
      <c r="A24" s="152">
        <f t="shared" si="0"/>
        <v>15</v>
      </c>
      <c r="B24" s="11"/>
      <c r="C24" s="11"/>
      <c r="D24" s="11"/>
      <c r="E24" s="11"/>
      <c r="F24" s="11"/>
    </row>
    <row r="25" spans="1:6" s="45" customFormat="1" ht="15" customHeight="1" x14ac:dyDescent="0.25">
      <c r="A25" s="152">
        <f t="shared" si="0"/>
        <v>16</v>
      </c>
      <c r="B25" s="93" t="s">
        <v>188</v>
      </c>
      <c r="C25" s="75"/>
      <c r="D25" s="91"/>
      <c r="E25" s="75"/>
      <c r="F25" s="11"/>
    </row>
    <row r="26" spans="1:6" s="45" customFormat="1" ht="15" customHeight="1" x14ac:dyDescent="0.25">
      <c r="A26" s="152">
        <f t="shared" si="0"/>
        <v>17</v>
      </c>
      <c r="B26" s="12" t="s">
        <v>200</v>
      </c>
      <c r="C26" s="11"/>
      <c r="D26" s="99">
        <v>90031.969607142892</v>
      </c>
      <c r="E26" s="99"/>
      <c r="F26" s="99">
        <v>90031.969607142892</v>
      </c>
    </row>
    <row r="27" spans="1:6" s="45" customFormat="1" ht="15" customHeight="1" x14ac:dyDescent="0.25">
      <c r="A27" s="152">
        <f t="shared" si="0"/>
        <v>18</v>
      </c>
      <c r="B27" s="12" t="s">
        <v>191</v>
      </c>
      <c r="C27" s="11"/>
      <c r="D27" s="153">
        <f>+D26*0.38575</f>
        <v>34729.83227595537</v>
      </c>
      <c r="E27" s="89"/>
      <c r="F27" s="153">
        <f>+F26*0.38575</f>
        <v>34729.83227595537</v>
      </c>
    </row>
    <row r="28" spans="1:6" s="45" customFormat="1" ht="15" customHeight="1" x14ac:dyDescent="0.25">
      <c r="A28" s="152">
        <f t="shared" si="0"/>
        <v>19</v>
      </c>
      <c r="B28" s="12" t="s">
        <v>195</v>
      </c>
      <c r="C28" s="11"/>
      <c r="D28" s="154">
        <f>+D26-D27</f>
        <v>55302.137331187521</v>
      </c>
      <c r="E28" s="89"/>
      <c r="F28" s="154">
        <f>+F26-F27</f>
        <v>55302.137331187521</v>
      </c>
    </row>
    <row r="29" spans="1:6" s="45" customFormat="1" ht="15" customHeight="1" x14ac:dyDescent="0.25">
      <c r="A29" s="152">
        <f t="shared" si="0"/>
        <v>20</v>
      </c>
      <c r="B29" s="75"/>
      <c r="C29" s="11"/>
      <c r="D29" s="75"/>
      <c r="E29" s="91"/>
      <c r="F29" s="75"/>
    </row>
    <row r="30" spans="1:6" s="45" customFormat="1" ht="15" customHeight="1" x14ac:dyDescent="0.25">
      <c r="A30" s="152">
        <f t="shared" si="0"/>
        <v>21</v>
      </c>
      <c r="B30" s="93" t="s">
        <v>189</v>
      </c>
      <c r="C30" s="11"/>
      <c r="D30" s="75"/>
      <c r="E30" s="91"/>
      <c r="F30" s="75"/>
    </row>
    <row r="31" spans="1:6" s="45" customFormat="1" ht="15" customHeight="1" x14ac:dyDescent="0.25">
      <c r="A31" s="152">
        <f t="shared" si="0"/>
        <v>22</v>
      </c>
      <c r="B31" s="12" t="s">
        <v>194</v>
      </c>
      <c r="C31" s="11"/>
      <c r="D31" s="99">
        <f>'Details for NOI'!C12+'Details for NOI'!C21+'Details for NOI'!C26+'Details for NOI'!C32-'Details for NOI'!C31+'Details for NOI'!C43+'Details for NOI'!C48+'Details for NOI'!C53</f>
        <v>-122717.04093057274</v>
      </c>
      <c r="E31" s="99"/>
      <c r="F31" s="99">
        <f>'Details for NOI'!E12+'Details for NOI'!E21+'Details for NOI'!E26+'Details for NOI'!E32-'Details for NOI'!E31+'Details for NOI'!E43+'Details for NOI'!E48+'Details for NOI'!E53</f>
        <v>-121614.0451972829</v>
      </c>
    </row>
    <row r="32" spans="1:6" s="45" customFormat="1" ht="15" customHeight="1" x14ac:dyDescent="0.25">
      <c r="A32" s="152">
        <f t="shared" si="0"/>
        <v>23</v>
      </c>
      <c r="B32" s="12" t="s">
        <v>191</v>
      </c>
      <c r="C32" s="11"/>
      <c r="D32" s="153">
        <f>+D31*0.38575</f>
        <v>-47338.098538968428</v>
      </c>
      <c r="E32" s="89"/>
      <c r="F32" s="153">
        <f>+F31*0.38575</f>
        <v>-46912.617934851878</v>
      </c>
    </row>
    <row r="33" spans="1:6" s="45" customFormat="1" ht="15" customHeight="1" x14ac:dyDescent="0.25">
      <c r="A33" s="152">
        <f t="shared" si="0"/>
        <v>24</v>
      </c>
      <c r="B33" s="12" t="s">
        <v>196</v>
      </c>
      <c r="C33" s="11"/>
      <c r="D33" s="154">
        <f>+D31-D32</f>
        <v>-75378.942391604302</v>
      </c>
      <c r="E33" s="89"/>
      <c r="F33" s="154">
        <f>+F31-F32</f>
        <v>-74701.427262431025</v>
      </c>
    </row>
    <row r="34" spans="1:6" s="45" customFormat="1" ht="15" customHeight="1" x14ac:dyDescent="0.25">
      <c r="A34" s="152">
        <f t="shared" si="0"/>
        <v>25</v>
      </c>
      <c r="B34" s="12"/>
      <c r="C34" s="11"/>
      <c r="D34" s="75"/>
      <c r="E34" s="91"/>
      <c r="F34" s="75"/>
    </row>
    <row r="35" spans="1:6" s="45" customFormat="1" ht="15" customHeight="1" thickBot="1" x14ac:dyDescent="0.3">
      <c r="A35" s="152">
        <f t="shared" si="0"/>
        <v>26</v>
      </c>
      <c r="B35" s="13" t="s">
        <v>201</v>
      </c>
      <c r="C35" s="11"/>
      <c r="D35" s="113">
        <f>+D28+D33</f>
        <v>-20076.80506041678</v>
      </c>
      <c r="E35" s="11"/>
      <c r="F35" s="116">
        <f>+F28+F33</f>
        <v>-19399.289931243504</v>
      </c>
    </row>
    <row r="36" spans="1:6" s="45" customFormat="1" ht="15" customHeight="1" thickTop="1" x14ac:dyDescent="0.25">
      <c r="A36" s="152">
        <f t="shared" si="0"/>
        <v>27</v>
      </c>
      <c r="B36" s="11"/>
      <c r="C36" s="11"/>
      <c r="D36" s="11"/>
      <c r="E36" s="11"/>
      <c r="F36" s="11"/>
    </row>
    <row r="37" spans="1:6" s="45" customFormat="1" ht="15" customHeight="1" x14ac:dyDescent="0.25">
      <c r="A37" s="152">
        <f t="shared" si="0"/>
        <v>28</v>
      </c>
      <c r="B37" s="11"/>
      <c r="C37" s="11"/>
      <c r="D37" s="11"/>
      <c r="E37" s="11"/>
      <c r="F37" s="11"/>
    </row>
    <row r="38" spans="1:6" s="45" customFormat="1" ht="13.8" x14ac:dyDescent="0.25">
      <c r="A38" s="152">
        <f t="shared" si="0"/>
        <v>29</v>
      </c>
      <c r="B38" s="150" t="s">
        <v>45</v>
      </c>
      <c r="C38" s="147"/>
      <c r="D38" s="30"/>
      <c r="E38" s="11"/>
      <c r="F38" s="11"/>
    </row>
    <row r="39" spans="1:6" ht="19.5" customHeight="1" x14ac:dyDescent="0.25">
      <c r="A39" s="167">
        <f t="shared" si="0"/>
        <v>30</v>
      </c>
      <c r="B39" s="163" t="s">
        <v>127</v>
      </c>
      <c r="C39" s="163"/>
      <c r="D39" s="163"/>
      <c r="E39" s="163"/>
      <c r="F39" s="163"/>
    </row>
    <row r="40" spans="1:6" ht="12.75" customHeight="1" x14ac:dyDescent="0.25">
      <c r="A40" s="167"/>
      <c r="B40" s="163"/>
      <c r="C40" s="163"/>
      <c r="D40" s="163"/>
      <c r="E40" s="163"/>
      <c r="F40" s="163"/>
    </row>
    <row r="41" spans="1:6" ht="15.6" x14ac:dyDescent="0.25">
      <c r="A41" s="55">
        <f>+A39+1</f>
        <v>31</v>
      </c>
      <c r="B41" s="12" t="s">
        <v>125</v>
      </c>
      <c r="C41" s="149"/>
      <c r="D41" s="149"/>
      <c r="E41" s="149"/>
      <c r="F41" s="149"/>
    </row>
    <row r="42" spans="1:6" ht="15.6" x14ac:dyDescent="0.25">
      <c r="A42" s="55">
        <f t="shared" si="0"/>
        <v>32</v>
      </c>
      <c r="B42" s="12" t="s">
        <v>126</v>
      </c>
      <c r="C42" s="124"/>
    </row>
    <row r="43" spans="1:6" ht="15.6" x14ac:dyDescent="0.25">
      <c r="A43" s="155">
        <f t="shared" si="0"/>
        <v>33</v>
      </c>
      <c r="B43" s="12" t="s">
        <v>206</v>
      </c>
    </row>
    <row r="44" spans="1:6" ht="15.6" x14ac:dyDescent="0.25">
      <c r="A44" s="155">
        <f t="shared" si="0"/>
        <v>34</v>
      </c>
      <c r="B44" s="12" t="s">
        <v>207</v>
      </c>
    </row>
    <row r="45" spans="1:6" x14ac:dyDescent="0.25">
      <c r="A45" s="155">
        <f t="shared" si="0"/>
        <v>35</v>
      </c>
      <c r="B45" s="162" t="s">
        <v>202</v>
      </c>
      <c r="C45" s="162"/>
      <c r="D45" s="162"/>
      <c r="E45" s="162"/>
    </row>
    <row r="46" spans="1:6" ht="15.6" x14ac:dyDescent="0.25">
      <c r="A46" s="155">
        <f t="shared" si="0"/>
        <v>36</v>
      </c>
      <c r="B46" s="75" t="s">
        <v>203</v>
      </c>
      <c r="C46" s="75"/>
      <c r="D46" s="91"/>
      <c r="E46" s="75"/>
    </row>
  </sheetData>
  <mergeCells count="7">
    <mergeCell ref="B45:E45"/>
    <mergeCell ref="B39:F40"/>
    <mergeCell ref="A3:F3"/>
    <mergeCell ref="A4:F4"/>
    <mergeCell ref="A5:F5"/>
    <mergeCell ref="A6:F6"/>
    <mergeCell ref="A39:A40"/>
  </mergeCells>
  <printOptions horizontalCentered="1" verticalCentered="1"/>
  <pageMargins left="0.25" right="0.25" top="0.75" bottom="0.75" header="0.3" footer="0.3"/>
  <pageSetup scale="7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0"/>
  <sheetViews>
    <sheetView zoomScale="80" zoomScaleNormal="80" workbookViewId="0">
      <selection activeCell="A2" sqref="A2"/>
    </sheetView>
  </sheetViews>
  <sheetFormatPr defaultRowHeight="14.4" x14ac:dyDescent="0.3"/>
  <cols>
    <col min="1" max="1" width="10.6640625" style="23" customWidth="1"/>
    <col min="2" max="2" width="61.33203125" bestFit="1" customWidth="1"/>
    <col min="3" max="15" width="14.5546875" customWidth="1"/>
    <col min="16" max="16" width="14.5546875" style="98" customWidth="1"/>
    <col min="17" max="17" width="14" bestFit="1" customWidth="1"/>
    <col min="18" max="18" width="14.6640625" bestFit="1" customWidth="1"/>
    <col min="19" max="19" width="14" bestFit="1" customWidth="1"/>
    <col min="20" max="29" width="15" bestFit="1" customWidth="1"/>
  </cols>
  <sheetData>
    <row r="1" spans="1:16" x14ac:dyDescent="0.3">
      <c r="A1" s="169" t="s">
        <v>212</v>
      </c>
    </row>
    <row r="2" spans="1:16" x14ac:dyDescent="0.3">
      <c r="A2" s="169" t="s">
        <v>209</v>
      </c>
    </row>
    <row r="3" spans="1:16" ht="18" x14ac:dyDescent="0.35">
      <c r="A3" s="157" t="s">
        <v>69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</row>
    <row r="4" spans="1:16" ht="19.8" x14ac:dyDescent="0.35">
      <c r="A4" s="157" t="s">
        <v>94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</row>
    <row r="5" spans="1:16" s="10" customFormat="1" ht="18" x14ac:dyDescent="0.35">
      <c r="A5" s="157" t="s">
        <v>115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</row>
    <row r="6" spans="1:16" s="10" customFormat="1" ht="18" x14ac:dyDescent="0.35">
      <c r="A6" s="158" t="s">
        <v>72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</row>
    <row r="7" spans="1:16" s="10" customFormat="1" ht="13.2" x14ac:dyDescent="0.25">
      <c r="A7" s="22"/>
      <c r="B7" s="9"/>
    </row>
    <row r="8" spans="1:16" s="15" customFormat="1" ht="13.8" thickBot="1" x14ac:dyDescent="0.3">
      <c r="A8" s="40" t="s">
        <v>47</v>
      </c>
      <c r="B8" s="40" t="s">
        <v>46</v>
      </c>
      <c r="C8" s="59" t="s">
        <v>20</v>
      </c>
      <c r="D8" s="40" t="s">
        <v>21</v>
      </c>
      <c r="E8" s="40" t="s">
        <v>22</v>
      </c>
      <c r="F8" s="40" t="s">
        <v>23</v>
      </c>
      <c r="G8" s="40" t="s">
        <v>24</v>
      </c>
      <c r="H8" s="40" t="s">
        <v>25</v>
      </c>
      <c r="I8" s="40" t="s">
        <v>26</v>
      </c>
      <c r="J8" s="40" t="s">
        <v>27</v>
      </c>
      <c r="K8" s="40" t="s">
        <v>28</v>
      </c>
      <c r="L8" s="40" t="s">
        <v>29</v>
      </c>
      <c r="M8" s="40" t="s">
        <v>30</v>
      </c>
      <c r="N8" s="40" t="s">
        <v>31</v>
      </c>
      <c r="O8" s="40" t="s">
        <v>32</v>
      </c>
      <c r="P8" s="40" t="s">
        <v>92</v>
      </c>
    </row>
    <row r="9" spans="1:16" s="15" customFormat="1" ht="13.2" x14ac:dyDescent="0.25">
      <c r="A9" s="22"/>
      <c r="C9" s="18"/>
    </row>
    <row r="10" spans="1:16" x14ac:dyDescent="0.3">
      <c r="A10" s="23">
        <v>1</v>
      </c>
      <c r="B10" s="12" t="s">
        <v>48</v>
      </c>
      <c r="C10" s="24">
        <f>8696586/1000</f>
        <v>8696.5859999999993</v>
      </c>
      <c r="D10" s="60">
        <f t="shared" ref="D10:O10" si="0">8696586/1000</f>
        <v>8696.5859999999993</v>
      </c>
      <c r="E10" s="60">
        <f t="shared" si="0"/>
        <v>8696.5859999999993</v>
      </c>
      <c r="F10" s="60">
        <f t="shared" si="0"/>
        <v>8696.5859999999993</v>
      </c>
      <c r="G10" s="60">
        <f t="shared" si="0"/>
        <v>8696.5859999999993</v>
      </c>
      <c r="H10" s="60">
        <f t="shared" si="0"/>
        <v>8696.5859999999993</v>
      </c>
      <c r="I10" s="60">
        <f t="shared" si="0"/>
        <v>8696.5859999999993</v>
      </c>
      <c r="J10" s="60">
        <f t="shared" si="0"/>
        <v>8696.5859999999993</v>
      </c>
      <c r="K10" s="60">
        <f t="shared" si="0"/>
        <v>8696.5859999999993</v>
      </c>
      <c r="L10" s="60">
        <f t="shared" si="0"/>
        <v>8696.5859999999993</v>
      </c>
      <c r="M10" s="60">
        <f t="shared" si="0"/>
        <v>8696.5859999999993</v>
      </c>
      <c r="N10" s="60">
        <f t="shared" si="0"/>
        <v>8696.5859999999993</v>
      </c>
      <c r="O10" s="60">
        <f t="shared" si="0"/>
        <v>8696.5859999999993</v>
      </c>
      <c r="P10" s="25">
        <f t="shared" ref="P10:P14" si="1">SUM(C10:O10)/13</f>
        <v>8696.5859999999975</v>
      </c>
    </row>
    <row r="11" spans="1:16" x14ac:dyDescent="0.3">
      <c r="A11" s="23">
        <f>+A10+1</f>
        <v>2</v>
      </c>
      <c r="B11" s="12" t="s">
        <v>49</v>
      </c>
      <c r="C11" s="19">
        <f>506573133.69/1000</f>
        <v>506573.13368999999</v>
      </c>
      <c r="D11" s="16">
        <f>537823133.69/1000</f>
        <v>537823.13369000005</v>
      </c>
      <c r="E11" s="16">
        <f>569073133.69/1000</f>
        <v>569073.13369000005</v>
      </c>
      <c r="F11" s="16">
        <f>600323133.69/1000</f>
        <v>600323.13369000005</v>
      </c>
      <c r="G11" s="16">
        <f>631573133.69/1000</f>
        <v>631573.13369000005</v>
      </c>
      <c r="H11" s="16">
        <f>662823133.69/1000</f>
        <v>662823.13369000005</v>
      </c>
      <c r="I11" s="16">
        <f>694073133.69/1000</f>
        <v>694073.13369000005</v>
      </c>
      <c r="J11" s="16">
        <f>725323133.69/1000</f>
        <v>725323.13369000005</v>
      </c>
      <c r="K11" s="16">
        <f>756573133.69/1000</f>
        <v>756573.13369000005</v>
      </c>
      <c r="L11" s="16">
        <f>787823133.69/1000</f>
        <v>787823.13369000005</v>
      </c>
      <c r="M11" s="16">
        <f>819073133.69/1000</f>
        <v>819073.13369000005</v>
      </c>
      <c r="N11" s="16">
        <f>850323133.69/1000</f>
        <v>850323.13369000005</v>
      </c>
      <c r="O11" s="16">
        <f>881573133.69/1000</f>
        <v>881573.13369000005</v>
      </c>
      <c r="P11" s="11">
        <f t="shared" si="1"/>
        <v>694073.13368999981</v>
      </c>
    </row>
    <row r="12" spans="1:16" x14ac:dyDescent="0.3">
      <c r="A12" s="23">
        <f t="shared" ref="A12:A62" si="2">+A11+1</f>
        <v>3</v>
      </c>
      <c r="B12" s="12" t="s">
        <v>50</v>
      </c>
      <c r="C12" s="19">
        <f>144429000/1000</f>
        <v>144429</v>
      </c>
      <c r="D12" s="16">
        <f>154845667/1000</f>
        <v>154845.66699999999</v>
      </c>
      <c r="E12" s="16">
        <f>165262333/1000</f>
        <v>165262.33300000001</v>
      </c>
      <c r="F12" s="16">
        <f>175679000/1000</f>
        <v>175679</v>
      </c>
      <c r="G12" s="16">
        <f>186095667/1000</f>
        <v>186095.66699999999</v>
      </c>
      <c r="H12" s="16">
        <f>196512333/1000</f>
        <v>196512.33300000001</v>
      </c>
      <c r="I12" s="16">
        <f>206929000/1000</f>
        <v>206929</v>
      </c>
      <c r="J12" s="16">
        <f>217345667/1000</f>
        <v>217345.66699999999</v>
      </c>
      <c r="K12" s="16">
        <f>227762333/1000</f>
        <v>227762.33300000001</v>
      </c>
      <c r="L12" s="16">
        <f>238179000/1000</f>
        <v>238179</v>
      </c>
      <c r="M12" s="16">
        <f>248595667/1000</f>
        <v>248595.66699999999</v>
      </c>
      <c r="N12" s="16">
        <f>259012333/1000</f>
        <v>259012.33300000001</v>
      </c>
      <c r="O12" s="16">
        <f>269429000/1000</f>
        <v>269429</v>
      </c>
      <c r="P12" s="11">
        <f t="shared" si="1"/>
        <v>206929</v>
      </c>
    </row>
    <row r="13" spans="1:16" x14ac:dyDescent="0.3">
      <c r="A13" s="23">
        <f t="shared" si="2"/>
        <v>4</v>
      </c>
      <c r="B13" s="12" t="s">
        <v>51</v>
      </c>
      <c r="C13" s="19">
        <f>241689/1000</f>
        <v>241.68899999999999</v>
      </c>
      <c r="D13" s="16">
        <f>241689/1000</f>
        <v>241.68899999999999</v>
      </c>
      <c r="E13" s="16">
        <f>241689/1000</f>
        <v>241.68899999999999</v>
      </c>
      <c r="F13" s="16">
        <f t="shared" ref="F13:O13" si="3">241689/1000</f>
        <v>241.68899999999999</v>
      </c>
      <c r="G13" s="16">
        <f t="shared" si="3"/>
        <v>241.68899999999999</v>
      </c>
      <c r="H13" s="16">
        <f t="shared" si="3"/>
        <v>241.68899999999999</v>
      </c>
      <c r="I13" s="16">
        <f t="shared" si="3"/>
        <v>241.68899999999999</v>
      </c>
      <c r="J13" s="16">
        <f t="shared" si="3"/>
        <v>241.68899999999999</v>
      </c>
      <c r="K13" s="16">
        <f t="shared" si="3"/>
        <v>241.68899999999999</v>
      </c>
      <c r="L13" s="16">
        <f t="shared" si="3"/>
        <v>241.68899999999999</v>
      </c>
      <c r="M13" s="16">
        <f t="shared" si="3"/>
        <v>241.68899999999999</v>
      </c>
      <c r="N13" s="16">
        <f t="shared" si="3"/>
        <v>241.68899999999999</v>
      </c>
      <c r="O13" s="16">
        <f t="shared" si="3"/>
        <v>241.68899999999999</v>
      </c>
      <c r="P13" s="11">
        <f t="shared" si="1"/>
        <v>241.68899999999996</v>
      </c>
    </row>
    <row r="14" spans="1:16" x14ac:dyDescent="0.3">
      <c r="A14" s="23">
        <f t="shared" si="2"/>
        <v>5</v>
      </c>
      <c r="B14" s="12" t="s">
        <v>52</v>
      </c>
      <c r="C14" s="19">
        <f>1369105/1000</f>
        <v>1369.105</v>
      </c>
      <c r="D14" s="16">
        <f>1369105/1000</f>
        <v>1369.105</v>
      </c>
      <c r="E14" s="16">
        <f>1369105/1000</f>
        <v>1369.105</v>
      </c>
      <c r="F14" s="16">
        <f t="shared" ref="F14:O14" si="4">1369105/1000</f>
        <v>1369.105</v>
      </c>
      <c r="G14" s="16">
        <f t="shared" si="4"/>
        <v>1369.105</v>
      </c>
      <c r="H14" s="16">
        <f t="shared" si="4"/>
        <v>1369.105</v>
      </c>
      <c r="I14" s="16">
        <f t="shared" si="4"/>
        <v>1369.105</v>
      </c>
      <c r="J14" s="16">
        <f t="shared" si="4"/>
        <v>1369.105</v>
      </c>
      <c r="K14" s="16">
        <f t="shared" si="4"/>
        <v>1369.105</v>
      </c>
      <c r="L14" s="16">
        <f t="shared" si="4"/>
        <v>1369.105</v>
      </c>
      <c r="M14" s="16">
        <f t="shared" si="4"/>
        <v>1369.105</v>
      </c>
      <c r="N14" s="16">
        <f t="shared" si="4"/>
        <v>1369.105</v>
      </c>
      <c r="O14" s="16">
        <f t="shared" si="4"/>
        <v>1369.105</v>
      </c>
      <c r="P14" s="11">
        <f t="shared" si="1"/>
        <v>1369.1049999999998</v>
      </c>
    </row>
    <row r="15" spans="1:16" x14ac:dyDescent="0.3">
      <c r="A15" s="23">
        <f t="shared" si="2"/>
        <v>6</v>
      </c>
      <c r="B15" s="12" t="s">
        <v>53</v>
      </c>
      <c r="C15" s="19">
        <f>3.53000001981854/1000</f>
        <v>3.5300000198185398E-3</v>
      </c>
      <c r="D15" s="16">
        <f>3.53000000491738/1000</f>
        <v>3.53000000491738E-3</v>
      </c>
      <c r="E15" s="16">
        <f>4.53000000491738/1000</f>
        <v>4.53000000491738E-3</v>
      </c>
      <c r="F15" s="16">
        <f>4.53000000491738/1000</f>
        <v>4.53000000491738E-3</v>
      </c>
      <c r="G15" s="16">
        <f>4.53000000491738/1000</f>
        <v>4.53000000491738E-3</v>
      </c>
      <c r="H15" s="16">
        <f>5.53000000491738/1000</f>
        <v>5.5300000049173801E-3</v>
      </c>
      <c r="I15" s="16">
        <f>5.53000000491738/1000</f>
        <v>5.5300000049173801E-3</v>
      </c>
      <c r="J15" s="16">
        <f>5.53000000491738/1000</f>
        <v>5.5300000049173801E-3</v>
      </c>
      <c r="K15" s="16">
        <f>6.53000000491738/1000</f>
        <v>6.5300000049173792E-3</v>
      </c>
      <c r="L15" s="16">
        <f>6.53000000491738/1000</f>
        <v>6.5300000049173792E-3</v>
      </c>
      <c r="M15" s="16">
        <f>6.53000000491738/1000</f>
        <v>6.5300000049173792E-3</v>
      </c>
      <c r="N15" s="16">
        <f>7.53000000491738/1000</f>
        <v>7.5300000049173792E-3</v>
      </c>
      <c r="O15" s="16">
        <f>7.53000000491738/1000</f>
        <v>7.5300000049173792E-3</v>
      </c>
      <c r="P15" s="11">
        <f>SUM(C15:O15)/13</f>
        <v>5.5300000060636229E-3</v>
      </c>
    </row>
    <row r="16" spans="1:16" x14ac:dyDescent="0.3">
      <c r="A16" s="23">
        <f t="shared" si="2"/>
        <v>7</v>
      </c>
      <c r="B16" s="12"/>
      <c r="C16" s="19"/>
      <c r="D16" s="16"/>
      <c r="E16" s="16"/>
      <c r="F16" s="16"/>
      <c r="G16" s="16"/>
      <c r="H16" s="16"/>
      <c r="I16" s="16"/>
      <c r="J16" s="16"/>
      <c r="K16" s="16"/>
      <c r="L16" s="16"/>
      <c r="M16" s="16"/>
      <c r="O16" s="32" t="s">
        <v>95</v>
      </c>
      <c r="P16" s="102">
        <f>SUM(P10:P15)</f>
        <v>911309.51921999978</v>
      </c>
    </row>
    <row r="17" spans="1:16" x14ac:dyDescent="0.3">
      <c r="A17" s="23">
        <f t="shared" si="2"/>
        <v>8</v>
      </c>
      <c r="B17" s="12"/>
      <c r="C17" s="19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16" x14ac:dyDescent="0.3">
      <c r="A18" s="23">
        <f t="shared" si="2"/>
        <v>9</v>
      </c>
      <c r="B18" s="12" t="s">
        <v>54</v>
      </c>
      <c r="C18" s="24">
        <v>-15.836</v>
      </c>
      <c r="D18" s="25">
        <v>-16.641999999999999</v>
      </c>
      <c r="E18" s="25">
        <v>-17.448</v>
      </c>
      <c r="F18" s="25">
        <v>-18.253</v>
      </c>
      <c r="G18" s="25">
        <v>-19.059000000000001</v>
      </c>
      <c r="H18" s="25">
        <v>-19.864999999999998</v>
      </c>
      <c r="I18" s="25">
        <v>-20.67</v>
      </c>
      <c r="J18" s="25">
        <v>-21.475999999999999</v>
      </c>
      <c r="K18" s="25">
        <v>-22.280999999999999</v>
      </c>
      <c r="L18" s="25">
        <v>-23.087</v>
      </c>
      <c r="M18" s="25">
        <v>-23.893000000000001</v>
      </c>
      <c r="N18" s="25">
        <v>-24.698</v>
      </c>
      <c r="O18" s="25">
        <v>-25.504000000000001</v>
      </c>
      <c r="P18" s="25">
        <f t="shared" ref="P18:P21" si="5">SUM(C18:O18)/13</f>
        <v>-20.670153846153845</v>
      </c>
    </row>
    <row r="19" spans="1:16" x14ac:dyDescent="0.3">
      <c r="A19" s="23">
        <f t="shared" si="2"/>
        <v>10</v>
      </c>
      <c r="B19" s="12" t="s">
        <v>55</v>
      </c>
      <c r="C19" s="19">
        <f>-1868599/1000</f>
        <v>-1868.5989999999999</v>
      </c>
      <c r="D19" s="16">
        <f>-1955810/1000</f>
        <v>-1955.81</v>
      </c>
      <c r="E19" s="16">
        <f>-2036391/1000</f>
        <v>-2036.3910000000001</v>
      </c>
      <c r="F19" s="16">
        <f>-2116277/1000</f>
        <v>-2116.277</v>
      </c>
      <c r="G19" s="16">
        <f>-2194239/1000</f>
        <v>-2194.239</v>
      </c>
      <c r="H19" s="16">
        <f>-2270935/1000</f>
        <v>-2270.9349999999999</v>
      </c>
      <c r="I19" s="16">
        <f>-2345075/1000</f>
        <v>-2345.0749999999998</v>
      </c>
      <c r="J19" s="16">
        <f>-2417102/1000</f>
        <v>-2417.1019999999999</v>
      </c>
      <c r="K19" s="16">
        <f>-2488305/1000</f>
        <v>-2488.3049999999998</v>
      </c>
      <c r="L19" s="16">
        <f>-2556367/1000</f>
        <v>-2556.3670000000002</v>
      </c>
      <c r="M19" s="16">
        <f>-2623624/1000</f>
        <v>-2623.6239999999998</v>
      </c>
      <c r="N19" s="16">
        <f>-2688762/1000</f>
        <v>-2688.7620000000002</v>
      </c>
      <c r="O19" s="16">
        <f>-2751455/1000</f>
        <v>-2751.4549999999999</v>
      </c>
      <c r="P19" s="16">
        <f t="shared" si="5"/>
        <v>-2331.7646923076923</v>
      </c>
    </row>
    <row r="20" spans="1:16" x14ac:dyDescent="0.3">
      <c r="A20" s="23">
        <f t="shared" si="2"/>
        <v>11</v>
      </c>
      <c r="B20" s="12" t="s">
        <v>56</v>
      </c>
      <c r="C20" s="19">
        <f>-51271059/1000</f>
        <v>-51271.059000000001</v>
      </c>
      <c r="D20" s="16">
        <f>-57149904/1000</f>
        <v>-57149.904000000002</v>
      </c>
      <c r="E20" s="16">
        <f>-63251357/1000</f>
        <v>-63251.357000000004</v>
      </c>
      <c r="F20" s="16">
        <f>-69633121/1000</f>
        <v>-69633.120999999999</v>
      </c>
      <c r="G20" s="16">
        <f>-76266957/1000</f>
        <v>-76266.956999999995</v>
      </c>
      <c r="H20" s="16">
        <f>-83156318/1000</f>
        <v>-83156.317999999999</v>
      </c>
      <c r="I20" s="16">
        <f>-90274988/1000</f>
        <v>-90274.987999999998</v>
      </c>
      <c r="J20" s="16">
        <f>-97619796/1000</f>
        <v>-97619.796000000002</v>
      </c>
      <c r="K20" s="16">
        <f>-105197383/1000</f>
        <v>-105197.383</v>
      </c>
      <c r="L20" s="16">
        <f>-112976678/1000</f>
        <v>-112976.678</v>
      </c>
      <c r="M20" s="16">
        <f>-120976890/1000</f>
        <v>-120976.89</v>
      </c>
      <c r="N20" s="16">
        <f>-129170896/1000</f>
        <v>-129170.89599999999</v>
      </c>
      <c r="O20" s="16">
        <f>-137556221/1000</f>
        <v>-137556.22099999999</v>
      </c>
      <c r="P20" s="16">
        <f t="shared" si="5"/>
        <v>-91884.736000000004</v>
      </c>
    </row>
    <row r="21" spans="1:16" x14ac:dyDescent="0.3">
      <c r="A21" s="23">
        <f t="shared" si="2"/>
        <v>12</v>
      </c>
      <c r="B21" s="12" t="s">
        <v>57</v>
      </c>
      <c r="C21" s="19">
        <f>-16035364/1000</f>
        <v>-16035.364</v>
      </c>
      <c r="D21" s="16">
        <f>-17970419/1000</f>
        <v>-17970.419000000002</v>
      </c>
      <c r="E21" s="16">
        <f>-19981544/1000</f>
        <v>-19981.544000000002</v>
      </c>
      <c r="F21" s="16">
        <f>-22086303/1000</f>
        <v>-22086.303</v>
      </c>
      <c r="G21" s="16">
        <f>-24275627/1000</f>
        <v>-24275.627</v>
      </c>
      <c r="H21" s="16">
        <f>-26550482/1000</f>
        <v>-26550.482</v>
      </c>
      <c r="I21" s="16">
        <f>-28902493/1000</f>
        <v>-28902.492999999999</v>
      </c>
      <c r="J21" s="16">
        <f>-31330479/1000</f>
        <v>-31330.478999999999</v>
      </c>
      <c r="K21" s="16">
        <f>-33836291/1000</f>
        <v>-33836.290999999997</v>
      </c>
      <c r="L21" s="16">
        <f>-36410222/1000</f>
        <v>-36410.222000000002</v>
      </c>
      <c r="M21" s="16">
        <f>-39058019/1000</f>
        <v>-39058.019</v>
      </c>
      <c r="N21" s="16">
        <f>-41771011/1000</f>
        <v>-41771.010999999999</v>
      </c>
      <c r="O21" s="16">
        <f>-44548465/1000</f>
        <v>-44548.464999999997</v>
      </c>
      <c r="P21" s="16">
        <f t="shared" si="5"/>
        <v>-29442.82453846154</v>
      </c>
    </row>
    <row r="22" spans="1:16" x14ac:dyDescent="0.3">
      <c r="A22" s="23">
        <f t="shared" si="2"/>
        <v>13</v>
      </c>
      <c r="B22" s="12"/>
      <c r="C22" s="19"/>
      <c r="D22" s="16"/>
      <c r="E22" s="16"/>
      <c r="F22" s="16"/>
      <c r="G22" s="16"/>
      <c r="H22" s="16"/>
      <c r="I22" s="16"/>
      <c r="J22" s="16"/>
      <c r="K22" s="16"/>
      <c r="L22" s="16"/>
      <c r="M22" s="16"/>
      <c r="O22" s="32" t="s">
        <v>96</v>
      </c>
      <c r="P22" s="102">
        <f>SUM(P18:P21)</f>
        <v>-123679.99538461539</v>
      </c>
    </row>
    <row r="23" spans="1:16" x14ac:dyDescent="0.3">
      <c r="A23" s="23">
        <f t="shared" si="2"/>
        <v>14</v>
      </c>
      <c r="B23" s="12"/>
      <c r="C23" s="19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s="11" customFormat="1" x14ac:dyDescent="0.3">
      <c r="A24" s="23">
        <f t="shared" si="2"/>
        <v>15</v>
      </c>
      <c r="B24" s="12" t="s">
        <v>58</v>
      </c>
      <c r="C24" s="24">
        <f>2176820/1000</f>
        <v>2176.8200000000002</v>
      </c>
      <c r="D24" s="25">
        <v>2176.8200000000002</v>
      </c>
      <c r="E24" s="25">
        <v>2176.8200000000002</v>
      </c>
      <c r="F24" s="25">
        <v>2176.8200000000002</v>
      </c>
      <c r="G24" s="25">
        <v>2176.8200000000002</v>
      </c>
      <c r="H24" s="25">
        <v>2176.8200000000002</v>
      </c>
      <c r="I24" s="25">
        <v>2176.8200000000002</v>
      </c>
      <c r="J24" s="25">
        <v>2176.8200000000002</v>
      </c>
      <c r="K24" s="25">
        <v>2176.8200000000002</v>
      </c>
      <c r="L24" s="25">
        <v>2176.8200000000002</v>
      </c>
      <c r="M24" s="25">
        <v>2176.8200000000002</v>
      </c>
      <c r="N24" s="25">
        <v>2176.8200000000002</v>
      </c>
      <c r="O24" s="25">
        <v>2176.8200000000002</v>
      </c>
      <c r="P24" s="25">
        <f>SUM(C24:O24)/13</f>
        <v>2176.8200000000002</v>
      </c>
    </row>
    <row r="25" spans="1:16" s="11" customFormat="1" x14ac:dyDescent="0.3">
      <c r="A25" s="23">
        <f t="shared" si="2"/>
        <v>16</v>
      </c>
      <c r="B25" s="12"/>
      <c r="C25" s="20"/>
      <c r="O25" s="32" t="s">
        <v>97</v>
      </c>
      <c r="P25" s="102">
        <f>SUM(P24)</f>
        <v>2176.8200000000002</v>
      </c>
    </row>
    <row r="26" spans="1:16" x14ac:dyDescent="0.3">
      <c r="A26" s="23">
        <f t="shared" si="2"/>
        <v>17</v>
      </c>
      <c r="C26" s="21"/>
    </row>
    <row r="27" spans="1:16" x14ac:dyDescent="0.3">
      <c r="A27" s="23">
        <f t="shared" si="2"/>
        <v>18</v>
      </c>
      <c r="B27" s="12" t="s">
        <v>59</v>
      </c>
      <c r="C27" s="24">
        <v>-267.55599999999998</v>
      </c>
      <c r="D27" s="25">
        <v>-268.87200000000001</v>
      </c>
      <c r="E27" s="25">
        <v>-270.18799999999999</v>
      </c>
      <c r="F27" s="25">
        <v>-271.50400000000002</v>
      </c>
      <c r="G27" s="25">
        <v>-272.82</v>
      </c>
      <c r="H27" s="25">
        <v>-274.13600000000002</v>
      </c>
      <c r="I27" s="25">
        <v>-275.452</v>
      </c>
      <c r="J27" s="25">
        <v>-276.76799999999997</v>
      </c>
      <c r="K27" s="25">
        <v>-278.084</v>
      </c>
      <c r="L27" s="25">
        <v>-279.39999999999998</v>
      </c>
      <c r="M27" s="25">
        <v>-280.71499999999997</v>
      </c>
      <c r="N27" s="25">
        <v>-282.03100000000001</v>
      </c>
      <c r="O27" s="25">
        <v>-283.34699999999998</v>
      </c>
      <c r="P27" s="25">
        <f>SUM(C27:O27)/13</f>
        <v>-275.45176923076917</v>
      </c>
    </row>
    <row r="28" spans="1:16" x14ac:dyDescent="0.3">
      <c r="A28" s="23">
        <f t="shared" si="2"/>
        <v>19</v>
      </c>
      <c r="B28" s="12" t="s">
        <v>60</v>
      </c>
      <c r="C28" s="19">
        <f>-45659687/1000</f>
        <v>-45659.686999999998</v>
      </c>
      <c r="D28" s="16">
        <f>-46621172/1000</f>
        <v>-46621.171999999999</v>
      </c>
      <c r="E28" s="16">
        <v>-48988.120999999999</v>
      </c>
      <c r="F28" s="16">
        <v>-44271.108</v>
      </c>
      <c r="G28" s="16">
        <v>-47685.341</v>
      </c>
      <c r="H28" s="16">
        <v>-46283.677000000003</v>
      </c>
      <c r="I28" s="16">
        <v>-47915.523000000001</v>
      </c>
      <c r="J28" s="16">
        <v>-46490.739000000001</v>
      </c>
      <c r="K28" s="16">
        <v>-47413.139000000003</v>
      </c>
      <c r="L28" s="16">
        <v>-48179.425000000003</v>
      </c>
      <c r="M28" s="16">
        <v>-46720.974999999999</v>
      </c>
      <c r="N28" s="16">
        <v>-48345.548999999999</v>
      </c>
      <c r="O28" s="16">
        <v>-46901.73</v>
      </c>
      <c r="P28" s="16">
        <f>SUM(C28:O28)/13</f>
        <v>-47036.629692307688</v>
      </c>
    </row>
    <row r="29" spans="1:16" x14ac:dyDescent="0.3">
      <c r="A29" s="23">
        <f t="shared" si="2"/>
        <v>20</v>
      </c>
      <c r="B29" s="12" t="s">
        <v>61</v>
      </c>
      <c r="C29" s="19">
        <v>-736.03300000000002</v>
      </c>
      <c r="D29" s="16">
        <v>-757.70100000000002</v>
      </c>
      <c r="E29" s="16">
        <v>-798.21400000000006</v>
      </c>
      <c r="F29" s="16">
        <v>-838.27599999999995</v>
      </c>
      <c r="G29" s="16">
        <v>-877.93200000000002</v>
      </c>
      <c r="H29" s="16">
        <v>-917.17700000000002</v>
      </c>
      <c r="I29" s="16">
        <v>-956.05399999999997</v>
      </c>
      <c r="J29" s="16">
        <v>-994.56700000000001</v>
      </c>
      <c r="K29" s="16">
        <v>-1032.7080000000001</v>
      </c>
      <c r="L29" s="16">
        <v>-1070.5239999999999</v>
      </c>
      <c r="M29" s="16">
        <v>-1107.9849999999999</v>
      </c>
      <c r="N29" s="16">
        <v>-1145.134</v>
      </c>
      <c r="O29" s="16">
        <v>-1181.9770000000001</v>
      </c>
      <c r="P29" s="16">
        <f>SUM(C29:O29)/13</f>
        <v>-954.94476923076934</v>
      </c>
    </row>
    <row r="30" spans="1:16" x14ac:dyDescent="0.3">
      <c r="A30" s="23">
        <f t="shared" si="2"/>
        <v>21</v>
      </c>
      <c r="B30" s="12" t="s">
        <v>62</v>
      </c>
      <c r="C30" s="19">
        <v>0</v>
      </c>
      <c r="D30" s="16">
        <f>8989422.16635763/1000</f>
        <v>8989.42216635763</v>
      </c>
      <c r="E30" s="16">
        <f>17798522.9327152/1000</f>
        <v>17798.522932715201</v>
      </c>
      <c r="F30" s="16">
        <f>26399754.4990729/1000</f>
        <v>26399.754499072897</v>
      </c>
      <c r="G30" s="16">
        <f>34618861.3129924/1000</f>
        <v>34618.861312992398</v>
      </c>
      <c r="H30" s="16">
        <f>42643382.476912/1000</f>
        <v>42643.382476911996</v>
      </c>
      <c r="I30" s="16">
        <f>50486585.4408316/1000</f>
        <v>50486.585440831601</v>
      </c>
      <c r="J30" s="16">
        <f>57975334.8579852/1000</f>
        <v>57975.334857985195</v>
      </c>
      <c r="K30" s="16">
        <f>65282133.9751387/1000</f>
        <v>65282.133975138699</v>
      </c>
      <c r="L30" s="16">
        <f>72422687.2922923/1000</f>
        <v>72422.687292292292</v>
      </c>
      <c r="M30" s="16">
        <f>79648383.7283945/1000</f>
        <v>79648.383728394489</v>
      </c>
      <c r="N30" s="16">
        <f>86712556.9144967/1000</f>
        <v>86712.556914496701</v>
      </c>
      <c r="O30" s="16">
        <f>-1.49011611938476E-08/1000</f>
        <v>-1.4901161193847598E-11</v>
      </c>
      <c r="P30" s="16">
        <f>SUM(C30:O30)/13</f>
        <v>41767.509661322241</v>
      </c>
    </row>
    <row r="31" spans="1:16" x14ac:dyDescent="0.3">
      <c r="A31" s="23">
        <f t="shared" si="2"/>
        <v>22</v>
      </c>
      <c r="B31" s="12" t="s">
        <v>63</v>
      </c>
      <c r="C31" s="19">
        <v>-24016.141</v>
      </c>
      <c r="D31" s="16">
        <v>-24112.034</v>
      </c>
      <c r="E31" s="16">
        <v>-21559.276000000002</v>
      </c>
      <c r="F31" s="16">
        <v>-24225.954000000002</v>
      </c>
      <c r="G31" s="16">
        <v>-23459.386999999999</v>
      </c>
      <c r="H31" s="16">
        <v>-24345.91</v>
      </c>
      <c r="I31" s="16">
        <v>-23569.613000000001</v>
      </c>
      <c r="J31" s="16">
        <v>-24449.200000000001</v>
      </c>
      <c r="K31" s="16">
        <v>-24494.867999999999</v>
      </c>
      <c r="L31" s="16">
        <v>-23684.557000000001</v>
      </c>
      <c r="M31" s="16">
        <v>-24572.179</v>
      </c>
      <c r="N31" s="16">
        <v>-23773.368999999999</v>
      </c>
      <c r="O31" s="16">
        <v>-24670.252</v>
      </c>
      <c r="P31" s="16">
        <f>SUM(C31:O31)/13</f>
        <v>-23917.903076923078</v>
      </c>
    </row>
    <row r="32" spans="1:16" x14ac:dyDescent="0.3">
      <c r="A32" s="23">
        <f t="shared" si="2"/>
        <v>23</v>
      </c>
      <c r="B32" s="12"/>
      <c r="C32" s="19"/>
      <c r="D32" s="16"/>
      <c r="E32" s="16"/>
      <c r="F32" s="16"/>
      <c r="G32" s="16"/>
      <c r="H32" s="16"/>
      <c r="I32" s="16"/>
      <c r="J32" s="16"/>
      <c r="K32" s="16"/>
      <c r="L32" s="16"/>
      <c r="M32" s="16"/>
      <c r="O32" s="32" t="s">
        <v>98</v>
      </c>
      <c r="P32" s="102">
        <f>SUM(P27:P31)</f>
        <v>-30417.419646370061</v>
      </c>
    </row>
    <row r="33" spans="1:29" x14ac:dyDescent="0.3">
      <c r="A33" s="23">
        <f t="shared" si="2"/>
        <v>24</v>
      </c>
      <c r="C33" s="21"/>
    </row>
    <row r="34" spans="1:29" x14ac:dyDescent="0.3">
      <c r="A34" s="23">
        <f t="shared" si="2"/>
        <v>25</v>
      </c>
      <c r="B34" s="13"/>
      <c r="C34" s="21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5"/>
    </row>
    <row r="35" spans="1:29" x14ac:dyDescent="0.3">
      <c r="A35" s="23">
        <f t="shared" si="2"/>
        <v>26</v>
      </c>
      <c r="B35" s="12"/>
      <c r="C35" s="19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5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7"/>
    </row>
    <row r="36" spans="1:29" ht="15" thickBot="1" x14ac:dyDescent="0.35">
      <c r="A36" s="23">
        <f t="shared" si="2"/>
        <v>27</v>
      </c>
      <c r="B36" s="40" t="s">
        <v>46</v>
      </c>
      <c r="C36" s="59" t="s">
        <v>32</v>
      </c>
      <c r="D36" s="40" t="s">
        <v>33</v>
      </c>
      <c r="E36" s="40" t="s">
        <v>34</v>
      </c>
      <c r="F36" s="40" t="s">
        <v>35</v>
      </c>
      <c r="G36" s="40" t="s">
        <v>36</v>
      </c>
      <c r="H36" s="40" t="s">
        <v>37</v>
      </c>
      <c r="I36" s="40" t="s">
        <v>38</v>
      </c>
      <c r="J36" s="40" t="s">
        <v>39</v>
      </c>
      <c r="K36" s="40" t="s">
        <v>40</v>
      </c>
      <c r="L36" s="40" t="s">
        <v>41</v>
      </c>
      <c r="M36" s="40" t="s">
        <v>42</v>
      </c>
      <c r="N36" s="40" t="s">
        <v>43</v>
      </c>
      <c r="O36" s="40" t="s">
        <v>44</v>
      </c>
      <c r="P36" s="40" t="s">
        <v>92</v>
      </c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7"/>
    </row>
    <row r="37" spans="1:29" x14ac:dyDescent="0.3">
      <c r="A37" s="23">
        <f t="shared" si="2"/>
        <v>28</v>
      </c>
      <c r="B37" s="15"/>
      <c r="C37" s="19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7"/>
    </row>
    <row r="38" spans="1:29" x14ac:dyDescent="0.3">
      <c r="A38" s="23">
        <f t="shared" si="2"/>
        <v>29</v>
      </c>
      <c r="B38" s="12" t="s">
        <v>48</v>
      </c>
      <c r="C38" s="57">
        <f t="shared" ref="C38:C43" si="6">O10</f>
        <v>8696.5859999999993</v>
      </c>
      <c r="D38" s="25">
        <v>8696.5859999999993</v>
      </c>
      <c r="E38" s="25">
        <v>8696.5859999999993</v>
      </c>
      <c r="F38" s="25">
        <v>8696.5859999999993</v>
      </c>
      <c r="G38" s="25">
        <v>8696.5859999999993</v>
      </c>
      <c r="H38" s="25">
        <v>8696.5859999999993</v>
      </c>
      <c r="I38" s="25">
        <v>8696.5859999999993</v>
      </c>
      <c r="J38" s="25">
        <v>8696.5859999999993</v>
      </c>
      <c r="K38" s="25">
        <v>8696.5859999999993</v>
      </c>
      <c r="L38" s="25">
        <v>8696.5859999999993</v>
      </c>
      <c r="M38" s="25">
        <v>8696.5859999999993</v>
      </c>
      <c r="N38" s="25">
        <v>8696.5859999999993</v>
      </c>
      <c r="O38" s="25">
        <v>8696.5859999999993</v>
      </c>
      <c r="P38" s="99">
        <f>+(SUM(C38:O38))/13</f>
        <v>8696.5859999999975</v>
      </c>
    </row>
    <row r="39" spans="1:29" x14ac:dyDescent="0.3">
      <c r="A39" s="23">
        <f t="shared" si="2"/>
        <v>30</v>
      </c>
      <c r="B39" s="12" t="s">
        <v>49</v>
      </c>
      <c r="C39" s="58">
        <f t="shared" si="6"/>
        <v>881573.13369000005</v>
      </c>
      <c r="D39" s="16">
        <f>912823133.69/1000</f>
        <v>912823.13369000005</v>
      </c>
      <c r="E39" s="16">
        <f>944073133.69/1000</f>
        <v>944073.13369000005</v>
      </c>
      <c r="F39" s="16">
        <f>975323133.69/1000</f>
        <v>975323.13369000005</v>
      </c>
      <c r="G39" s="16">
        <f>1006573133.69/1000</f>
        <v>1006573.13369</v>
      </c>
      <c r="H39" s="16">
        <f>1037823133.69/1000</f>
        <v>1037823.13369</v>
      </c>
      <c r="I39" s="16">
        <f>1069073133.69/1000</f>
        <v>1069073.13369</v>
      </c>
      <c r="J39" s="16">
        <f>1100323133.69/1000</f>
        <v>1100323.13369</v>
      </c>
      <c r="K39" s="16">
        <f>1131573133.69/1000</f>
        <v>1131573.13369</v>
      </c>
      <c r="L39" s="16">
        <f>1162823133.69/1000</f>
        <v>1162823.13369</v>
      </c>
      <c r="M39" s="16">
        <f>1194073133.69/1000</f>
        <v>1194073.13369</v>
      </c>
      <c r="N39" s="16">
        <f>1225323133.69/1000</f>
        <v>1225323.13369</v>
      </c>
      <c r="O39" s="16">
        <f>1256573133.69/1000</f>
        <v>1256573.13369</v>
      </c>
      <c r="P39" s="100">
        <f t="shared" ref="P39:P43" si="7">+(SUM(C39:O39))/13</f>
        <v>1069073.1336899998</v>
      </c>
    </row>
    <row r="40" spans="1:29" x14ac:dyDescent="0.3">
      <c r="A40" s="23">
        <f t="shared" si="2"/>
        <v>31</v>
      </c>
      <c r="B40" s="12" t="s">
        <v>50</v>
      </c>
      <c r="C40" s="58">
        <f t="shared" si="6"/>
        <v>269429</v>
      </c>
      <c r="D40" s="16">
        <f>279845667/1000</f>
        <v>279845.66700000002</v>
      </c>
      <c r="E40" s="16">
        <f>290262333/1000</f>
        <v>290262.33299999998</v>
      </c>
      <c r="F40" s="16">
        <f>300679000/1000</f>
        <v>300679</v>
      </c>
      <c r="G40" s="16">
        <f>311095667/1000</f>
        <v>311095.66700000002</v>
      </c>
      <c r="H40" s="16">
        <f>321512333/1000</f>
        <v>321512.33299999998</v>
      </c>
      <c r="I40" s="16">
        <f>331929000/1000</f>
        <v>331929</v>
      </c>
      <c r="J40" s="16">
        <v>342345.66700000002</v>
      </c>
      <c r="K40" s="16">
        <v>352762.33299999998</v>
      </c>
      <c r="L40" s="16">
        <v>363179</v>
      </c>
      <c r="M40" s="16">
        <v>373595.66700000002</v>
      </c>
      <c r="N40" s="16">
        <v>384012.33299999998</v>
      </c>
      <c r="O40" s="16">
        <v>394429</v>
      </c>
      <c r="P40" s="100">
        <f t="shared" si="7"/>
        <v>331929</v>
      </c>
    </row>
    <row r="41" spans="1:29" x14ac:dyDescent="0.3">
      <c r="A41" s="23">
        <f t="shared" si="2"/>
        <v>32</v>
      </c>
      <c r="B41" s="12" t="s">
        <v>51</v>
      </c>
      <c r="C41" s="58">
        <f t="shared" si="6"/>
        <v>241.68899999999999</v>
      </c>
      <c r="D41" s="16">
        <v>241.68899999999999</v>
      </c>
      <c r="E41" s="16">
        <v>241.68899999999999</v>
      </c>
      <c r="F41" s="16">
        <v>241.68899999999999</v>
      </c>
      <c r="G41" s="16">
        <v>241.68899999999999</v>
      </c>
      <c r="H41" s="16">
        <v>241.68899999999999</v>
      </c>
      <c r="I41" s="16">
        <v>241.68899999999999</v>
      </c>
      <c r="J41" s="16">
        <v>241.68899999999999</v>
      </c>
      <c r="K41" s="16">
        <v>241.68899999999999</v>
      </c>
      <c r="L41" s="16">
        <v>241.68899999999999</v>
      </c>
      <c r="M41" s="16">
        <v>241.68899999999999</v>
      </c>
      <c r="N41" s="16">
        <v>241.68899999999999</v>
      </c>
      <c r="O41" s="16">
        <v>241.68899999999999</v>
      </c>
      <c r="P41" s="100">
        <f t="shared" si="7"/>
        <v>241.68899999999996</v>
      </c>
    </row>
    <row r="42" spans="1:29" x14ac:dyDescent="0.3">
      <c r="A42" s="23">
        <f t="shared" si="2"/>
        <v>33</v>
      </c>
      <c r="B42" s="12" t="s">
        <v>52</v>
      </c>
      <c r="C42" s="58">
        <f t="shared" si="6"/>
        <v>1369.105</v>
      </c>
      <c r="D42" s="16">
        <v>1369.105</v>
      </c>
      <c r="E42" s="16">
        <v>1369.105</v>
      </c>
      <c r="F42" s="16">
        <v>1369.105</v>
      </c>
      <c r="G42" s="16">
        <v>1369.105</v>
      </c>
      <c r="H42" s="16">
        <v>1369.105</v>
      </c>
      <c r="I42" s="16">
        <v>1369.105</v>
      </c>
      <c r="J42" s="16">
        <v>1369.105</v>
      </c>
      <c r="K42" s="16">
        <v>1369.105</v>
      </c>
      <c r="L42" s="16">
        <v>1369.105</v>
      </c>
      <c r="M42" s="16">
        <v>1369.105</v>
      </c>
      <c r="N42" s="16">
        <v>1369.105</v>
      </c>
      <c r="O42" s="16">
        <v>1369.105</v>
      </c>
      <c r="P42" s="100">
        <f t="shared" si="7"/>
        <v>1369.1049999999998</v>
      </c>
    </row>
    <row r="43" spans="1:29" x14ac:dyDescent="0.3">
      <c r="A43" s="23">
        <f t="shared" si="2"/>
        <v>34</v>
      </c>
      <c r="B43" s="12" t="s">
        <v>53</v>
      </c>
      <c r="C43" s="58">
        <f t="shared" si="6"/>
        <v>7.5300000049173792E-3</v>
      </c>
      <c r="D43" s="16">
        <f>7.53000000491738/1000</f>
        <v>7.5300000049173792E-3</v>
      </c>
      <c r="E43" s="16">
        <f>8.53000000491738/1000</f>
        <v>8.5300000049173801E-3</v>
      </c>
      <c r="F43" s="16">
        <f>8.53000000491738/1000</f>
        <v>8.5300000049173801E-3</v>
      </c>
      <c r="G43" s="16">
        <f>8.53000000491738/1000</f>
        <v>8.5300000049173801E-3</v>
      </c>
      <c r="H43" s="16">
        <f>9.53000000491738/1000</f>
        <v>9.5300000049173793E-3</v>
      </c>
      <c r="I43" s="16">
        <f>9.53000000491738/1000</f>
        <v>9.5300000049173793E-3</v>
      </c>
      <c r="J43" s="16">
        <f>9.53000000491738/1000</f>
        <v>9.5300000049173793E-3</v>
      </c>
      <c r="K43" s="16">
        <f>10.5300000049173/1000</f>
        <v>1.05300000049173E-2</v>
      </c>
      <c r="L43" s="16">
        <f>10.5300000049173/1000</f>
        <v>1.05300000049173E-2</v>
      </c>
      <c r="M43" s="16">
        <f>10.5300000049173/1000</f>
        <v>1.05300000049173E-2</v>
      </c>
      <c r="N43" s="16">
        <f>11.5300000049173/1000</f>
        <v>1.15300000049173E-2</v>
      </c>
      <c r="O43" s="16">
        <f>11.5300000049173/1000</f>
        <v>1.15300000049173E-2</v>
      </c>
      <c r="P43" s="100">
        <f t="shared" si="7"/>
        <v>9.5300000049173498E-3</v>
      </c>
    </row>
    <row r="44" spans="1:29" x14ac:dyDescent="0.3">
      <c r="A44" s="23">
        <f t="shared" si="2"/>
        <v>35</v>
      </c>
      <c r="B44" s="12"/>
      <c r="C44" s="21"/>
      <c r="D44" s="16"/>
      <c r="E44" s="16"/>
      <c r="F44" s="16"/>
      <c r="G44" s="16"/>
      <c r="H44" s="16"/>
      <c r="I44" s="16"/>
      <c r="J44" s="16"/>
      <c r="K44" s="16"/>
      <c r="L44" s="16"/>
      <c r="M44" s="16"/>
      <c r="O44" s="32" t="s">
        <v>99</v>
      </c>
      <c r="P44" s="102">
        <f>SUM(P38:P43)</f>
        <v>1411309.5232199996</v>
      </c>
    </row>
    <row r="45" spans="1:29" x14ac:dyDescent="0.3">
      <c r="A45" s="23">
        <f t="shared" si="2"/>
        <v>36</v>
      </c>
      <c r="B45" s="12"/>
      <c r="C45" s="21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00"/>
    </row>
    <row r="46" spans="1:29" x14ac:dyDescent="0.3">
      <c r="A46" s="23">
        <f t="shared" si="2"/>
        <v>37</v>
      </c>
      <c r="B46" s="12" t="s">
        <v>54</v>
      </c>
      <c r="C46" s="57">
        <f>O18</f>
        <v>-25.504000000000001</v>
      </c>
      <c r="D46" s="25">
        <v>-26.31</v>
      </c>
      <c r="E46" s="25">
        <v>-27.114999999999998</v>
      </c>
      <c r="F46" s="25">
        <v>-27.920999999999999</v>
      </c>
      <c r="G46" s="25">
        <v>-28.725999999999999</v>
      </c>
      <c r="H46" s="25">
        <v>-29.532</v>
      </c>
      <c r="I46" s="25">
        <v>-30.338000000000001</v>
      </c>
      <c r="J46" s="25">
        <v>-31.143000000000001</v>
      </c>
      <c r="K46" s="25">
        <v>-31.949000000000002</v>
      </c>
      <c r="L46" s="25">
        <v>-32.755000000000003</v>
      </c>
      <c r="M46" s="25">
        <v>-33.56</v>
      </c>
      <c r="N46" s="25">
        <v>-34.366</v>
      </c>
      <c r="O46" s="25">
        <v>-35.171999999999997</v>
      </c>
      <c r="P46" s="99">
        <f>+(SUM(C46:O46))/13</f>
        <v>-30.337769230769229</v>
      </c>
    </row>
    <row r="47" spans="1:29" x14ac:dyDescent="0.3">
      <c r="A47" s="23">
        <f t="shared" si="2"/>
        <v>38</v>
      </c>
      <c r="B47" s="12" t="s">
        <v>55</v>
      </c>
      <c r="C47" s="58">
        <f>O19</f>
        <v>-2751.4549999999999</v>
      </c>
      <c r="D47" s="16">
        <v>-2814.62</v>
      </c>
      <c r="E47" s="16">
        <v>-2873.645</v>
      </c>
      <c r="F47" s="16">
        <v>-2932.7289999999998</v>
      </c>
      <c r="G47" s="16">
        <v>-2991.01</v>
      </c>
      <c r="H47" s="16">
        <v>-3048.848</v>
      </c>
      <c r="I47" s="16">
        <v>-3105.2530000000002</v>
      </c>
      <c r="J47" s="16">
        <v>-3160.51</v>
      </c>
      <c r="K47" s="16">
        <v>-3215.547</v>
      </c>
      <c r="L47" s="16">
        <v>-3268.547</v>
      </c>
      <c r="M47" s="16">
        <v>-3321.2579999999998</v>
      </c>
      <c r="N47" s="16">
        <v>-3372.645</v>
      </c>
      <c r="O47" s="16">
        <v>-3422.4389999999999</v>
      </c>
      <c r="P47" s="100">
        <f t="shared" ref="P47:P49" si="8">+(SUM(C47:O47))/13</f>
        <v>-3098.3466153846148</v>
      </c>
    </row>
    <row r="48" spans="1:29" x14ac:dyDescent="0.3">
      <c r="A48" s="23">
        <f t="shared" si="2"/>
        <v>39</v>
      </c>
      <c r="B48" s="12" t="s">
        <v>56</v>
      </c>
      <c r="C48" s="58">
        <f>O20</f>
        <v>-137556.22099999999</v>
      </c>
      <c r="D48" s="16">
        <f>-146155587/1000</f>
        <v>-146155.587</v>
      </c>
      <c r="E48" s="16">
        <f>-154913945/1000</f>
        <v>-154913.94500000001</v>
      </c>
      <c r="F48" s="16">
        <f>-163875227/1000</f>
        <v>-163875.22700000001</v>
      </c>
      <c r="G48" s="16">
        <f>-173022264/1000</f>
        <v>-173022.264</v>
      </c>
      <c r="H48" s="16">
        <f>-182358646/1000</f>
        <v>-182358.64600000001</v>
      </c>
      <c r="I48" s="16">
        <f>-191867058/1000</f>
        <v>-191867.05799999999</v>
      </c>
      <c r="J48" s="16">
        <f>-201546631/1000</f>
        <v>-201546.63099999999</v>
      </c>
      <c r="K48" s="16">
        <f>-211403901/1000</f>
        <v>-211403.90100000001</v>
      </c>
      <c r="L48" s="16">
        <f>-221416374/1000</f>
        <v>-221416.37400000001</v>
      </c>
      <c r="M48" s="16">
        <f>-231599899/1000</f>
        <v>-231599.899</v>
      </c>
      <c r="N48" s="16">
        <f>-241934924/1000</f>
        <v>-241934.924</v>
      </c>
      <c r="O48" s="16">
        <f>-252420566/1000</f>
        <v>-252420.56599999999</v>
      </c>
      <c r="P48" s="100">
        <f t="shared" si="8"/>
        <v>-193082.40330769232</v>
      </c>
    </row>
    <row r="49" spans="1:16" x14ac:dyDescent="0.3">
      <c r="A49" s="23">
        <f t="shared" si="2"/>
        <v>40</v>
      </c>
      <c r="B49" s="12" t="s">
        <v>57</v>
      </c>
      <c r="C49" s="58">
        <f>O21</f>
        <v>-44548.464999999997</v>
      </c>
      <c r="D49" s="16">
        <v>-47397.131999999998</v>
      </c>
      <c r="E49" s="16">
        <v>-50299.963000000003</v>
      </c>
      <c r="F49" s="16">
        <v>-53270.419000000002</v>
      </c>
      <c r="G49" s="16">
        <v>-56303.019</v>
      </c>
      <c r="H49" s="16">
        <v>-59398.858</v>
      </c>
      <c r="I49" s="16">
        <v>-62552.445</v>
      </c>
      <c r="J49" s="16">
        <v>-65763.407999999996</v>
      </c>
      <c r="K49" s="16">
        <v>-69033.664999999994</v>
      </c>
      <c r="L49" s="16">
        <v>-72356.231</v>
      </c>
      <c r="M49" s="16">
        <v>-75735.895999999993</v>
      </c>
      <c r="N49" s="16">
        <v>-79166.433000000005</v>
      </c>
      <c r="O49" s="16">
        <v>-82647.625</v>
      </c>
      <c r="P49" s="100">
        <f t="shared" si="8"/>
        <v>-62959.50453846153</v>
      </c>
    </row>
    <row r="50" spans="1:16" x14ac:dyDescent="0.3">
      <c r="A50" s="23">
        <f t="shared" si="2"/>
        <v>41</v>
      </c>
      <c r="B50" s="12"/>
      <c r="C50" s="21"/>
      <c r="D50" s="16"/>
      <c r="E50" s="16"/>
      <c r="F50" s="16"/>
      <c r="G50" s="16"/>
      <c r="H50" s="16"/>
      <c r="I50" s="16"/>
      <c r="J50" s="16"/>
      <c r="K50" s="16"/>
      <c r="L50" s="16"/>
      <c r="M50" s="16"/>
      <c r="O50" s="32" t="s">
        <v>100</v>
      </c>
      <c r="P50" s="102">
        <f>SUM(P46:P49)</f>
        <v>-259170.59223076925</v>
      </c>
    </row>
    <row r="51" spans="1:16" x14ac:dyDescent="0.3">
      <c r="A51" s="23">
        <f t="shared" si="2"/>
        <v>42</v>
      </c>
      <c r="B51" s="12"/>
      <c r="C51" s="21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00"/>
    </row>
    <row r="52" spans="1:16" x14ac:dyDescent="0.3">
      <c r="A52" s="23">
        <f t="shared" si="2"/>
        <v>43</v>
      </c>
      <c r="B52" s="12" t="s">
        <v>58</v>
      </c>
      <c r="C52" s="57">
        <f>O24</f>
        <v>2176.8200000000002</v>
      </c>
      <c r="D52" s="25">
        <v>2176.8200000000002</v>
      </c>
      <c r="E52" s="25">
        <v>2176.8200000000002</v>
      </c>
      <c r="F52" s="25">
        <v>2176.8200000000002</v>
      </c>
      <c r="G52" s="25">
        <v>2176.8200000000002</v>
      </c>
      <c r="H52" s="25">
        <v>2176.8200000000002</v>
      </c>
      <c r="I52" s="25">
        <v>2176.8200000000002</v>
      </c>
      <c r="J52" s="25">
        <v>2176.8200000000002</v>
      </c>
      <c r="K52" s="25">
        <v>2176.8200000000002</v>
      </c>
      <c r="L52" s="25">
        <v>2176.8200000000002</v>
      </c>
      <c r="M52" s="25">
        <v>2176.8200000000002</v>
      </c>
      <c r="N52" s="25">
        <v>2176.8200000000002</v>
      </c>
      <c r="O52" s="25">
        <v>2176.8200000000002</v>
      </c>
      <c r="P52" s="99">
        <f>+(SUM(C52:O52))/13</f>
        <v>2176.8200000000002</v>
      </c>
    </row>
    <row r="53" spans="1:16" x14ac:dyDescent="0.3">
      <c r="A53" s="23">
        <f t="shared" si="2"/>
        <v>44</v>
      </c>
      <c r="B53" s="12"/>
      <c r="C53" s="21"/>
      <c r="D53" s="11"/>
      <c r="E53" s="11"/>
      <c r="F53" s="11"/>
      <c r="G53" s="11"/>
      <c r="H53" s="11"/>
      <c r="I53" s="11"/>
      <c r="J53" s="11"/>
      <c r="K53" s="11"/>
      <c r="L53" s="11"/>
      <c r="M53" s="11"/>
      <c r="O53" s="32" t="s">
        <v>101</v>
      </c>
      <c r="P53" s="102">
        <f>SUM(P52)</f>
        <v>2176.8200000000002</v>
      </c>
    </row>
    <row r="54" spans="1:16" x14ac:dyDescent="0.3">
      <c r="A54" s="23">
        <f t="shared" si="2"/>
        <v>45</v>
      </c>
      <c r="C54" s="21"/>
    </row>
    <row r="55" spans="1:16" x14ac:dyDescent="0.3">
      <c r="A55" s="23">
        <f t="shared" si="2"/>
        <v>46</v>
      </c>
      <c r="B55" s="12" t="s">
        <v>59</v>
      </c>
      <c r="C55" s="57">
        <f>O27</f>
        <v>-283.34699999999998</v>
      </c>
      <c r="D55" s="25">
        <v>-284.66300000000001</v>
      </c>
      <c r="E55" s="25">
        <v>-285.97899999999998</v>
      </c>
      <c r="F55" s="25">
        <v>-287.29500000000002</v>
      </c>
      <c r="G55" s="25">
        <v>-288.61099999999999</v>
      </c>
      <c r="H55" s="25">
        <v>-289.92700000000002</v>
      </c>
      <c r="I55" s="25">
        <v>-291.24299999999999</v>
      </c>
      <c r="J55" s="25">
        <v>-292.55900000000003</v>
      </c>
      <c r="K55" s="25">
        <v>-293.875</v>
      </c>
      <c r="L55" s="25">
        <v>-295.19</v>
      </c>
      <c r="M55" s="25">
        <v>-296.50599999999997</v>
      </c>
      <c r="N55" s="25">
        <v>-297.822</v>
      </c>
      <c r="O55" s="25">
        <v>-299.13799999999998</v>
      </c>
      <c r="P55" s="99">
        <f>+(SUM(C55:O55))/13</f>
        <v>-291.24269230769232</v>
      </c>
    </row>
    <row r="56" spans="1:16" x14ac:dyDescent="0.3">
      <c r="A56" s="23">
        <f t="shared" si="2"/>
        <v>47</v>
      </c>
      <c r="B56" s="12" t="s">
        <v>60</v>
      </c>
      <c r="C56" s="58">
        <f>+O28</f>
        <v>-46901.73</v>
      </c>
      <c r="D56" s="16">
        <v>-48005.688000000002</v>
      </c>
      <c r="E56" s="16">
        <v>-50488.453999999998</v>
      </c>
      <c r="F56" s="16">
        <v>-45593.517</v>
      </c>
      <c r="G56" s="16">
        <v>-49113.764999999999</v>
      </c>
      <c r="H56" s="16">
        <v>-47640.63</v>
      </c>
      <c r="I56" s="16">
        <v>-49299.913</v>
      </c>
      <c r="J56" s="16">
        <v>-47810.569000000003</v>
      </c>
      <c r="K56" s="16">
        <v>-48739.762999999999</v>
      </c>
      <c r="L56" s="16">
        <v>-49463.686999999998</v>
      </c>
      <c r="M56" s="16">
        <v>-47930.606</v>
      </c>
      <c r="N56" s="16">
        <v>-49580.644999999997</v>
      </c>
      <c r="O56" s="16">
        <v>-48100.31</v>
      </c>
      <c r="P56" s="100">
        <f t="shared" ref="P56:P59" si="9">+(SUM(C56:O56))/13</f>
        <v>-48359.175153846154</v>
      </c>
    </row>
    <row r="57" spans="1:16" x14ac:dyDescent="0.3">
      <c r="A57" s="23">
        <f t="shared" si="2"/>
        <v>48</v>
      </c>
      <c r="B57" s="12" t="s">
        <v>61</v>
      </c>
      <c r="C57" s="58">
        <f>+O29</f>
        <v>-1181.9770000000001</v>
      </c>
      <c r="D57" s="16">
        <v>-1247.6859999999999</v>
      </c>
      <c r="E57" s="16">
        <v>-1284.8</v>
      </c>
      <c r="F57" s="16">
        <v>-1321.577</v>
      </c>
      <c r="G57" s="16">
        <v>-1358.049</v>
      </c>
      <c r="H57" s="16">
        <v>-1394.2080000000001</v>
      </c>
      <c r="I57" s="16">
        <v>-1430.085</v>
      </c>
      <c r="J57" s="16">
        <v>-1465.6790000000001</v>
      </c>
      <c r="K57" s="16">
        <v>-1500.98</v>
      </c>
      <c r="L57" s="16">
        <v>-1536.0260000000001</v>
      </c>
      <c r="M57" s="16">
        <v>-1570.79</v>
      </c>
      <c r="N57" s="16">
        <v>-1605.3050000000001</v>
      </c>
      <c r="O57" s="16">
        <v>-1639.5719999999999</v>
      </c>
      <c r="P57" s="100">
        <f t="shared" si="9"/>
        <v>-1425.9026153846155</v>
      </c>
    </row>
    <row r="58" spans="1:16" x14ac:dyDescent="0.3">
      <c r="A58" s="23">
        <f t="shared" si="2"/>
        <v>49</v>
      </c>
      <c r="B58" s="12" t="s">
        <v>62</v>
      </c>
      <c r="C58" s="58">
        <f>+O30</f>
        <v>-1.4901161193847598E-11</v>
      </c>
      <c r="D58" s="16">
        <f>6982106.68824925/1000</f>
        <v>6982.1066882492496</v>
      </c>
      <c r="E58" s="16">
        <f>13823304.0764985/1000</f>
        <v>13823.3040764985</v>
      </c>
      <c r="F58" s="16">
        <f>20502646.0647477/1000</f>
        <v>20502.6460647477</v>
      </c>
      <c r="G58" s="16">
        <f>26866039.804272/1000</f>
        <v>26866.039804272001</v>
      </c>
      <c r="H58" s="16">
        <f>33075171.3937964/1000</f>
        <v>33075.171393796401</v>
      </c>
      <c r="I58" s="16">
        <f>39138886.0333207/1000</f>
        <v>39138.886033320705</v>
      </c>
      <c r="J58" s="16">
        <f>44918582.5274803/1000</f>
        <v>44918.582527480299</v>
      </c>
      <c r="K58" s="16">
        <f>50550962.9716398/1000</f>
        <v>50550.962971639798</v>
      </c>
      <c r="L58" s="16">
        <f>56047445.7657993/1000</f>
        <v>56047.445765799297</v>
      </c>
      <c r="M58" s="16">
        <f>61614876.0420506/1000</f>
        <v>61614.876042050601</v>
      </c>
      <c r="N58" s="16">
        <f>67048930.068302/1000</f>
        <v>67048.930068301997</v>
      </c>
      <c r="O58" s="14">
        <f>3.72529029846191E-08/1000</f>
        <v>3.7252902984619103E-11</v>
      </c>
      <c r="P58" s="100">
        <f t="shared" si="9"/>
        <v>32351.457802781275</v>
      </c>
    </row>
    <row r="59" spans="1:16" x14ac:dyDescent="0.3">
      <c r="A59" s="23">
        <f t="shared" si="2"/>
        <v>50</v>
      </c>
      <c r="B59" s="12" t="s">
        <v>63</v>
      </c>
      <c r="C59" s="58">
        <f>+O31</f>
        <v>-24670.252</v>
      </c>
      <c r="D59" s="16">
        <v>-24891.132000000001</v>
      </c>
      <c r="E59" s="16">
        <v>-22184.347000000002</v>
      </c>
      <c r="F59" s="16">
        <v>-24969.781999999999</v>
      </c>
      <c r="G59" s="16">
        <v>-24143.982</v>
      </c>
      <c r="H59" s="16">
        <v>-25063.091</v>
      </c>
      <c r="I59" s="16">
        <v>-24236.822</v>
      </c>
      <c r="J59" s="16">
        <v>-25145.33</v>
      </c>
      <c r="K59" s="16">
        <v>-25167.395</v>
      </c>
      <c r="L59" s="16">
        <v>-24296.292000000001</v>
      </c>
      <c r="M59" s="16">
        <v>-25209.934000000001</v>
      </c>
      <c r="N59" s="16">
        <v>-24370.71</v>
      </c>
      <c r="O59" s="16">
        <v>-25311.573</v>
      </c>
      <c r="P59" s="100">
        <f t="shared" si="9"/>
        <v>-24589.280153846154</v>
      </c>
    </row>
    <row r="60" spans="1:16" x14ac:dyDescent="0.3">
      <c r="A60" s="23">
        <f t="shared" si="2"/>
        <v>51</v>
      </c>
      <c r="D60" s="16"/>
      <c r="E60" s="16"/>
      <c r="F60" s="16"/>
      <c r="G60" s="16"/>
      <c r="H60" s="16"/>
      <c r="I60" s="16"/>
      <c r="J60" s="16"/>
      <c r="K60" s="16"/>
      <c r="L60" s="16"/>
      <c r="M60" s="16"/>
      <c r="O60" s="32" t="s">
        <v>102</v>
      </c>
      <c r="P60" s="102">
        <f>SUM(P55:P59)</f>
        <v>-42314.142812603342</v>
      </c>
    </row>
    <row r="61" spans="1:16" x14ac:dyDescent="0.3">
      <c r="A61" s="23">
        <f t="shared" si="2"/>
        <v>52</v>
      </c>
      <c r="B61" s="12" t="s">
        <v>45</v>
      </c>
    </row>
    <row r="62" spans="1:16" x14ac:dyDescent="0.3">
      <c r="A62" s="23">
        <f t="shared" si="2"/>
        <v>53</v>
      </c>
      <c r="B62" s="12" t="s">
        <v>93</v>
      </c>
    </row>
    <row r="65" spans="15:16" ht="15" customHeight="1" x14ac:dyDescent="0.3">
      <c r="O65" s="26"/>
      <c r="P65" s="101"/>
    </row>
    <row r="66" spans="15:16" x14ac:dyDescent="0.3">
      <c r="O66" s="26"/>
      <c r="P66" s="101"/>
    </row>
    <row r="67" spans="15:16" ht="15" customHeight="1" x14ac:dyDescent="0.3">
      <c r="O67" s="26"/>
      <c r="P67" s="101"/>
    </row>
    <row r="68" spans="15:16" x14ac:dyDescent="0.3">
      <c r="O68" s="26"/>
      <c r="P68" s="101"/>
    </row>
    <row r="69" spans="15:16" x14ac:dyDescent="0.3">
      <c r="O69" s="26"/>
      <c r="P69" s="101"/>
    </row>
    <row r="70" spans="15:16" x14ac:dyDescent="0.3">
      <c r="O70" s="26"/>
      <c r="P70" s="101"/>
    </row>
  </sheetData>
  <mergeCells count="4">
    <mergeCell ref="A3:P3"/>
    <mergeCell ref="A4:P4"/>
    <mergeCell ref="A5:P5"/>
    <mergeCell ref="A6:P6"/>
  </mergeCells>
  <printOptions horizontalCentered="1"/>
  <pageMargins left="0" right="0.25" top="0.25" bottom="0.25" header="0.05" footer="0.05"/>
  <pageSetup scale="47" orientation="landscape" r:id="rId1"/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zoomScale="80" zoomScaleNormal="80" workbookViewId="0">
      <selection activeCell="A2" sqref="A2"/>
    </sheetView>
  </sheetViews>
  <sheetFormatPr defaultColWidth="8.88671875" defaultRowHeight="13.2" x14ac:dyDescent="0.25"/>
  <cols>
    <col min="1" max="1" width="12" style="31" customWidth="1"/>
    <col min="2" max="2" width="67" style="12" customWidth="1"/>
    <col min="3" max="3" width="16" style="11" customWidth="1"/>
    <col min="4" max="13" width="14.88671875" style="11" customWidth="1"/>
    <col min="14" max="14" width="14.88671875" style="11" bestFit="1" customWidth="1"/>
    <col min="15" max="15" width="14.5546875" style="11" customWidth="1"/>
    <col min="16" max="16" width="17.109375" style="30" customWidth="1"/>
    <col min="17" max="16384" width="8.88671875" style="11"/>
  </cols>
  <sheetData>
    <row r="1" spans="1:16" ht="15.6" x14ac:dyDescent="0.3">
      <c r="A1" s="13" t="s">
        <v>213</v>
      </c>
      <c r="B1" s="165" t="s">
        <v>69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</row>
    <row r="2" spans="1:16" ht="15.6" x14ac:dyDescent="0.3">
      <c r="A2" s="13" t="s">
        <v>209</v>
      </c>
      <c r="B2" s="165" t="s">
        <v>111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</row>
    <row r="3" spans="1:16" s="10" customFormat="1" ht="15.6" x14ac:dyDescent="0.3">
      <c r="A3" s="22"/>
      <c r="B3" s="164" t="s">
        <v>115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</row>
    <row r="4" spans="1:16" s="10" customFormat="1" ht="15.6" x14ac:dyDescent="0.3">
      <c r="A4" s="22"/>
      <c r="B4" s="166" t="s">
        <v>72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</row>
    <row r="5" spans="1:16" s="10" customFormat="1" ht="15.6" x14ac:dyDescent="0.3">
      <c r="A5" s="22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</row>
    <row r="6" spans="1:16" s="15" customFormat="1" ht="16.5" customHeight="1" thickBot="1" x14ac:dyDescent="0.3">
      <c r="A6" s="40" t="s">
        <v>47</v>
      </c>
      <c r="B6" s="40" t="s">
        <v>64</v>
      </c>
      <c r="C6" s="40" t="s">
        <v>20</v>
      </c>
      <c r="D6" s="40" t="s">
        <v>21</v>
      </c>
      <c r="E6" s="40" t="s">
        <v>22</v>
      </c>
      <c r="F6" s="40" t="s">
        <v>23</v>
      </c>
      <c r="G6" s="40" t="s">
        <v>24</v>
      </c>
      <c r="H6" s="40" t="s">
        <v>25</v>
      </c>
      <c r="I6" s="40" t="s">
        <v>26</v>
      </c>
      <c r="J6" s="40" t="s">
        <v>27</v>
      </c>
      <c r="K6" s="40" t="s">
        <v>28</v>
      </c>
      <c r="L6" s="40" t="s">
        <v>29</v>
      </c>
      <c r="M6" s="40" t="s">
        <v>30</v>
      </c>
      <c r="N6" s="40" t="s">
        <v>31</v>
      </c>
      <c r="O6" s="40" t="s">
        <v>32</v>
      </c>
      <c r="P6" s="40" t="s">
        <v>92</v>
      </c>
    </row>
    <row r="7" spans="1:16" x14ac:dyDescent="0.25">
      <c r="B7" s="13"/>
    </row>
    <row r="8" spans="1:16" ht="15.6" x14ac:dyDescent="0.25">
      <c r="A8" s="55">
        <v>1</v>
      </c>
      <c r="B8" s="54" t="s">
        <v>71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32"/>
    </row>
    <row r="9" spans="1:16" x14ac:dyDescent="0.25">
      <c r="A9" s="55">
        <f>+A8+1</f>
        <v>2</v>
      </c>
      <c r="B9" s="12" t="s">
        <v>75</v>
      </c>
      <c r="C9" s="16"/>
      <c r="D9" s="108">
        <f>-C10</f>
        <v>-72857.142430000007</v>
      </c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9"/>
    </row>
    <row r="10" spans="1:16" x14ac:dyDescent="0.25">
      <c r="A10" s="55">
        <f t="shared" ref="A10:A52" si="0">+A9+1</f>
        <v>3</v>
      </c>
      <c r="B10" s="11" t="s">
        <v>65</v>
      </c>
      <c r="C10" s="25">
        <f>(9107143+63749999.43)/1000</f>
        <v>72857.142430000007</v>
      </c>
      <c r="D10" s="16">
        <f>+C10+D9</f>
        <v>0</v>
      </c>
      <c r="E10" s="16">
        <f t="shared" ref="E10:O10" si="1">+D10+E9</f>
        <v>0</v>
      </c>
      <c r="F10" s="16">
        <f t="shared" si="1"/>
        <v>0</v>
      </c>
      <c r="G10" s="16">
        <f t="shared" si="1"/>
        <v>0</v>
      </c>
      <c r="H10" s="16">
        <f t="shared" si="1"/>
        <v>0</v>
      </c>
      <c r="I10" s="16">
        <f t="shared" si="1"/>
        <v>0</v>
      </c>
      <c r="J10" s="16">
        <f t="shared" si="1"/>
        <v>0</v>
      </c>
      <c r="K10" s="16">
        <f t="shared" si="1"/>
        <v>0</v>
      </c>
      <c r="L10" s="16">
        <f t="shared" si="1"/>
        <v>0</v>
      </c>
      <c r="M10" s="16">
        <f t="shared" si="1"/>
        <v>0</v>
      </c>
      <c r="N10" s="16">
        <f t="shared" si="1"/>
        <v>0</v>
      </c>
      <c r="O10" s="16">
        <f t="shared" si="1"/>
        <v>0</v>
      </c>
      <c r="P10" s="112">
        <f>SUM(C10:O10)/13</f>
        <v>5604.3955715384618</v>
      </c>
    </row>
    <row r="11" spans="1:16" x14ac:dyDescent="0.25">
      <c r="A11" s="55">
        <f t="shared" si="0"/>
        <v>4</v>
      </c>
      <c r="C11" s="2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06"/>
    </row>
    <row r="12" spans="1:16" ht="15.6" x14ac:dyDescent="0.25">
      <c r="A12" s="55">
        <f t="shared" si="0"/>
        <v>5</v>
      </c>
      <c r="B12" s="54" t="s">
        <v>105</v>
      </c>
      <c r="C12" s="2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33"/>
    </row>
    <row r="13" spans="1:16" x14ac:dyDescent="0.25">
      <c r="A13" s="55">
        <f t="shared" si="0"/>
        <v>6</v>
      </c>
      <c r="B13" s="12" t="s">
        <v>75</v>
      </c>
      <c r="C13" s="25"/>
      <c r="D13" s="108">
        <f>-C14</f>
        <v>-45754.40438</v>
      </c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9"/>
    </row>
    <row r="14" spans="1:16" x14ac:dyDescent="0.25">
      <c r="A14" s="55">
        <f t="shared" si="0"/>
        <v>7</v>
      </c>
      <c r="B14" s="11" t="s">
        <v>68</v>
      </c>
      <c r="C14" s="25">
        <f>(5719301+40035103.38)/1000</f>
        <v>45754.40438</v>
      </c>
      <c r="D14" s="16">
        <f t="shared" ref="D14:O14" si="2">+C14+D13</f>
        <v>0</v>
      </c>
      <c r="E14" s="16">
        <f t="shared" si="2"/>
        <v>0</v>
      </c>
      <c r="F14" s="16">
        <f t="shared" si="2"/>
        <v>0</v>
      </c>
      <c r="G14" s="16">
        <f t="shared" si="2"/>
        <v>0</v>
      </c>
      <c r="H14" s="16">
        <f t="shared" si="2"/>
        <v>0</v>
      </c>
      <c r="I14" s="16">
        <f t="shared" si="2"/>
        <v>0</v>
      </c>
      <c r="J14" s="16">
        <f t="shared" si="2"/>
        <v>0</v>
      </c>
      <c r="K14" s="16">
        <f t="shared" si="2"/>
        <v>0</v>
      </c>
      <c r="L14" s="16">
        <f t="shared" si="2"/>
        <v>0</v>
      </c>
      <c r="M14" s="16">
        <f t="shared" si="2"/>
        <v>0</v>
      </c>
      <c r="N14" s="16">
        <f t="shared" si="2"/>
        <v>0</v>
      </c>
      <c r="O14" s="16">
        <f t="shared" si="2"/>
        <v>0</v>
      </c>
      <c r="P14" s="112">
        <f>SUM(C14:O14)/13</f>
        <v>3519.5695676923078</v>
      </c>
    </row>
    <row r="15" spans="1:16" x14ac:dyDescent="0.25">
      <c r="A15" s="55">
        <f t="shared" si="0"/>
        <v>8</v>
      </c>
      <c r="B15" s="11"/>
      <c r="C15" s="2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34"/>
    </row>
    <row r="16" spans="1:16" ht="15.6" x14ac:dyDescent="0.25">
      <c r="A16" s="55">
        <f t="shared" si="0"/>
        <v>9</v>
      </c>
      <c r="B16" s="54" t="s">
        <v>107</v>
      </c>
      <c r="C16" s="25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62"/>
    </row>
    <row r="17" spans="1:16" x14ac:dyDescent="0.25">
      <c r="A17" s="55">
        <f t="shared" si="0"/>
        <v>10</v>
      </c>
      <c r="B17" s="12" t="s">
        <v>74</v>
      </c>
      <c r="C17" s="25"/>
      <c r="D17" s="25">
        <f>72857142.43/1000</f>
        <v>72857.142430000007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62"/>
    </row>
    <row r="18" spans="1:16" x14ac:dyDescent="0.25">
      <c r="A18" s="55">
        <f t="shared" si="0"/>
        <v>11</v>
      </c>
      <c r="B18" s="12" t="s">
        <v>67</v>
      </c>
      <c r="C18" s="25"/>
      <c r="D18" s="107">
        <f>-4647321.428572/1000</f>
        <v>-4647.3214285719996</v>
      </c>
      <c r="E18" s="107">
        <f t="shared" ref="E18:O18" si="3">-4647321.428572/1000</f>
        <v>-4647.3214285719996</v>
      </c>
      <c r="F18" s="107">
        <f t="shared" si="3"/>
        <v>-4647.3214285719996</v>
      </c>
      <c r="G18" s="107">
        <f t="shared" si="3"/>
        <v>-4647.3214285719996</v>
      </c>
      <c r="H18" s="107">
        <f t="shared" si="3"/>
        <v>-4647.3214285719996</v>
      </c>
      <c r="I18" s="107">
        <f t="shared" si="3"/>
        <v>-4647.3214285719996</v>
      </c>
      <c r="J18" s="107">
        <f t="shared" si="3"/>
        <v>-4647.3214285719996</v>
      </c>
      <c r="K18" s="107">
        <f t="shared" si="3"/>
        <v>-4647.3214285719996</v>
      </c>
      <c r="L18" s="107">
        <f t="shared" si="3"/>
        <v>-4647.3214285719996</v>
      </c>
      <c r="M18" s="107">
        <f t="shared" si="3"/>
        <v>-4647.3214285719996</v>
      </c>
      <c r="N18" s="107">
        <f t="shared" si="3"/>
        <v>-4647.3214285719996</v>
      </c>
      <c r="O18" s="107">
        <f t="shared" si="3"/>
        <v>-4647.3214285719996</v>
      </c>
      <c r="P18" s="111"/>
    </row>
    <row r="19" spans="1:16" x14ac:dyDescent="0.25">
      <c r="A19" s="55">
        <f t="shared" si="0"/>
        <v>12</v>
      </c>
      <c r="B19" s="11" t="s">
        <v>68</v>
      </c>
      <c r="C19" s="25">
        <f>373285714.142857/1000</f>
        <v>373285.714142857</v>
      </c>
      <c r="D19" s="25">
        <f>+C19+D17+D18</f>
        <v>441495.53514428501</v>
      </c>
      <c r="E19" s="25">
        <f t="shared" ref="E19:O19" si="4">+D19+E17+E18</f>
        <v>436848.21371571301</v>
      </c>
      <c r="F19" s="25">
        <f t="shared" si="4"/>
        <v>432200.892287141</v>
      </c>
      <c r="G19" s="25">
        <f t="shared" si="4"/>
        <v>427553.570858569</v>
      </c>
      <c r="H19" s="25">
        <f t="shared" si="4"/>
        <v>422906.249429997</v>
      </c>
      <c r="I19" s="25">
        <f t="shared" si="4"/>
        <v>418258.928001425</v>
      </c>
      <c r="J19" s="25">
        <f t="shared" si="4"/>
        <v>413611.60657285299</v>
      </c>
      <c r="K19" s="25">
        <f t="shared" si="4"/>
        <v>408964.28514428099</v>
      </c>
      <c r="L19" s="25">
        <f t="shared" si="4"/>
        <v>404316.96371570899</v>
      </c>
      <c r="M19" s="25">
        <f t="shared" si="4"/>
        <v>399669.64228713699</v>
      </c>
      <c r="N19" s="25">
        <f t="shared" si="4"/>
        <v>395022.32085856498</v>
      </c>
      <c r="O19" s="25">
        <f t="shared" si="4"/>
        <v>390374.99942999298</v>
      </c>
      <c r="P19" s="112">
        <f t="shared" ref="P19" si="5">SUM(C19:O19)/13</f>
        <v>412654.53242988657</v>
      </c>
    </row>
    <row r="20" spans="1:16" x14ac:dyDescent="0.25">
      <c r="A20" s="55">
        <f t="shared" si="0"/>
        <v>13</v>
      </c>
      <c r="C20" s="25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62"/>
    </row>
    <row r="21" spans="1:16" ht="15.6" x14ac:dyDescent="0.25">
      <c r="A21" s="55">
        <f t="shared" si="0"/>
        <v>14</v>
      </c>
      <c r="B21" s="54" t="s">
        <v>106</v>
      </c>
      <c r="C21" s="25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P21" s="31"/>
    </row>
    <row r="22" spans="1:16" x14ac:dyDescent="0.25">
      <c r="A22" s="55">
        <f t="shared" si="0"/>
        <v>15</v>
      </c>
      <c r="B22" s="12" t="s">
        <v>66</v>
      </c>
      <c r="C22" s="25"/>
      <c r="D22" s="25">
        <f>45754404.375/1000</f>
        <v>45754.404374999998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33"/>
    </row>
    <row r="23" spans="1:16" x14ac:dyDescent="0.25">
      <c r="A23" s="55">
        <f t="shared" si="0"/>
        <v>16</v>
      </c>
      <c r="B23" s="12" t="s">
        <v>67</v>
      </c>
      <c r="C23" s="25"/>
      <c r="D23" s="107">
        <f>-2918525.43/1000</f>
        <v>-2918.5254300000001</v>
      </c>
      <c r="E23" s="107">
        <f t="shared" ref="E23:O23" si="6">-2918525.43/1000</f>
        <v>-2918.5254300000001</v>
      </c>
      <c r="F23" s="107">
        <f t="shared" si="6"/>
        <v>-2918.5254300000001</v>
      </c>
      <c r="G23" s="107">
        <f t="shared" si="6"/>
        <v>-2918.5254300000001</v>
      </c>
      <c r="H23" s="107">
        <f t="shared" si="6"/>
        <v>-2918.5254300000001</v>
      </c>
      <c r="I23" s="107">
        <f t="shared" si="6"/>
        <v>-2918.5254300000001</v>
      </c>
      <c r="J23" s="107">
        <f t="shared" si="6"/>
        <v>-2918.5254300000001</v>
      </c>
      <c r="K23" s="107">
        <f t="shared" si="6"/>
        <v>-2918.5254300000001</v>
      </c>
      <c r="L23" s="107">
        <f t="shared" si="6"/>
        <v>-2918.5254300000001</v>
      </c>
      <c r="M23" s="107">
        <f t="shared" si="6"/>
        <v>-2918.5254300000001</v>
      </c>
      <c r="N23" s="107">
        <f t="shared" si="6"/>
        <v>-2918.5254300000001</v>
      </c>
      <c r="O23" s="107">
        <f t="shared" si="6"/>
        <v>-2918.5254300000001</v>
      </c>
      <c r="P23" s="110"/>
    </row>
    <row r="24" spans="1:16" x14ac:dyDescent="0.25">
      <c r="A24" s="55">
        <f t="shared" si="0"/>
        <v>17</v>
      </c>
      <c r="B24" s="11" t="s">
        <v>68</v>
      </c>
      <c r="C24" s="25">
        <f>234424037.196428/1000</f>
        <v>234424.03719642799</v>
      </c>
      <c r="D24" s="25">
        <f>+C24+D22+D23</f>
        <v>277259.916141428</v>
      </c>
      <c r="E24" s="25">
        <f>+D24+E22+E23</f>
        <v>274341.39071142802</v>
      </c>
      <c r="F24" s="25">
        <f t="shared" ref="F24:O24" si="7">+E24+F22+F23</f>
        <v>271422.86528142804</v>
      </c>
      <c r="G24" s="25">
        <f t="shared" si="7"/>
        <v>268504.33985142806</v>
      </c>
      <c r="H24" s="25">
        <f t="shared" si="7"/>
        <v>265585.81442142808</v>
      </c>
      <c r="I24" s="25">
        <f t="shared" si="7"/>
        <v>262667.2889914281</v>
      </c>
      <c r="J24" s="25">
        <f t="shared" si="7"/>
        <v>259748.76356142809</v>
      </c>
      <c r="K24" s="25">
        <f t="shared" si="7"/>
        <v>256830.23813142808</v>
      </c>
      <c r="L24" s="25">
        <f t="shared" si="7"/>
        <v>253911.71270142807</v>
      </c>
      <c r="M24" s="25">
        <f t="shared" si="7"/>
        <v>250993.18727142806</v>
      </c>
      <c r="N24" s="25">
        <f t="shared" si="7"/>
        <v>248074.66184142805</v>
      </c>
      <c r="O24" s="25">
        <f t="shared" si="7"/>
        <v>245156.13641142804</v>
      </c>
      <c r="P24" s="112">
        <f>SUM(C24:O24)/13</f>
        <v>259147.71942412033</v>
      </c>
    </row>
    <row r="25" spans="1:16" x14ac:dyDescent="0.25">
      <c r="A25" s="55">
        <f t="shared" si="0"/>
        <v>18</v>
      </c>
      <c r="C25" s="25"/>
      <c r="D25" s="16"/>
      <c r="E25" s="16"/>
      <c r="F25" s="16"/>
      <c r="G25" s="16"/>
      <c r="H25" s="16"/>
      <c r="I25" s="16"/>
      <c r="J25" s="16"/>
      <c r="K25" s="16"/>
      <c r="L25" s="16"/>
      <c r="M25" s="16"/>
      <c r="P25" s="31"/>
    </row>
    <row r="26" spans="1:16" ht="13.8" thickBot="1" x14ac:dyDescent="0.3">
      <c r="A26" s="55">
        <f t="shared" si="0"/>
        <v>19</v>
      </c>
      <c r="C26" s="25"/>
      <c r="D26" s="16"/>
      <c r="E26" s="16"/>
      <c r="F26" s="16"/>
      <c r="G26" s="16"/>
      <c r="H26" s="16"/>
      <c r="I26" s="16"/>
      <c r="J26" s="16"/>
      <c r="K26" s="16"/>
      <c r="L26" s="16"/>
      <c r="O26" s="32" t="s">
        <v>109</v>
      </c>
      <c r="P26" s="113">
        <f>+P14+P24+P19</f>
        <v>675321.82142169913</v>
      </c>
    </row>
    <row r="27" spans="1:16" ht="16.2" thickTop="1" x14ac:dyDescent="0.25">
      <c r="A27" s="55">
        <f t="shared" si="0"/>
        <v>20</v>
      </c>
      <c r="B27" s="54" t="s">
        <v>77</v>
      </c>
      <c r="C27" s="25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33"/>
    </row>
    <row r="28" spans="1:16" x14ac:dyDescent="0.25">
      <c r="A28" s="55">
        <f t="shared" si="0"/>
        <v>21</v>
      </c>
      <c r="B28" s="12" t="s">
        <v>67</v>
      </c>
      <c r="C28" s="25"/>
      <c r="D28" s="108">
        <f>-63182.7232142798/1000</f>
        <v>-63.182723214279804</v>
      </c>
      <c r="E28" s="108">
        <f t="shared" ref="E28:O28" si="8">-63182.7232142798/1000</f>
        <v>-63.182723214279804</v>
      </c>
      <c r="F28" s="108">
        <f t="shared" si="8"/>
        <v>-63.182723214279804</v>
      </c>
      <c r="G28" s="108">
        <f t="shared" si="8"/>
        <v>-63.182723214279804</v>
      </c>
      <c r="H28" s="108">
        <f t="shared" si="8"/>
        <v>-63.182723214279804</v>
      </c>
      <c r="I28" s="108">
        <f t="shared" si="8"/>
        <v>-63.182723214279804</v>
      </c>
      <c r="J28" s="108">
        <f t="shared" si="8"/>
        <v>-63.182723214279804</v>
      </c>
      <c r="K28" s="108">
        <f t="shared" si="8"/>
        <v>-63.182723214279804</v>
      </c>
      <c r="L28" s="108">
        <f t="shared" si="8"/>
        <v>-63.182723214279804</v>
      </c>
      <c r="M28" s="108">
        <f t="shared" si="8"/>
        <v>-63.182723214279804</v>
      </c>
      <c r="N28" s="108">
        <f t="shared" si="8"/>
        <v>-63.182723214279804</v>
      </c>
      <c r="O28" s="108">
        <f t="shared" si="8"/>
        <v>-63.182723214279804</v>
      </c>
      <c r="P28" s="109"/>
    </row>
    <row r="29" spans="1:16" x14ac:dyDescent="0.25">
      <c r="A29" s="55">
        <f t="shared" si="0"/>
        <v>22</v>
      </c>
      <c r="B29" s="11" t="s">
        <v>68</v>
      </c>
      <c r="C29" s="25">
        <f>6065541.15178571/1000</f>
        <v>6065.5411517857101</v>
      </c>
      <c r="D29" s="25">
        <f>+C29+D28</f>
        <v>6002.3584285714305</v>
      </c>
      <c r="E29" s="25">
        <f t="shared" ref="E29:O29" si="9">+D29+E28</f>
        <v>5939.1757053571509</v>
      </c>
      <c r="F29" s="25">
        <f t="shared" si="9"/>
        <v>5875.9929821428714</v>
      </c>
      <c r="G29" s="25">
        <f t="shared" si="9"/>
        <v>5812.8102589285918</v>
      </c>
      <c r="H29" s="25">
        <f t="shared" si="9"/>
        <v>5749.6275357143122</v>
      </c>
      <c r="I29" s="25">
        <f t="shared" si="9"/>
        <v>5686.4448125000326</v>
      </c>
      <c r="J29" s="25">
        <f t="shared" si="9"/>
        <v>5623.2620892857531</v>
      </c>
      <c r="K29" s="25">
        <f t="shared" si="9"/>
        <v>5560.0793660714735</v>
      </c>
      <c r="L29" s="25">
        <f t="shared" si="9"/>
        <v>5496.8966428571939</v>
      </c>
      <c r="M29" s="25">
        <f t="shared" si="9"/>
        <v>5433.7139196429143</v>
      </c>
      <c r="N29" s="25">
        <f t="shared" si="9"/>
        <v>5370.5311964286348</v>
      </c>
      <c r="O29" s="25">
        <f t="shared" si="9"/>
        <v>5307.3484732143552</v>
      </c>
      <c r="P29" s="112">
        <f>SUM(C29:O29)/13</f>
        <v>5686.4448125000335</v>
      </c>
    </row>
    <row r="30" spans="1:16" x14ac:dyDescent="0.25">
      <c r="A30" s="55">
        <f t="shared" si="0"/>
        <v>23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P30" s="11"/>
    </row>
    <row r="31" spans="1:16" ht="13.8" thickBot="1" x14ac:dyDescent="0.3">
      <c r="A31" s="55">
        <f t="shared" si="0"/>
        <v>24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32" t="s">
        <v>108</v>
      </c>
      <c r="P31" s="113">
        <f>SUBTOTAL(9,P29:P29)</f>
        <v>5686.4448125000335</v>
      </c>
    </row>
    <row r="32" spans="1:16" ht="13.8" thickTop="1" x14ac:dyDescent="0.25">
      <c r="A32" s="55">
        <f t="shared" si="0"/>
        <v>25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32"/>
    </row>
    <row r="33" spans="1:16" x14ac:dyDescent="0.25">
      <c r="A33" s="55">
        <f t="shared" si="0"/>
        <v>26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32"/>
    </row>
    <row r="34" spans="1:16" ht="15.75" customHeight="1" thickBot="1" x14ac:dyDescent="0.3">
      <c r="A34" s="55">
        <f t="shared" si="0"/>
        <v>27</v>
      </c>
      <c r="B34" s="40" t="s">
        <v>64</v>
      </c>
      <c r="C34" s="40" t="s">
        <v>32</v>
      </c>
      <c r="D34" s="40" t="s">
        <v>33</v>
      </c>
      <c r="E34" s="40" t="s">
        <v>34</v>
      </c>
      <c r="F34" s="40" t="s">
        <v>35</v>
      </c>
      <c r="G34" s="40" t="s">
        <v>36</v>
      </c>
      <c r="H34" s="40" t="s">
        <v>37</v>
      </c>
      <c r="I34" s="40" t="s">
        <v>38</v>
      </c>
      <c r="J34" s="40" t="s">
        <v>39</v>
      </c>
      <c r="K34" s="40" t="s">
        <v>40</v>
      </c>
      <c r="L34" s="40" t="s">
        <v>41</v>
      </c>
      <c r="M34" s="40" t="s">
        <v>42</v>
      </c>
      <c r="N34" s="40" t="s">
        <v>43</v>
      </c>
      <c r="O34" s="40" t="s">
        <v>44</v>
      </c>
      <c r="P34" s="40" t="s">
        <v>92</v>
      </c>
    </row>
    <row r="35" spans="1:16" ht="15.75" customHeight="1" x14ac:dyDescent="0.25">
      <c r="A35" s="55">
        <f t="shared" si="0"/>
        <v>28</v>
      </c>
      <c r="B35" s="22"/>
      <c r="C35" s="16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2"/>
    </row>
    <row r="36" spans="1:16" ht="15.6" x14ac:dyDescent="0.25">
      <c r="A36" s="55">
        <f t="shared" si="0"/>
        <v>29</v>
      </c>
      <c r="B36" s="12" t="s">
        <v>113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56"/>
    </row>
    <row r="37" spans="1:16" x14ac:dyDescent="0.25">
      <c r="A37" s="55">
        <f t="shared" si="0"/>
        <v>30</v>
      </c>
      <c r="B37" s="12" t="s">
        <v>67</v>
      </c>
      <c r="C37" s="16"/>
      <c r="D37" s="108">
        <f>-4647321.428572/1000</f>
        <v>-4647.3214285719996</v>
      </c>
      <c r="E37" s="108">
        <f t="shared" ref="E37:O37" si="10">-4647321.428572/1000</f>
        <v>-4647.3214285719996</v>
      </c>
      <c r="F37" s="108">
        <f t="shared" si="10"/>
        <v>-4647.3214285719996</v>
      </c>
      <c r="G37" s="108">
        <f t="shared" si="10"/>
        <v>-4647.3214285719996</v>
      </c>
      <c r="H37" s="108">
        <f t="shared" si="10"/>
        <v>-4647.3214285719996</v>
      </c>
      <c r="I37" s="108">
        <f t="shared" si="10"/>
        <v>-4647.3214285719996</v>
      </c>
      <c r="J37" s="108">
        <f t="shared" si="10"/>
        <v>-4647.3214285719996</v>
      </c>
      <c r="K37" s="108">
        <f t="shared" si="10"/>
        <v>-4647.3214285719996</v>
      </c>
      <c r="L37" s="108">
        <f t="shared" si="10"/>
        <v>-4647.3214285719996</v>
      </c>
      <c r="M37" s="108">
        <f t="shared" si="10"/>
        <v>-4647.3214285719996</v>
      </c>
      <c r="N37" s="108">
        <f t="shared" si="10"/>
        <v>-4647.3214285719996</v>
      </c>
      <c r="O37" s="108">
        <f t="shared" si="10"/>
        <v>-4647.3214285719996</v>
      </c>
      <c r="P37" s="114"/>
    </row>
    <row r="38" spans="1:16" x14ac:dyDescent="0.25">
      <c r="A38" s="55">
        <f t="shared" si="0"/>
        <v>31</v>
      </c>
      <c r="B38" s="11" t="s">
        <v>68</v>
      </c>
      <c r="C38" s="25">
        <f>O19</f>
        <v>390374.99942999298</v>
      </c>
      <c r="D38" s="25">
        <f>+C38+D37</f>
        <v>385727.67800142098</v>
      </c>
      <c r="E38" s="25">
        <f t="shared" ref="E38:O38" si="11">+D38+E37</f>
        <v>381080.35657284898</v>
      </c>
      <c r="F38" s="25">
        <f t="shared" si="11"/>
        <v>376433.03514427698</v>
      </c>
      <c r="G38" s="25">
        <f t="shared" si="11"/>
        <v>371785.71371570497</v>
      </c>
      <c r="H38" s="25">
        <f t="shared" si="11"/>
        <v>367138.39228713297</v>
      </c>
      <c r="I38" s="25">
        <f t="shared" si="11"/>
        <v>362491.07085856097</v>
      </c>
      <c r="J38" s="25">
        <f t="shared" si="11"/>
        <v>357843.74942998897</v>
      </c>
      <c r="K38" s="25">
        <f t="shared" si="11"/>
        <v>353196.42800141696</v>
      </c>
      <c r="L38" s="25">
        <f t="shared" si="11"/>
        <v>348549.10657284496</v>
      </c>
      <c r="M38" s="25">
        <f t="shared" si="11"/>
        <v>343901.78514427296</v>
      </c>
      <c r="N38" s="25">
        <f t="shared" si="11"/>
        <v>339254.46371570096</v>
      </c>
      <c r="O38" s="25">
        <f t="shared" si="11"/>
        <v>334607.14228712895</v>
      </c>
      <c r="P38" s="115">
        <f t="shared" ref="P38" si="12">SUM(C38:O38)/13</f>
        <v>362491.07085856091</v>
      </c>
    </row>
    <row r="39" spans="1:16" x14ac:dyDescent="0.25">
      <c r="A39" s="55">
        <f t="shared" si="0"/>
        <v>32</v>
      </c>
      <c r="C39" s="16"/>
      <c r="D39" s="16"/>
      <c r="E39" s="16"/>
      <c r="F39" s="16"/>
      <c r="G39" s="16"/>
      <c r="H39" s="16"/>
      <c r="I39" s="16"/>
      <c r="J39" s="16"/>
      <c r="K39" s="16"/>
      <c r="P39" s="11"/>
    </row>
    <row r="40" spans="1:16" ht="15.6" x14ac:dyDescent="0.25">
      <c r="A40" s="55">
        <f t="shared" si="0"/>
        <v>33</v>
      </c>
      <c r="B40" s="54" t="s">
        <v>112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33"/>
    </row>
    <row r="41" spans="1:16" x14ac:dyDescent="0.25">
      <c r="A41" s="55">
        <f t="shared" si="0"/>
        <v>34</v>
      </c>
      <c r="B41" s="12" t="s">
        <v>67</v>
      </c>
      <c r="C41" s="16"/>
      <c r="D41" s="108">
        <f>-2918525.43/1000</f>
        <v>-2918.5254300000001</v>
      </c>
      <c r="E41" s="108">
        <f t="shared" ref="E41:O41" si="13">-2918525.43/1000</f>
        <v>-2918.5254300000001</v>
      </c>
      <c r="F41" s="108">
        <f t="shared" si="13"/>
        <v>-2918.5254300000001</v>
      </c>
      <c r="G41" s="108">
        <f t="shared" si="13"/>
        <v>-2918.5254300000001</v>
      </c>
      <c r="H41" s="108">
        <f t="shared" si="13"/>
        <v>-2918.5254300000001</v>
      </c>
      <c r="I41" s="108">
        <f t="shared" si="13"/>
        <v>-2918.5254300000001</v>
      </c>
      <c r="J41" s="108">
        <f t="shared" si="13"/>
        <v>-2918.5254300000001</v>
      </c>
      <c r="K41" s="108">
        <f t="shared" si="13"/>
        <v>-2918.5254300000001</v>
      </c>
      <c r="L41" s="108">
        <f t="shared" si="13"/>
        <v>-2918.5254300000001</v>
      </c>
      <c r="M41" s="108">
        <f t="shared" si="13"/>
        <v>-2918.5254300000001</v>
      </c>
      <c r="N41" s="108">
        <f t="shared" si="13"/>
        <v>-2918.5254300000001</v>
      </c>
      <c r="O41" s="108">
        <f t="shared" si="13"/>
        <v>-2918.5254300000001</v>
      </c>
      <c r="P41" s="114"/>
    </row>
    <row r="42" spans="1:16" x14ac:dyDescent="0.25">
      <c r="A42" s="55">
        <f t="shared" si="0"/>
        <v>35</v>
      </c>
      <c r="B42" s="11" t="s">
        <v>68</v>
      </c>
      <c r="C42" s="25">
        <f>O24</f>
        <v>245156.13641142804</v>
      </c>
      <c r="D42" s="25">
        <f>+C42+D41</f>
        <v>242237.61098142804</v>
      </c>
      <c r="E42" s="25">
        <f t="shared" ref="E42:O42" si="14">+D42+E41</f>
        <v>239319.08555142803</v>
      </c>
      <c r="F42" s="25">
        <f t="shared" si="14"/>
        <v>236400.56012142802</v>
      </c>
      <c r="G42" s="25">
        <f t="shared" si="14"/>
        <v>233482.03469142801</v>
      </c>
      <c r="H42" s="25">
        <f t="shared" si="14"/>
        <v>230563.509261428</v>
      </c>
      <c r="I42" s="25">
        <f t="shared" si="14"/>
        <v>227644.98383142799</v>
      </c>
      <c r="J42" s="25">
        <f t="shared" si="14"/>
        <v>224726.45840142798</v>
      </c>
      <c r="K42" s="25">
        <f t="shared" si="14"/>
        <v>221807.93297142797</v>
      </c>
      <c r="L42" s="25">
        <f t="shared" si="14"/>
        <v>218889.40754142797</v>
      </c>
      <c r="M42" s="25">
        <f t="shared" si="14"/>
        <v>215970.88211142796</v>
      </c>
      <c r="N42" s="25">
        <f t="shared" si="14"/>
        <v>213052.35668142795</v>
      </c>
      <c r="O42" s="25">
        <f t="shared" si="14"/>
        <v>210133.83125142794</v>
      </c>
      <c r="P42" s="115">
        <f t="shared" ref="P42" si="15">SUM(C42:O42)/13</f>
        <v>227644.98383142796</v>
      </c>
    </row>
    <row r="43" spans="1:16" ht="13.8" thickBot="1" x14ac:dyDescent="0.3">
      <c r="A43" s="55">
        <f t="shared" si="0"/>
        <v>36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O43" s="32" t="s">
        <v>114</v>
      </c>
      <c r="P43" s="116">
        <f>+P38+P42</f>
        <v>590136.05468998884</v>
      </c>
    </row>
    <row r="44" spans="1:16" ht="13.8" thickTop="1" x14ac:dyDescent="0.25">
      <c r="A44" s="55">
        <f t="shared" si="0"/>
        <v>37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32"/>
      <c r="O44" s="16"/>
      <c r="P44" s="61"/>
    </row>
    <row r="45" spans="1:16" ht="15.6" x14ac:dyDescent="0.25">
      <c r="A45" s="55">
        <f t="shared" si="0"/>
        <v>38</v>
      </c>
      <c r="B45" s="54" t="s">
        <v>78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56"/>
    </row>
    <row r="46" spans="1:16" x14ac:dyDescent="0.25">
      <c r="A46" s="55">
        <f t="shared" si="0"/>
        <v>39</v>
      </c>
      <c r="B46" s="12" t="s">
        <v>67</v>
      </c>
      <c r="C46" s="16"/>
      <c r="D46" s="108">
        <f>-63182.7232142798/1000</f>
        <v>-63.182723214279804</v>
      </c>
      <c r="E46" s="108">
        <f t="shared" ref="E46:O46" si="16">-63182.7232142798/1000</f>
        <v>-63.182723214279804</v>
      </c>
      <c r="F46" s="108">
        <f t="shared" si="16"/>
        <v>-63.182723214279804</v>
      </c>
      <c r="G46" s="108">
        <f t="shared" si="16"/>
        <v>-63.182723214279804</v>
      </c>
      <c r="H46" s="108">
        <f t="shared" si="16"/>
        <v>-63.182723214279804</v>
      </c>
      <c r="I46" s="108">
        <f t="shared" si="16"/>
        <v>-63.182723214279804</v>
      </c>
      <c r="J46" s="108">
        <f t="shared" si="16"/>
        <v>-63.182723214279804</v>
      </c>
      <c r="K46" s="108">
        <f t="shared" si="16"/>
        <v>-63.182723214279804</v>
      </c>
      <c r="L46" s="108">
        <f t="shared" si="16"/>
        <v>-63.182723214279804</v>
      </c>
      <c r="M46" s="108">
        <f t="shared" si="16"/>
        <v>-63.182723214279804</v>
      </c>
      <c r="N46" s="108">
        <f t="shared" si="16"/>
        <v>-63.182723214279804</v>
      </c>
      <c r="O46" s="108">
        <f t="shared" si="16"/>
        <v>-63.182723214279804</v>
      </c>
      <c r="P46" s="114"/>
    </row>
    <row r="47" spans="1:16" x14ac:dyDescent="0.25">
      <c r="A47" s="55">
        <f t="shared" si="0"/>
        <v>40</v>
      </c>
      <c r="B47" s="11" t="s">
        <v>68</v>
      </c>
      <c r="C47" s="25">
        <f>O29</f>
        <v>5307.3484732143552</v>
      </c>
      <c r="D47" s="25">
        <f>+C47+D46</f>
        <v>5244.1657500000756</v>
      </c>
      <c r="E47" s="25">
        <f t="shared" ref="E47:O47" si="17">+D47+E46</f>
        <v>5180.983026785796</v>
      </c>
      <c r="F47" s="25">
        <f t="shared" si="17"/>
        <v>5117.8003035715165</v>
      </c>
      <c r="G47" s="25">
        <f t="shared" si="17"/>
        <v>5054.6175803572369</v>
      </c>
      <c r="H47" s="25">
        <f t="shared" si="17"/>
        <v>4991.4348571429573</v>
      </c>
      <c r="I47" s="25">
        <f t="shared" si="17"/>
        <v>4928.2521339286777</v>
      </c>
      <c r="J47" s="25">
        <f t="shared" si="17"/>
        <v>4865.0694107143981</v>
      </c>
      <c r="K47" s="25">
        <f t="shared" si="17"/>
        <v>4801.8866875001186</v>
      </c>
      <c r="L47" s="25">
        <f t="shared" si="17"/>
        <v>4738.703964285839</v>
      </c>
      <c r="M47" s="25">
        <f t="shared" si="17"/>
        <v>4675.5212410715594</v>
      </c>
      <c r="N47" s="25">
        <f t="shared" si="17"/>
        <v>4612.3385178572798</v>
      </c>
      <c r="O47" s="25">
        <f t="shared" si="17"/>
        <v>4549.1557946430003</v>
      </c>
      <c r="P47" s="115">
        <f t="shared" ref="P47" si="18">SUM(C47:O47)/13</f>
        <v>4928.2521339286777</v>
      </c>
    </row>
    <row r="48" spans="1:16" ht="13.8" thickBot="1" x14ac:dyDescent="0.3">
      <c r="A48" s="55">
        <f t="shared" si="0"/>
        <v>41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O48" s="32" t="s">
        <v>110</v>
      </c>
      <c r="P48" s="116">
        <f>4928252.13392867/1000</f>
        <v>4928.2521339286695</v>
      </c>
    </row>
    <row r="49" spans="1:16" ht="13.8" thickTop="1" x14ac:dyDescent="0.25">
      <c r="A49" s="55">
        <f t="shared" si="0"/>
        <v>42</v>
      </c>
      <c r="B49" s="54" t="s">
        <v>45</v>
      </c>
    </row>
    <row r="50" spans="1:16" s="45" customFormat="1" ht="16.2" x14ac:dyDescent="0.25">
      <c r="A50" s="55">
        <f t="shared" si="0"/>
        <v>43</v>
      </c>
      <c r="B50" s="44" t="s">
        <v>76</v>
      </c>
      <c r="P50" s="46"/>
    </row>
    <row r="51" spans="1:16" s="45" customFormat="1" ht="16.2" x14ac:dyDescent="0.25">
      <c r="A51" s="55">
        <f t="shared" si="0"/>
        <v>44</v>
      </c>
      <c r="B51" s="44" t="s">
        <v>80</v>
      </c>
      <c r="P51" s="46"/>
    </row>
    <row r="52" spans="1:16" s="45" customFormat="1" ht="16.2" x14ac:dyDescent="0.25">
      <c r="A52" s="55">
        <f t="shared" si="0"/>
        <v>45</v>
      </c>
      <c r="B52" s="44" t="s">
        <v>81</v>
      </c>
      <c r="P52" s="46"/>
    </row>
    <row r="53" spans="1:16" s="45" customFormat="1" ht="13.8" x14ac:dyDescent="0.25">
      <c r="A53" s="55"/>
      <c r="P53" s="46"/>
    </row>
    <row r="54" spans="1:16" x14ac:dyDescent="0.25">
      <c r="A54" s="55"/>
    </row>
    <row r="59" spans="1:16" x14ac:dyDescent="0.25">
      <c r="G59" s="29"/>
    </row>
  </sheetData>
  <mergeCells count="4">
    <mergeCell ref="B1:P1"/>
    <mergeCell ref="B2:P2"/>
    <mergeCell ref="B3:P3"/>
    <mergeCell ref="B4:P4"/>
  </mergeCells>
  <printOptions horizontalCentered="1"/>
  <pageMargins left="0.25" right="0.25" top="0.75" bottom="0.75" header="0.3" footer="0.3"/>
  <pageSetup scale="4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zoomScale="80" zoomScaleNormal="80" workbookViewId="0">
      <selection activeCell="A2" sqref="A2"/>
    </sheetView>
  </sheetViews>
  <sheetFormatPr defaultRowHeight="14.4" x14ac:dyDescent="0.3"/>
  <cols>
    <col min="1" max="1" width="11.109375" customWidth="1"/>
    <col min="2" max="2" width="69" bestFit="1" customWidth="1"/>
    <col min="3" max="3" width="16.109375" bestFit="1" customWidth="1"/>
    <col min="4" max="4" width="7.88671875" style="90" customWidth="1"/>
    <col min="5" max="5" width="16.109375" bestFit="1" customWidth="1"/>
    <col min="6" max="6" width="5.88671875" customWidth="1"/>
  </cols>
  <sheetData>
    <row r="1" spans="1:6" x14ac:dyDescent="0.3">
      <c r="A1" s="122" t="s">
        <v>214</v>
      </c>
    </row>
    <row r="2" spans="1:6" x14ac:dyDescent="0.3">
      <c r="A2" s="122" t="s">
        <v>209</v>
      </c>
    </row>
    <row r="3" spans="1:6" s="6" customFormat="1" ht="13.2" x14ac:dyDescent="0.25">
      <c r="A3" s="50"/>
      <c r="B3" s="51"/>
      <c r="C3" s="50"/>
      <c r="D3" s="81"/>
      <c r="E3" s="50"/>
      <c r="F3" s="50"/>
    </row>
    <row r="4" spans="1:6" s="39" customFormat="1" ht="13.8" thickBot="1" x14ac:dyDescent="0.3">
      <c r="A4" s="40" t="s">
        <v>47</v>
      </c>
      <c r="B4" s="49" t="s">
        <v>79</v>
      </c>
      <c r="C4" s="49">
        <v>2017</v>
      </c>
      <c r="D4" s="82"/>
      <c r="E4" s="49">
        <v>2018</v>
      </c>
    </row>
    <row r="5" spans="1:6" x14ac:dyDescent="0.3">
      <c r="A5" s="52">
        <v>1</v>
      </c>
      <c r="B5" s="63" t="s">
        <v>82</v>
      </c>
      <c r="C5" s="64"/>
      <c r="D5" s="83"/>
    </row>
    <row r="6" spans="1:6" x14ac:dyDescent="0.3">
      <c r="A6" s="52">
        <f>+A5+1</f>
        <v>2</v>
      </c>
      <c r="B6" s="66" t="s">
        <v>137</v>
      </c>
      <c r="C6" s="71">
        <f>-168165177.464109/1000</f>
        <v>-168165.177464109</v>
      </c>
      <c r="D6" s="84"/>
      <c r="E6" s="71">
        <f>-160880007.530802/1000</f>
        <v>-160880.00753080202</v>
      </c>
    </row>
    <row r="7" spans="1:6" x14ac:dyDescent="0.3">
      <c r="A7" s="52">
        <f t="shared" ref="A7:A67" si="0">+A6+1</f>
        <v>3</v>
      </c>
      <c r="B7" s="66" t="s">
        <v>138</v>
      </c>
      <c r="C7" s="68">
        <f>-136723952.892193/1000</f>
        <v>-136723.95289219299</v>
      </c>
      <c r="D7" s="85"/>
      <c r="E7" s="68">
        <f>-130441687.958047/1000</f>
        <v>-130441.687958047</v>
      </c>
    </row>
    <row r="8" spans="1:6" x14ac:dyDescent="0.3">
      <c r="A8" s="52">
        <f t="shared" si="0"/>
        <v>4</v>
      </c>
      <c r="B8" s="66" t="s">
        <v>161</v>
      </c>
      <c r="C8" s="68">
        <f>-9599901.30492284/1000</f>
        <v>-9599.9013049228397</v>
      </c>
      <c r="D8" s="85"/>
      <c r="E8" s="68">
        <f>-9304916.8262474/1000</f>
        <v>-9304.9168262473995</v>
      </c>
    </row>
    <row r="9" spans="1:6" x14ac:dyDescent="0.3">
      <c r="A9" s="52">
        <f t="shared" si="0"/>
        <v>5</v>
      </c>
      <c r="B9" s="66" t="s">
        <v>139</v>
      </c>
      <c r="C9" s="68">
        <f>-1440254.16678925/1000</f>
        <v>-1440.2541667892499</v>
      </c>
      <c r="D9" s="85"/>
      <c r="E9" s="68">
        <f>-1398094.40240592/1000</f>
        <v>-1398.0944024059199</v>
      </c>
    </row>
    <row r="10" spans="1:6" x14ac:dyDescent="0.3">
      <c r="A10" s="52">
        <f t="shared" si="0"/>
        <v>6</v>
      </c>
      <c r="B10" s="66" t="s">
        <v>140</v>
      </c>
      <c r="C10" s="68">
        <f>-67601.2563018553/1000</f>
        <v>-67.601256301855301</v>
      </c>
      <c r="D10" s="85"/>
      <c r="E10" s="68">
        <f>-64629.6069567204/1000</f>
        <v>-64.629606956720409</v>
      </c>
    </row>
    <row r="11" spans="1:6" ht="15" thickBot="1" x14ac:dyDescent="0.35">
      <c r="A11" s="52">
        <f t="shared" si="0"/>
        <v>7</v>
      </c>
      <c r="B11" s="66" t="s">
        <v>141</v>
      </c>
      <c r="C11" s="68">
        <f>-268969.859446217/1000</f>
        <v>-268.96985944621701</v>
      </c>
      <c r="D11" s="85"/>
      <c r="E11" s="68">
        <f>-255763.027819213/1000</f>
        <v>-255.76302781921299</v>
      </c>
    </row>
    <row r="12" spans="1:6" x14ac:dyDescent="0.3">
      <c r="A12" s="52">
        <f t="shared" si="0"/>
        <v>8</v>
      </c>
      <c r="B12" s="65" t="s">
        <v>82</v>
      </c>
      <c r="C12" s="69">
        <f>SUM(C6:C11)</f>
        <v>-316265.85694376216</v>
      </c>
      <c r="D12" s="86"/>
      <c r="E12" s="69">
        <f>SUM(E6:E11)</f>
        <v>-302345.09935227828</v>
      </c>
    </row>
    <row r="13" spans="1:6" x14ac:dyDescent="0.3">
      <c r="A13" s="52">
        <f t="shared" si="0"/>
        <v>9</v>
      </c>
      <c r="C13" s="67"/>
      <c r="D13" s="87"/>
      <c r="E13" s="67"/>
    </row>
    <row r="14" spans="1:6" x14ac:dyDescent="0.3">
      <c r="A14" s="52">
        <f t="shared" si="0"/>
        <v>10</v>
      </c>
      <c r="B14" s="63" t="s">
        <v>83</v>
      </c>
      <c r="C14" s="68"/>
      <c r="D14" s="85"/>
      <c r="E14" s="68"/>
    </row>
    <row r="15" spans="1:6" x14ac:dyDescent="0.3">
      <c r="A15" s="52">
        <f t="shared" si="0"/>
        <v>11</v>
      </c>
      <c r="B15" s="66" t="s">
        <v>142</v>
      </c>
      <c r="C15" s="68">
        <f>-223917/1000</f>
        <v>-223.917</v>
      </c>
      <c r="D15" s="85"/>
      <c r="E15" s="68">
        <f>-223917/1000</f>
        <v>-223.917</v>
      </c>
    </row>
    <row r="16" spans="1:6" x14ac:dyDescent="0.3">
      <c r="A16" s="52">
        <f t="shared" si="0"/>
        <v>12</v>
      </c>
      <c r="B16" s="66" t="s">
        <v>143</v>
      </c>
      <c r="C16" s="68">
        <f>-4458150/1000</f>
        <v>-4458.1499999999996</v>
      </c>
      <c r="D16" s="85"/>
      <c r="E16" s="68">
        <f>-4599321.42857143/1000</f>
        <v>-4599.3214285714303</v>
      </c>
    </row>
    <row r="17" spans="1:6" x14ac:dyDescent="0.3">
      <c r="A17" s="52">
        <f t="shared" si="0"/>
        <v>13</v>
      </c>
      <c r="B17" s="66" t="s">
        <v>144</v>
      </c>
      <c r="C17" s="68">
        <f>4458150/1000</f>
        <v>4458.1499999999996</v>
      </c>
      <c r="D17" s="85"/>
      <c r="E17" s="68">
        <f>4599321.5/1000</f>
        <v>4599.3215</v>
      </c>
    </row>
    <row r="18" spans="1:6" x14ac:dyDescent="0.3">
      <c r="A18" s="52">
        <f t="shared" si="0"/>
        <v>14</v>
      </c>
      <c r="B18" s="66" t="s">
        <v>145</v>
      </c>
      <c r="C18" s="68">
        <f>-4060426.83/1000</f>
        <v>-4060.4268299999999</v>
      </c>
      <c r="D18" s="85"/>
      <c r="E18" s="68">
        <f>-4189003.99/1000</f>
        <v>-4189.0039900000002</v>
      </c>
    </row>
    <row r="19" spans="1:6" x14ac:dyDescent="0.3">
      <c r="A19" s="52">
        <f t="shared" si="0"/>
        <v>15</v>
      </c>
      <c r="B19" s="66" t="s">
        <v>146</v>
      </c>
      <c r="C19" s="68">
        <f>-27673.516275/1000</f>
        <v>-27.673516275000001</v>
      </c>
      <c r="D19" s="85"/>
      <c r="E19" s="68">
        <f>-28549.82493/1000</f>
        <v>-28.54982493</v>
      </c>
    </row>
    <row r="20" spans="1:6" ht="15" thickBot="1" x14ac:dyDescent="0.35">
      <c r="A20" s="52">
        <f t="shared" si="0"/>
        <v>16</v>
      </c>
      <c r="B20" s="66" t="s">
        <v>147</v>
      </c>
      <c r="C20" s="68">
        <f>-370049.66507/1000</f>
        <v>-370.04966507</v>
      </c>
      <c r="D20" s="85"/>
      <c r="E20" s="68">
        <f>-381767.6292/1000</f>
        <v>-381.76762920000004</v>
      </c>
    </row>
    <row r="21" spans="1:6" x14ac:dyDescent="0.3">
      <c r="A21" s="52">
        <f t="shared" si="0"/>
        <v>17</v>
      </c>
      <c r="B21" s="65" t="s">
        <v>83</v>
      </c>
      <c r="C21" s="69">
        <f>SUM(C15:C20)</f>
        <v>-4682.0670113449996</v>
      </c>
      <c r="D21" s="86"/>
      <c r="E21" s="69">
        <f>SUM(E15:E20)</f>
        <v>-4823.2383727014303</v>
      </c>
    </row>
    <row r="22" spans="1:6" x14ac:dyDescent="0.3">
      <c r="A22" s="52">
        <f t="shared" si="0"/>
        <v>18</v>
      </c>
      <c r="C22" s="67"/>
      <c r="D22" s="87"/>
      <c r="E22" s="67"/>
    </row>
    <row r="23" spans="1:6" x14ac:dyDescent="0.3">
      <c r="A23" s="52">
        <f t="shared" si="0"/>
        <v>19</v>
      </c>
      <c r="B23" s="63" t="s">
        <v>84</v>
      </c>
      <c r="C23" s="68"/>
      <c r="D23" s="85"/>
      <c r="E23" s="68"/>
    </row>
    <row r="24" spans="1:6" x14ac:dyDescent="0.3">
      <c r="A24" s="52">
        <f t="shared" si="0"/>
        <v>20</v>
      </c>
      <c r="B24" s="66" t="s">
        <v>162</v>
      </c>
      <c r="C24" s="68">
        <f>-2981256/1000</f>
        <v>-2981.2559999999999</v>
      </c>
      <c r="D24" s="85"/>
      <c r="E24" s="68">
        <f>-2981256/1000</f>
        <v>-2981.2559999999999</v>
      </c>
    </row>
    <row r="25" spans="1:6" ht="15" thickBot="1" x14ac:dyDescent="0.35">
      <c r="A25" s="52">
        <f t="shared" si="0"/>
        <v>21</v>
      </c>
      <c r="B25" s="66" t="s">
        <v>148</v>
      </c>
      <c r="C25" s="68">
        <f>-9444019.400737/1000</f>
        <v>-9444.019400737001</v>
      </c>
      <c r="D25" s="85"/>
      <c r="E25" s="68">
        <f>141171.361356285/1000</f>
        <v>141.17136135628499</v>
      </c>
    </row>
    <row r="26" spans="1:6" x14ac:dyDescent="0.3">
      <c r="A26" s="52">
        <f t="shared" si="0"/>
        <v>22</v>
      </c>
      <c r="B26" s="65" t="s">
        <v>84</v>
      </c>
      <c r="C26" s="69">
        <f>SUM(C24:C25)</f>
        <v>-12425.275400737</v>
      </c>
      <c r="D26" s="86"/>
      <c r="E26" s="69">
        <f>SUM(E24:E25)</f>
        <v>-2840.0846386437147</v>
      </c>
    </row>
    <row r="27" spans="1:6" x14ac:dyDescent="0.3">
      <c r="A27" s="52">
        <f t="shared" si="0"/>
        <v>23</v>
      </c>
      <c r="C27" s="67"/>
      <c r="D27" s="87"/>
      <c r="E27" s="67"/>
    </row>
    <row r="28" spans="1:6" x14ac:dyDescent="0.3">
      <c r="A28" s="52">
        <f t="shared" si="0"/>
        <v>24</v>
      </c>
      <c r="B28" s="63" t="s">
        <v>2</v>
      </c>
      <c r="C28" s="68"/>
      <c r="D28" s="85"/>
      <c r="E28" s="68"/>
    </row>
    <row r="29" spans="1:6" x14ac:dyDescent="0.3">
      <c r="A29" s="52">
        <f t="shared" si="0"/>
        <v>25</v>
      </c>
      <c r="B29" s="66" t="s">
        <v>149</v>
      </c>
      <c r="C29" s="68">
        <f>158376166.11/1000</f>
        <v>158376.16611000002</v>
      </c>
      <c r="D29" s="85"/>
      <c r="E29" s="68">
        <f>147897004.55/1000</f>
        <v>147897.00455000001</v>
      </c>
    </row>
    <row r="30" spans="1:6" x14ac:dyDescent="0.3">
      <c r="A30" s="52">
        <f t="shared" si="0"/>
        <v>26</v>
      </c>
      <c r="B30" s="66" t="s">
        <v>150</v>
      </c>
      <c r="C30" s="68">
        <f>2981256/1000</f>
        <v>2981.2559999999999</v>
      </c>
      <c r="D30" s="85"/>
      <c r="E30" s="68">
        <f>2981256/1000</f>
        <v>2981.2559999999999</v>
      </c>
    </row>
    <row r="31" spans="1:6" ht="18.600000000000001" thickBot="1" x14ac:dyDescent="0.35">
      <c r="A31" s="52">
        <f t="shared" si="0"/>
        <v>27</v>
      </c>
      <c r="B31" s="66" t="s">
        <v>151</v>
      </c>
      <c r="C31" s="68">
        <f>90031969.6071429/1000</f>
        <v>90031.969607142892</v>
      </c>
      <c r="D31" s="105"/>
      <c r="E31" s="68">
        <f>90031969.6071429/1000</f>
        <v>90031.969607142892</v>
      </c>
      <c r="F31" s="105"/>
    </row>
    <row r="32" spans="1:6" x14ac:dyDescent="0.3">
      <c r="A32" s="52">
        <f t="shared" si="0"/>
        <v>28</v>
      </c>
      <c r="B32" s="65" t="s">
        <v>2</v>
      </c>
      <c r="C32" s="69">
        <f>SUM(C29:C31)</f>
        <v>251389.39171714289</v>
      </c>
      <c r="D32" s="86"/>
      <c r="E32" s="69">
        <f>SUM(E29:E31)</f>
        <v>240910.23015714291</v>
      </c>
    </row>
    <row r="33" spans="1:5" x14ac:dyDescent="0.3">
      <c r="A33" s="52">
        <f t="shared" si="0"/>
        <v>29</v>
      </c>
      <c r="C33" s="67"/>
      <c r="D33" s="87"/>
      <c r="E33" s="67"/>
    </row>
    <row r="34" spans="1:5" x14ac:dyDescent="0.3">
      <c r="A34" s="52">
        <v>1</v>
      </c>
      <c r="B34" s="63" t="s">
        <v>15</v>
      </c>
      <c r="C34" s="68"/>
      <c r="D34" s="85"/>
      <c r="E34" s="68"/>
    </row>
    <row r="35" spans="1:5" x14ac:dyDescent="0.3">
      <c r="A35" s="52">
        <f t="shared" si="0"/>
        <v>2</v>
      </c>
      <c r="B35" s="66" t="s">
        <v>152</v>
      </c>
      <c r="C35" s="70">
        <f>464106.33/1000</f>
        <v>464.10633000000001</v>
      </c>
      <c r="D35" s="88"/>
      <c r="E35" s="68">
        <f>477955.7/1000</f>
        <v>477.95570000000004</v>
      </c>
    </row>
    <row r="36" spans="1:5" x14ac:dyDescent="0.3">
      <c r="A36" s="52">
        <f t="shared" si="0"/>
        <v>3</v>
      </c>
      <c r="B36" s="66" t="s">
        <v>153</v>
      </c>
      <c r="C36" s="70">
        <f>453560.19/1000</f>
        <v>453.56018999999998</v>
      </c>
      <c r="D36" s="88"/>
      <c r="E36" s="68">
        <f>456932.34/1000</f>
        <v>456.93234000000001</v>
      </c>
    </row>
    <row r="37" spans="1:5" x14ac:dyDescent="0.3">
      <c r="A37" s="52">
        <f t="shared" si="0"/>
        <v>4</v>
      </c>
      <c r="B37" s="66" t="s">
        <v>154</v>
      </c>
      <c r="C37" s="70">
        <f>34946054.17/1000</f>
        <v>34946.054170000003</v>
      </c>
      <c r="D37" s="88"/>
      <c r="E37" s="68">
        <f>31901819.81/1000</f>
        <v>31901.819809999997</v>
      </c>
    </row>
    <row r="38" spans="1:5" x14ac:dyDescent="0.3">
      <c r="A38" s="52">
        <f t="shared" si="0"/>
        <v>5</v>
      </c>
      <c r="B38" s="66" t="s">
        <v>155</v>
      </c>
      <c r="C38" s="68">
        <f>1270337.6/1000</f>
        <v>1270.3376000000001</v>
      </c>
      <c r="D38" s="85"/>
      <c r="E38" s="68">
        <f>1354250.89/1000</f>
        <v>1354.2508899999998</v>
      </c>
    </row>
    <row r="39" spans="1:5" x14ac:dyDescent="0.3">
      <c r="A39" s="52">
        <f t="shared" si="0"/>
        <v>6</v>
      </c>
      <c r="B39" s="66" t="s">
        <v>156</v>
      </c>
      <c r="C39" s="68">
        <f>1874690.99/1000</f>
        <v>1874.6909900000001</v>
      </c>
      <c r="D39" s="85"/>
      <c r="E39" s="68">
        <f>1940017.19/1000</f>
        <v>1940.01719</v>
      </c>
    </row>
    <row r="40" spans="1:5" x14ac:dyDescent="0.3">
      <c r="A40" s="52">
        <f t="shared" si="0"/>
        <v>7</v>
      </c>
      <c r="B40" s="66" t="s">
        <v>157</v>
      </c>
      <c r="C40" s="68">
        <f>719034.3/1000</f>
        <v>719.03430000000003</v>
      </c>
      <c r="D40" s="85"/>
      <c r="E40" s="68">
        <f>757536.11/1000</f>
        <v>757.53611000000001</v>
      </c>
    </row>
    <row r="41" spans="1:5" x14ac:dyDescent="0.3">
      <c r="A41" s="52">
        <f t="shared" si="0"/>
        <v>8</v>
      </c>
      <c r="B41" s="66" t="s">
        <v>158</v>
      </c>
      <c r="C41" s="68">
        <f>7085.85/1000</f>
        <v>7.0858500000000006</v>
      </c>
      <c r="D41" s="85"/>
      <c r="E41" s="68">
        <f>7211.61/1000</f>
        <v>7.2116099999999994</v>
      </c>
    </row>
    <row r="42" spans="1:5" ht="15" thickBot="1" x14ac:dyDescent="0.35">
      <c r="A42" s="52">
        <f t="shared" si="0"/>
        <v>9</v>
      </c>
      <c r="B42" s="66" t="s">
        <v>163</v>
      </c>
      <c r="C42" s="68">
        <f>221500.18/1000</f>
        <v>221.50018</v>
      </c>
      <c r="D42" s="85"/>
      <c r="E42" s="68">
        <f>229590.92/1000</f>
        <v>229.59092000000001</v>
      </c>
    </row>
    <row r="43" spans="1:5" x14ac:dyDescent="0.3">
      <c r="A43" s="52">
        <f t="shared" si="0"/>
        <v>10</v>
      </c>
      <c r="B43" s="65" t="s">
        <v>15</v>
      </c>
      <c r="C43" s="69">
        <f>SUM(C35:C42)</f>
        <v>39956.369610000009</v>
      </c>
      <c r="D43" s="86"/>
      <c r="E43" s="69">
        <f>SUM(E35:E42)</f>
        <v>37125.314570000002</v>
      </c>
    </row>
    <row r="44" spans="1:5" x14ac:dyDescent="0.3">
      <c r="A44" s="52">
        <f t="shared" si="0"/>
        <v>11</v>
      </c>
      <c r="C44" s="67"/>
      <c r="D44" s="87"/>
      <c r="E44" s="67"/>
    </row>
    <row r="45" spans="1:5" x14ac:dyDescent="0.3">
      <c r="A45" s="52">
        <f t="shared" si="0"/>
        <v>12</v>
      </c>
      <c r="C45" s="67"/>
      <c r="D45" s="87"/>
      <c r="E45" s="67"/>
    </row>
    <row r="46" spans="1:5" x14ac:dyDescent="0.3">
      <c r="A46" s="52">
        <f t="shared" si="0"/>
        <v>13</v>
      </c>
      <c r="B46" s="63" t="s">
        <v>17</v>
      </c>
      <c r="C46" s="68"/>
      <c r="D46" s="85"/>
      <c r="E46" s="68"/>
    </row>
    <row r="47" spans="1:5" ht="15" thickBot="1" x14ac:dyDescent="0.35">
      <c r="A47" s="52">
        <f t="shared" si="0"/>
        <v>14</v>
      </c>
      <c r="B47" s="66" t="s">
        <v>159</v>
      </c>
      <c r="C47" s="68">
        <f>8940363.75999999/1000</f>
        <v>8940.3637599999911</v>
      </c>
      <c r="D47" s="85"/>
      <c r="E47" s="68">
        <v>0</v>
      </c>
    </row>
    <row r="48" spans="1:5" x14ac:dyDescent="0.3">
      <c r="A48" s="52">
        <f t="shared" si="0"/>
        <v>15</v>
      </c>
      <c r="B48" s="65" t="s">
        <v>17</v>
      </c>
      <c r="C48" s="69">
        <f>C47</f>
        <v>8940.3637599999911</v>
      </c>
      <c r="D48" s="86"/>
      <c r="E48" s="69">
        <v>0</v>
      </c>
    </row>
    <row r="49" spans="1:8" x14ac:dyDescent="0.3">
      <c r="A49" s="52">
        <f t="shared" si="0"/>
        <v>16</v>
      </c>
      <c r="C49" s="67"/>
      <c r="D49" s="87"/>
      <c r="E49" s="67"/>
    </row>
    <row r="50" spans="1:8" x14ac:dyDescent="0.3">
      <c r="A50" s="52">
        <f t="shared" si="0"/>
        <v>17</v>
      </c>
      <c r="B50" s="63" t="s">
        <v>18</v>
      </c>
      <c r="C50" s="68"/>
      <c r="D50" s="85"/>
      <c r="E50" s="68"/>
    </row>
    <row r="51" spans="1:8" x14ac:dyDescent="0.3">
      <c r="A51" s="52">
        <f t="shared" si="0"/>
        <v>18</v>
      </c>
      <c r="B51" s="66" t="s">
        <v>160</v>
      </c>
      <c r="C51" s="68">
        <f>165352.2/1000</f>
        <v>165.35220000000001</v>
      </c>
      <c r="D51" s="85"/>
      <c r="E51" s="68">
        <f>171133.22/1000</f>
        <v>171.13321999999999</v>
      </c>
    </row>
    <row r="52" spans="1:8" ht="15" thickBot="1" x14ac:dyDescent="0.35">
      <c r="A52" s="52">
        <f t="shared" si="0"/>
        <v>19</v>
      </c>
      <c r="B52" s="66" t="s">
        <v>116</v>
      </c>
      <c r="C52" s="68">
        <f>236650.745271464/1000</f>
        <v>236.65074527146399</v>
      </c>
      <c r="D52" s="85"/>
      <c r="E52" s="68">
        <f>219668.826340547/1000</f>
        <v>219.66882634054701</v>
      </c>
      <c r="F52" s="75"/>
    </row>
    <row r="53" spans="1:8" x14ac:dyDescent="0.3">
      <c r="A53" s="52">
        <f t="shared" si="0"/>
        <v>20</v>
      </c>
      <c r="B53" s="73" t="s">
        <v>18</v>
      </c>
      <c r="C53" s="69">
        <f>C51+C52</f>
        <v>402.002945271464</v>
      </c>
      <c r="D53" s="86"/>
      <c r="E53" s="69">
        <f>E51+E52</f>
        <v>390.80204634054701</v>
      </c>
      <c r="F53" s="75"/>
    </row>
    <row r="54" spans="1:8" ht="15" thickBot="1" x14ac:dyDescent="0.35">
      <c r="A54" s="52">
        <f t="shared" si="0"/>
        <v>21</v>
      </c>
      <c r="B54" s="75"/>
      <c r="C54" s="76"/>
      <c r="D54" s="89"/>
      <c r="E54" s="76"/>
      <c r="F54" s="75"/>
    </row>
    <row r="55" spans="1:8" x14ac:dyDescent="0.3">
      <c r="A55" s="52">
        <f t="shared" si="0"/>
        <v>22</v>
      </c>
      <c r="B55" s="75"/>
      <c r="C55" s="69">
        <f>+C53+C48+C43+C32+C26+C21+C12</f>
        <v>-32685.071323429816</v>
      </c>
      <c r="D55" s="86"/>
      <c r="E55" s="69">
        <f>+E53+E48+E43+E32+E26+E21+E12</f>
        <v>-31582.075590140012</v>
      </c>
      <c r="F55" s="75"/>
    </row>
    <row r="56" spans="1:8" x14ac:dyDescent="0.3">
      <c r="A56" s="52">
        <f t="shared" si="0"/>
        <v>23</v>
      </c>
      <c r="B56" s="72" t="s">
        <v>85</v>
      </c>
      <c r="C56" s="70"/>
      <c r="D56" s="88"/>
      <c r="E56" s="76"/>
      <c r="F56" s="75"/>
    </row>
    <row r="57" spans="1:8" x14ac:dyDescent="0.3">
      <c r="A57" s="52">
        <f t="shared" si="0"/>
        <v>24</v>
      </c>
      <c r="B57" s="74" t="s">
        <v>86</v>
      </c>
      <c r="C57" s="68">
        <f>6700925.22912136/1000</f>
        <v>6700.9252291213597</v>
      </c>
      <c r="D57" s="85"/>
      <c r="E57" s="68">
        <f>9506392.17180415/1000</f>
        <v>9506.3921718041511</v>
      </c>
      <c r="F57" s="75"/>
    </row>
    <row r="58" spans="1:8" x14ac:dyDescent="0.3">
      <c r="A58" s="52">
        <f t="shared" si="0"/>
        <v>25</v>
      </c>
      <c r="B58" s="74" t="s">
        <v>87</v>
      </c>
      <c r="C58" s="68">
        <f>1114288.39788866/1000</f>
        <v>1114.28839788866</v>
      </c>
      <c r="D58" s="85"/>
      <c r="E58" s="68">
        <f>1580805.95449502/1000</f>
        <v>1580.8059544950199</v>
      </c>
      <c r="F58" s="75"/>
    </row>
    <row r="59" spans="1:8" x14ac:dyDescent="0.3">
      <c r="A59" s="52">
        <f t="shared" si="0"/>
        <v>26</v>
      </c>
      <c r="B59" s="74" t="s">
        <v>88</v>
      </c>
      <c r="C59" s="68">
        <f>4109659.91031153/1000</f>
        <v>4109.6599103115295</v>
      </c>
      <c r="D59" s="85"/>
      <c r="E59" s="68">
        <f>939357.994231334/1000</f>
        <v>939.35799423133392</v>
      </c>
      <c r="F59" s="75"/>
    </row>
    <row r="60" spans="1:8" ht="15" thickBot="1" x14ac:dyDescent="0.35">
      <c r="A60" s="52">
        <f t="shared" si="0"/>
        <v>27</v>
      </c>
      <c r="B60" s="74" t="s">
        <v>89</v>
      </c>
      <c r="C60" s="77">
        <f>683390.158933134/1000</f>
        <v>683.3901589331341</v>
      </c>
      <c r="D60" s="85"/>
      <c r="E60" s="77">
        <f>156204.655125392/1000</f>
        <v>156.20465512539198</v>
      </c>
      <c r="F60" s="75"/>
    </row>
    <row r="61" spans="1:8" x14ac:dyDescent="0.3">
      <c r="A61" s="52">
        <f t="shared" si="0"/>
        <v>28</v>
      </c>
      <c r="B61" s="73" t="s">
        <v>85</v>
      </c>
      <c r="C61" s="78">
        <f>SUM(C57:C60)</f>
        <v>12608.263696254684</v>
      </c>
      <c r="D61" s="86"/>
      <c r="E61" s="78">
        <f>SUM(E57:E60)</f>
        <v>12182.760775655895</v>
      </c>
      <c r="F61" s="75"/>
    </row>
    <row r="62" spans="1:8" x14ac:dyDescent="0.3">
      <c r="A62" s="52">
        <f t="shared" si="0"/>
        <v>29</v>
      </c>
      <c r="B62" s="73"/>
      <c r="C62" s="68"/>
      <c r="D62" s="85"/>
      <c r="E62" s="68"/>
      <c r="F62" s="75"/>
    </row>
    <row r="63" spans="1:8" ht="16.8" thickBot="1" x14ac:dyDescent="0.35">
      <c r="A63" s="52">
        <f t="shared" si="0"/>
        <v>30</v>
      </c>
      <c r="B63" s="79" t="s">
        <v>104</v>
      </c>
      <c r="C63" s="80">
        <f>+C55+C61</f>
        <v>-20076.807627175134</v>
      </c>
      <c r="D63" s="96"/>
      <c r="E63" s="80">
        <f>+E55+E61</f>
        <v>-19399.314814484118</v>
      </c>
      <c r="F63" s="97"/>
    </row>
    <row r="64" spans="1:8" ht="15" thickTop="1" x14ac:dyDescent="0.3">
      <c r="A64" s="52">
        <f t="shared" si="0"/>
        <v>31</v>
      </c>
      <c r="B64" s="75"/>
      <c r="C64" s="75"/>
      <c r="D64" s="91"/>
      <c r="E64" s="75"/>
      <c r="F64" s="75"/>
      <c r="G64" s="75"/>
      <c r="H64" s="75"/>
    </row>
    <row r="65" spans="1:8" x14ac:dyDescent="0.3">
      <c r="A65" s="52">
        <f t="shared" si="0"/>
        <v>32</v>
      </c>
      <c r="B65" s="93" t="s">
        <v>90</v>
      </c>
      <c r="C65" s="92"/>
      <c r="D65" s="91"/>
      <c r="E65" s="75"/>
      <c r="F65" s="75"/>
      <c r="G65" s="75"/>
      <c r="H65" s="75"/>
    </row>
    <row r="66" spans="1:8" x14ac:dyDescent="0.3">
      <c r="A66" s="52">
        <f t="shared" si="0"/>
        <v>33</v>
      </c>
      <c r="B66" s="162" t="s">
        <v>135</v>
      </c>
      <c r="C66" s="162"/>
      <c r="D66" s="162"/>
      <c r="E66" s="162"/>
      <c r="F66" s="75"/>
      <c r="G66" s="75"/>
      <c r="H66" s="75"/>
    </row>
    <row r="67" spans="1:8" ht="16.2" x14ac:dyDescent="0.3">
      <c r="A67" s="52">
        <f t="shared" si="0"/>
        <v>34</v>
      </c>
      <c r="B67" s="75" t="s">
        <v>136</v>
      </c>
      <c r="C67" s="75"/>
      <c r="D67" s="91"/>
      <c r="E67" s="75"/>
      <c r="F67" s="75"/>
      <c r="G67" s="75"/>
      <c r="H67" s="75"/>
    </row>
    <row r="68" spans="1:8" x14ac:dyDescent="0.3">
      <c r="B68" s="75"/>
      <c r="C68" s="75"/>
      <c r="D68" s="91"/>
      <c r="E68" s="75"/>
      <c r="F68" s="75"/>
      <c r="G68" s="75"/>
      <c r="H68" s="75"/>
    </row>
    <row r="69" spans="1:8" x14ac:dyDescent="0.3">
      <c r="B69" s="75"/>
      <c r="C69" s="75"/>
      <c r="D69" s="91"/>
      <c r="E69" s="75"/>
      <c r="F69" s="75"/>
      <c r="G69" s="75"/>
      <c r="H69" s="75"/>
    </row>
  </sheetData>
  <mergeCells count="1">
    <mergeCell ref="B66:E66"/>
  </mergeCells>
  <printOptions horizontalCentered="1" verticalCentered="1"/>
  <pageMargins left="0.7" right="0.7" top="0.75" bottom="0.75" header="0.3" footer="0.3"/>
  <pageSetup scale="80" orientation="landscape" r:id="rId1"/>
  <rowBreaks count="1" manualBreakCount="1">
    <brk id="3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4BCCA0-2B39-4B83-BE8A-18CA24348AD4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AC6FC97B-B00C-444F-A830-3B0126F1E5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15DB68-DB09-49C7-BFA7-A7DEFE62D2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Exhibit KO-9 GAS - Page 1</vt:lpstr>
      <vt:lpstr>KO-9 GS NOI - Page 2</vt:lpstr>
      <vt:lpstr>Exhibit KO-9 CBAY - Page 3</vt:lpstr>
      <vt:lpstr>Gas rsv - 13-mo avg calc</vt:lpstr>
      <vt:lpstr>CB - 13 mo avg</vt:lpstr>
      <vt:lpstr>Details for NOI</vt:lpstr>
      <vt:lpstr>'CB - 13 mo avg'!Print_Area</vt:lpstr>
      <vt:lpstr>'Details for NOI'!Print_Area</vt:lpstr>
      <vt:lpstr>'Exhibit KO-9 CBAY - Page 3'!Print_Area</vt:lpstr>
      <vt:lpstr>'Exhibit KO-9 GAS - Page 1'!Print_Area</vt:lpstr>
      <vt:lpstr>'Gas rsv - 13-mo avg calc'!Print_Area</vt:lpstr>
      <vt:lpstr>'KO-9 GS NOI - Page 2'!Print_Area</vt:lpstr>
      <vt:lpstr>'CB - 13 mo avg'!Print_Titles</vt:lpstr>
      <vt:lpstr>'Details for NOI'!Print_Titles</vt:lpstr>
      <vt:lpstr>'Exhibit KO-9 CBAY - Page 3'!Print_Titles</vt:lpstr>
      <vt:lpstr>'KO-9 GS NOI - Page 2'!Print_Titles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2016-04-08T18:52:08Z</dcterms:created>
  <dcterms:modified xsi:type="dcterms:W3CDTF">2016-04-12T01:46:03Z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0x0101001985FF32044CD140A13D653C61F268D5</vt:lpwstr>
  </property>
</Properties>
</file>