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19416" windowHeight="9792"/>
  </bookViews>
  <sheets>
    <sheet name="MFR D9 Backup" sheetId="1" r:id="rId1"/>
  </sheets>
  <externalReferences>
    <externalReference r:id="rId2"/>
    <externalReference r:id="rId3"/>
    <externalReference r:id="rId4"/>
  </externalReferences>
  <definedNames>
    <definedName name="_xlnm.Print_Area" localSheetId="0">'MFR D9 Backup'!$A$4:$C$66</definedName>
  </definedNames>
  <calcPr calcId="145621"/>
</workbook>
</file>

<file path=xl/calcChain.xml><?xml version="1.0" encoding="utf-8"?>
<calcChain xmlns="http://schemas.openxmlformats.org/spreadsheetml/2006/main">
  <c r="B32" i="1" l="1"/>
  <c r="C48" i="1"/>
  <c r="B48" i="1"/>
  <c r="B46" i="1"/>
  <c r="C46" i="1"/>
  <c r="C36" i="1"/>
  <c r="B36" i="1"/>
  <c r="C35" i="1"/>
  <c r="B35" i="1"/>
  <c r="C34" i="1"/>
  <c r="C39" i="1" s="1"/>
  <c r="B34" i="1"/>
  <c r="C33" i="1"/>
  <c r="B33" i="1"/>
  <c r="C24" i="1"/>
  <c r="B24" i="1"/>
  <c r="C11" i="1"/>
  <c r="C21" i="1" s="1"/>
  <c r="B11" i="1"/>
  <c r="B21" i="1" s="1"/>
  <c r="C6" i="1"/>
  <c r="C32" i="1" s="1"/>
  <c r="C37" i="1" s="1"/>
  <c r="C41" i="1" s="1"/>
  <c r="B6" i="1"/>
  <c r="C8" i="1"/>
  <c r="B8" i="1"/>
  <c r="C9" i="1" l="1"/>
  <c r="B7" i="1"/>
  <c r="B27" i="1" s="1"/>
  <c r="C7" i="1"/>
  <c r="C53" i="1" s="1"/>
  <c r="B9" i="1"/>
  <c r="B55" i="1" s="1"/>
  <c r="B39" i="1"/>
  <c r="B37" i="1"/>
  <c r="B23" i="1"/>
  <c r="B25" i="1" s="1"/>
  <c r="C23" i="1"/>
  <c r="C25" i="1" s="1"/>
  <c r="B14" i="1"/>
  <c r="B45" i="1" s="1"/>
  <c r="B53" i="1" l="1"/>
  <c r="B41" i="1"/>
  <c r="C55" i="1"/>
  <c r="B28" i="1"/>
  <c r="B47" i="1"/>
  <c r="B51" i="1" s="1"/>
  <c r="B54" i="1"/>
  <c r="B10" i="1"/>
  <c r="C27" i="1"/>
  <c r="C28" i="1" s="1"/>
  <c r="B56" i="1" l="1"/>
  <c r="B60" i="1" s="1"/>
  <c r="B57" i="1"/>
  <c r="B61" i="1"/>
  <c r="B16" i="1"/>
  <c r="B12" i="1"/>
  <c r="B17" i="1" s="1"/>
  <c r="C10" i="1"/>
  <c r="C14" i="1"/>
  <c r="C45" i="1" s="1"/>
  <c r="B58" i="1" l="1"/>
  <c r="B65" i="1" s="1"/>
  <c r="C47" i="1"/>
  <c r="C51" i="1" s="1"/>
  <c r="C54" i="1"/>
  <c r="C56" i="1" s="1"/>
  <c r="C16" i="1"/>
  <c r="C12" i="1"/>
  <c r="C17" i="1" s="1"/>
  <c r="B62" i="1"/>
  <c r="B66" i="1" s="1"/>
  <c r="C60" i="1" l="1"/>
  <c r="C57" i="1"/>
  <c r="C58" i="1" s="1"/>
  <c r="C65" i="1" s="1"/>
  <c r="C61" i="1"/>
  <c r="C62" i="1" l="1"/>
  <c r="C66" i="1" s="1"/>
</calcChain>
</file>

<file path=xl/sharedStrings.xml><?xml version="1.0" encoding="utf-8"?>
<sst xmlns="http://schemas.openxmlformats.org/spreadsheetml/2006/main" count="53" uniqueCount="48">
  <si>
    <t>MFR D9 Support</t>
  </si>
  <si>
    <t>Proposed Rates</t>
  </si>
  <si>
    <t>Interest Coverage Ratios</t>
  </si>
  <si>
    <t>Net Income</t>
  </si>
  <si>
    <t>Interest Before debt AFUDC</t>
  </si>
  <si>
    <t>Income taxes</t>
  </si>
  <si>
    <t xml:space="preserve">Total Earnings before Int &amp; Taxes, including AFUDC </t>
  </si>
  <si>
    <t>AFUDC</t>
  </si>
  <si>
    <t xml:space="preserve">Total Earnings before Int &amp; Taxes, excluding AFUDC </t>
  </si>
  <si>
    <t>Interest (before debt AFUDC)</t>
  </si>
  <si>
    <t>Including AFUDC in income before Interest Charges</t>
  </si>
  <si>
    <t>Excluding AFUDC in income before Interest Charges</t>
  </si>
  <si>
    <t>Percent AFUDC to net income</t>
  </si>
  <si>
    <t>AFUDC - debt</t>
  </si>
  <si>
    <t>1 - tax rate</t>
  </si>
  <si>
    <t>Subtotal</t>
  </si>
  <si>
    <t>AFUDC - equity</t>
  </si>
  <si>
    <t>Total</t>
  </si>
  <si>
    <t>Net income available to common</t>
  </si>
  <si>
    <t>Percent of Construction Funds Generated Internally</t>
  </si>
  <si>
    <t>Operating Cash Flow</t>
  </si>
  <si>
    <t>Less investing activities</t>
  </si>
  <si>
    <t>Plus Capital Expenditures</t>
  </si>
  <si>
    <t>Less Dividends</t>
  </si>
  <si>
    <t>Less Debt Maturities</t>
  </si>
  <si>
    <t>Net</t>
  </si>
  <si>
    <t>Construction expenditures</t>
  </si>
  <si>
    <t>Fixed charges</t>
  </si>
  <si>
    <t>Interest (before deducting debt AFUDC)</t>
  </si>
  <si>
    <t>Interest portion of West County H2O Reclaim lease</t>
  </si>
  <si>
    <t xml:space="preserve">  Total Interest for Fixed Charges</t>
  </si>
  <si>
    <t xml:space="preserve">Lease Payments (FERC Rental Accounts) </t>
  </si>
  <si>
    <t>Sinking fund payments</t>
  </si>
  <si>
    <t>Tax on Sinking Fund Payments</t>
  </si>
  <si>
    <t>Total fixed charges</t>
  </si>
  <si>
    <t>Net Income (including AFUDC)</t>
  </si>
  <si>
    <t>Interest</t>
  </si>
  <si>
    <t>Taxes</t>
  </si>
  <si>
    <t>Net Income Before Interest &amp; Taxes (Including AFUDC)</t>
  </si>
  <si>
    <t xml:space="preserve">  Additional Fixed Charges</t>
  </si>
  <si>
    <t>Total Earnings, as defined</t>
  </si>
  <si>
    <t>Net Income Before Interest &amp; Taxes (Excluding AFUDC)</t>
  </si>
  <si>
    <t>Ratio of Earnings to Fixed Charges</t>
  </si>
  <si>
    <t>Including AFUDC</t>
  </si>
  <si>
    <t>Excluding AFUDC</t>
  </si>
  <si>
    <t>Rate Increase</t>
  </si>
  <si>
    <t>OPC 014868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</si>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</sst>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quotePrefix="1" applyFont="1" applyAlignment="1">
      <alignment horizontal="center"/>
    </xf>
    <xf numFmtId="0" fontId="1" fillId="0" borderId="0" xfId="0" applyFont="1"/>
    <xf numFmtId="37" fontId="1" fillId="0" borderId="0" xfId="0" applyNumberFormat="1" applyFont="1"/>
    <xf numFmtId="0" fontId="3" fillId="0" borderId="0" xfId="0" applyFont="1" applyFill="1"/>
    <xf numFmtId="37" fontId="1" fillId="0" borderId="1" xfId="0" applyNumberFormat="1" applyFont="1" applyBorder="1"/>
    <xf numFmtId="0" fontId="6" fillId="0" borderId="0" xfId="0" applyFont="1" applyAlignment="1">
      <alignment horizontal="left" indent="1"/>
    </xf>
    <xf numFmtId="37" fontId="5" fillId="0" borderId="0" xfId="0" applyNumberFormat="1" applyFont="1"/>
    <xf numFmtId="0" fontId="5" fillId="0" borderId="0" xfId="0" applyFont="1"/>
    <xf numFmtId="0" fontId="5" fillId="0" borderId="0" xfId="0" applyFont="1" applyFill="1"/>
    <xf numFmtId="0" fontId="5" fillId="0" borderId="0" xfId="0" applyFont="1" applyAlignment="1">
      <alignment horizontal="left" indent="1"/>
    </xf>
    <xf numFmtId="37" fontId="5" fillId="0" borderId="1" xfId="0" applyNumberFormat="1" applyFont="1" applyBorder="1"/>
    <xf numFmtId="0" fontId="3" fillId="0" borderId="0" xfId="0" applyFont="1" applyAlignment="1">
      <alignment horizontal="left" indent="1"/>
    </xf>
    <xf numFmtId="37" fontId="3" fillId="0" borderId="0" xfId="0" applyNumberFormat="1" applyFont="1"/>
    <xf numFmtId="0" fontId="6" fillId="0" borderId="0" xfId="0" applyFont="1"/>
    <xf numFmtId="37" fontId="6" fillId="0" borderId="0" xfId="0" applyNumberFormat="1" applyFont="1"/>
    <xf numFmtId="0" fontId="7" fillId="0" borderId="0" xfId="0" applyFont="1"/>
    <xf numFmtId="39" fontId="7" fillId="0" borderId="0" xfId="0" applyNumberFormat="1" applyFont="1"/>
    <xf numFmtId="0" fontId="5" fillId="0" borderId="0" xfId="0" quotePrefix="1" applyFont="1" applyAlignment="1">
      <alignment horizontal="left"/>
    </xf>
    <xf numFmtId="10" fontId="5" fillId="0" borderId="0" xfId="1" applyNumberFormat="1" applyFont="1"/>
    <xf numFmtId="37" fontId="5" fillId="0" borderId="2" xfId="0" applyNumberFormat="1" applyFont="1" applyBorder="1"/>
    <xf numFmtId="10" fontId="7" fillId="0" borderId="0" xfId="1" applyNumberFormat="1" applyFont="1"/>
    <xf numFmtId="0" fontId="1" fillId="0" borderId="0" xfId="0" applyFont="1" applyAlignment="1">
      <alignment horizontal="left"/>
    </xf>
    <xf numFmtId="10" fontId="7" fillId="0" borderId="0" xfId="0" applyNumberFormat="1" applyFont="1"/>
    <xf numFmtId="37" fontId="7" fillId="0" borderId="0" xfId="0" applyNumberFormat="1" applyFont="1"/>
    <xf numFmtId="37" fontId="2" fillId="0" borderId="0" xfId="0" applyNumberFormat="1" applyFont="1"/>
    <xf numFmtId="37" fontId="2" fillId="0" borderId="1" xfId="0" applyNumberFormat="1" applyFont="1" applyBorder="1"/>
    <xf numFmtId="39" fontId="3" fillId="0" borderId="0" xfId="0" applyNumberFormat="1" applyFont="1"/>
    <xf numFmtId="0" fontId="2" fillId="0" borderId="0" xfId="0" applyFont="1" applyFill="1"/>
    <xf numFmtId="37" fontId="5" fillId="0" borderId="0" xfId="0" applyNumberFormat="1" applyFont="1" applyFill="1"/>
    <xf numFmtId="0" fontId="0" fillId="0" borderId="0" xfId="0" applyFont="1"/>
    <xf numFmtId="37" fontId="2" fillId="0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%20Test%20and%20Su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FR%20-%20D-9%20Backu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FR%20-%20D-9%20Summary%20Income%20Stat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R_A_1_Sub"/>
      <sheetName val="MFR_A_1_Test"/>
    </sheetNames>
    <sheetDataSet>
      <sheetData sheetId="0">
        <row r="31">
          <cell r="D31">
            <v>262291.6196600665</v>
          </cell>
        </row>
      </sheetData>
      <sheetData sheetId="1">
        <row r="27">
          <cell r="D27">
            <v>866353.95568344137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R_D_9_Backup"/>
    </sheetNames>
    <sheetDataSet>
      <sheetData sheetId="0">
        <row r="15">
          <cell r="C15">
            <v>464718.60537035478</v>
          </cell>
        </row>
        <row r="33">
          <cell r="E33">
            <v>1479258.9633038172</v>
          </cell>
          <cell r="F33">
            <v>1413857.6294839301</v>
          </cell>
        </row>
        <row r="36">
          <cell r="E36">
            <v>4459660.2996282149</v>
          </cell>
          <cell r="F36">
            <v>3953965.1972613488</v>
          </cell>
        </row>
        <row r="37">
          <cell r="E37">
            <v>-4858646.1563349804</v>
          </cell>
          <cell r="F37">
            <v>-4029892.0618345579</v>
          </cell>
        </row>
        <row r="43">
          <cell r="E43">
            <v>-4724132.9057977954</v>
          </cell>
          <cell r="F43">
            <v>-3867284.3052725126</v>
          </cell>
        </row>
        <row r="44">
          <cell r="E44">
            <v>-1003026.057149056</v>
          </cell>
          <cell r="F44">
            <v>-146974.35688627441</v>
          </cell>
        </row>
        <row r="45">
          <cell r="E45">
            <v>-367453.86300000001</v>
          </cell>
          <cell r="F45">
            <v>-671502.53899999999</v>
          </cell>
        </row>
        <row r="50">
          <cell r="E50">
            <v>66.098959999999991</v>
          </cell>
          <cell r="F50">
            <v>66.795909999999992</v>
          </cell>
        </row>
        <row r="51">
          <cell r="E51">
            <v>0</v>
          </cell>
          <cell r="F51">
            <v>0</v>
          </cell>
        </row>
        <row r="52">
          <cell r="E52">
            <v>0</v>
          </cell>
          <cell r="F52">
            <v>0</v>
          </cell>
        </row>
        <row r="53">
          <cell r="E53">
            <v>12</v>
          </cell>
          <cell r="F53">
            <v>-12</v>
          </cell>
        </row>
        <row r="54">
          <cell r="E54">
            <v>10358</v>
          </cell>
          <cell r="F54">
            <v>10622</v>
          </cell>
        </row>
        <row r="55">
          <cell r="E55">
            <v>10118.683459999998</v>
          </cell>
          <cell r="F55">
            <v>10270.107380000001</v>
          </cell>
        </row>
        <row r="56">
          <cell r="E56">
            <v>0</v>
          </cell>
          <cell r="F56">
            <v>0</v>
          </cell>
        </row>
        <row r="59">
          <cell r="E59">
            <v>4243.1531249999998</v>
          </cell>
          <cell r="F59">
            <v>4246.4900000000007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Income Statement"/>
      <sheetName val="Scenario Info"/>
    </sheetNames>
    <sheetDataSet>
      <sheetData sheetId="0">
        <row r="24">
          <cell r="E24">
            <v>903065180.20938396</v>
          </cell>
          <cell r="F24">
            <v>846144281.55504096</v>
          </cell>
        </row>
        <row r="30">
          <cell r="E30">
            <v>34375910.450993203</v>
          </cell>
          <cell r="F30">
            <v>54187261.738918699</v>
          </cell>
        </row>
        <row r="38">
          <cell r="E38">
            <v>518974547.968822</v>
          </cell>
          <cell r="F38">
            <v>585995107.61773205</v>
          </cell>
        </row>
        <row r="39">
          <cell r="E39">
            <v>-10474537.8773381</v>
          </cell>
          <cell r="F39">
            <v>-16511170.7037606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9.88671875" style="2" customWidth="1"/>
    <col min="2" max="3" width="15.109375" style="2" bestFit="1" customWidth="1"/>
    <col min="4" max="16384" width="9.109375" style="2"/>
  </cols>
  <sheetData>
    <row r="1" spans="1:5" s="1" customFormat="1" x14ac:dyDescent="0.25">
      <c r="A1" s="1" t="s">
        <v>46</v>
      </c>
    </row>
    <row r="2" spans="1:5" s="1" customFormat="1" x14ac:dyDescent="0.25">
      <c r="A2" s="1" t="s">
        <v>47</v>
      </c>
    </row>
    <row r="3" spans="1:5" s="1" customFormat="1" x14ac:dyDescent="0.25"/>
    <row r="4" spans="1:5" x14ac:dyDescent="0.25">
      <c r="A4" s="1" t="s">
        <v>0</v>
      </c>
      <c r="B4" s="31" t="s">
        <v>1</v>
      </c>
      <c r="C4" s="31" t="s">
        <v>1</v>
      </c>
    </row>
    <row r="5" spans="1:5" x14ac:dyDescent="0.25">
      <c r="A5" s="3" t="s">
        <v>2</v>
      </c>
      <c r="B5" s="4">
        <v>2017</v>
      </c>
      <c r="C5" s="4">
        <v>2018</v>
      </c>
    </row>
    <row r="6" spans="1:5" x14ac:dyDescent="0.25">
      <c r="A6" s="33" t="s">
        <v>45</v>
      </c>
      <c r="B6" s="6">
        <f>+[1]MFR_A_1_Test!$D$27</f>
        <v>866353.95568344137</v>
      </c>
      <c r="C6" s="6">
        <f>+[1]MFR_A_1_Sub!$D$31+[1]MFR_A_1_Test!$D$27</f>
        <v>1128645.5753435078</v>
      </c>
    </row>
    <row r="7" spans="1:5" x14ac:dyDescent="0.25">
      <c r="A7" s="33" t="s">
        <v>3</v>
      </c>
      <c r="B7" s="6">
        <f>+[2]MFR_D_9_Backup!$E$33+B6*0.61425</f>
        <v>2011416.880582371</v>
      </c>
      <c r="C7" s="6">
        <f>+[2]MFR_D_9_Backup!$F$33+C6*0.61425</f>
        <v>2107128.1741386796</v>
      </c>
      <c r="E7" s="7"/>
    </row>
    <row r="8" spans="1:5" x14ac:dyDescent="0.25">
      <c r="A8" s="5" t="s">
        <v>4</v>
      </c>
      <c r="B8" s="6">
        <f>+'[3]Summary Income Statement'!$E$38/1000</f>
        <v>518974.54796882201</v>
      </c>
      <c r="C8" s="6">
        <f>+'[3]Summary Income Statement'!$F$38/1000</f>
        <v>585995.10761773202</v>
      </c>
      <c r="E8" s="7"/>
    </row>
    <row r="9" spans="1:5" x14ac:dyDescent="0.25">
      <c r="A9" s="5" t="s">
        <v>5</v>
      </c>
      <c r="B9" s="8">
        <f>+'[3]Summary Income Statement'!$E$24/1000+B6*0.38575</f>
        <v>1237261.2186142714</v>
      </c>
      <c r="C9" s="8">
        <f>+'[3]Summary Income Statement'!$F$24/1000+C6*0.38575</f>
        <v>1281519.3122437992</v>
      </c>
      <c r="E9" s="7"/>
    </row>
    <row r="10" spans="1:5" s="11" customFormat="1" x14ac:dyDescent="0.25">
      <c r="A10" s="9" t="s">
        <v>6</v>
      </c>
      <c r="B10" s="10">
        <f>SUM(B7:B9)</f>
        <v>3767652.6471654642</v>
      </c>
      <c r="C10" s="10">
        <f>SUM(C7:C9)</f>
        <v>3974642.594000211</v>
      </c>
      <c r="E10" s="12"/>
    </row>
    <row r="11" spans="1:5" s="11" customFormat="1" x14ac:dyDescent="0.25">
      <c r="A11" s="13" t="s">
        <v>7</v>
      </c>
      <c r="B11" s="14">
        <f>-'[3]Summary Income Statement'!$E$39/1000</f>
        <v>10474.5378773381</v>
      </c>
      <c r="C11" s="14">
        <f>-'[3]Summary Income Statement'!$F$39/1000</f>
        <v>16511.170703760599</v>
      </c>
      <c r="E11" s="12"/>
    </row>
    <row r="12" spans="1:5" s="11" customFormat="1" x14ac:dyDescent="0.25">
      <c r="A12" s="9" t="s">
        <v>8</v>
      </c>
      <c r="B12" s="10">
        <f>B10-B11</f>
        <v>3757178.1092881262</v>
      </c>
      <c r="C12" s="10">
        <f>C10-C11</f>
        <v>3958131.4232964502</v>
      </c>
      <c r="E12" s="12"/>
    </row>
    <row r="13" spans="1:5" x14ac:dyDescent="0.25">
      <c r="A13" s="15"/>
      <c r="B13" s="16"/>
      <c r="C13" s="16"/>
      <c r="E13" s="7"/>
    </row>
    <row r="14" spans="1:5" s="11" customFormat="1" x14ac:dyDescent="0.25">
      <c r="A14" s="17" t="s">
        <v>9</v>
      </c>
      <c r="B14" s="18">
        <f>+B8</f>
        <v>518974.54796882201</v>
      </c>
      <c r="C14" s="18">
        <f>+C8</f>
        <v>585995.10761773202</v>
      </c>
      <c r="E14" s="12"/>
    </row>
    <row r="15" spans="1:5" x14ac:dyDescent="0.25">
      <c r="B15" s="16"/>
      <c r="C15" s="16"/>
      <c r="E15" s="7"/>
    </row>
    <row r="16" spans="1:5" s="11" customFormat="1" x14ac:dyDescent="0.25">
      <c r="A16" s="19" t="s">
        <v>10</v>
      </c>
      <c r="B16" s="20">
        <f>B10/B14</f>
        <v>7.2598023581530446</v>
      </c>
      <c r="C16" s="20">
        <f>C10/C14</f>
        <v>6.782723170093476</v>
      </c>
      <c r="E16" s="12"/>
    </row>
    <row r="17" spans="1:5" s="11" customFormat="1" x14ac:dyDescent="0.25">
      <c r="A17" s="19" t="s">
        <v>11</v>
      </c>
      <c r="B17" s="20">
        <f>B12/B14</f>
        <v>7.2396192144548923</v>
      </c>
      <c r="C17" s="20">
        <f>C12/C14</f>
        <v>6.7545468756344924</v>
      </c>
      <c r="E17" s="12"/>
    </row>
    <row r="18" spans="1:5" x14ac:dyDescent="0.25">
      <c r="E18" s="7"/>
    </row>
    <row r="19" spans="1:5" x14ac:dyDescent="0.25">
      <c r="B19" s="1"/>
      <c r="C19" s="1"/>
      <c r="E19" s="7"/>
    </row>
    <row r="20" spans="1:5" x14ac:dyDescent="0.25">
      <c r="A20" s="3" t="s">
        <v>12</v>
      </c>
      <c r="B20" s="4"/>
      <c r="C20" s="4"/>
      <c r="E20" s="7"/>
    </row>
    <row r="21" spans="1:5" x14ac:dyDescent="0.25">
      <c r="A21" s="5" t="s">
        <v>13</v>
      </c>
      <c r="B21" s="6">
        <f>+B11</f>
        <v>10474.5378773381</v>
      </c>
      <c r="C21" s="6">
        <f>+C11</f>
        <v>16511.170703760599</v>
      </c>
      <c r="E21" s="7"/>
    </row>
    <row r="22" spans="1:5" s="11" customFormat="1" x14ac:dyDescent="0.25">
      <c r="A22" s="21" t="s">
        <v>14</v>
      </c>
      <c r="B22" s="22">
        <v>0.61424999999999996</v>
      </c>
      <c r="C22" s="22">
        <v>0.61424999999999996</v>
      </c>
      <c r="E22" s="12"/>
    </row>
    <row r="23" spans="1:5" s="11" customFormat="1" x14ac:dyDescent="0.25">
      <c r="A23" s="13" t="s">
        <v>15</v>
      </c>
      <c r="B23" s="10">
        <f>B21*B22</f>
        <v>6433.984891154927</v>
      </c>
      <c r="C23" s="10">
        <f>C21*C22</f>
        <v>10141.986604784948</v>
      </c>
      <c r="E23" s="12"/>
    </row>
    <row r="24" spans="1:5" x14ac:dyDescent="0.25">
      <c r="A24" s="5" t="s">
        <v>16</v>
      </c>
      <c r="B24" s="6">
        <f>+'[3]Summary Income Statement'!$E$30/1000</f>
        <v>34375.9104509932</v>
      </c>
      <c r="C24" s="6">
        <f>+'[3]Summary Income Statement'!$F$30/1000</f>
        <v>54187.2617389187</v>
      </c>
      <c r="E24" s="7"/>
    </row>
    <row r="25" spans="1:5" s="11" customFormat="1" x14ac:dyDescent="0.25">
      <c r="A25" s="13" t="s">
        <v>17</v>
      </c>
      <c r="B25" s="23">
        <f>+B23+B24</f>
        <v>40809.895342148127</v>
      </c>
      <c r="C25" s="23">
        <f>+C23+C24</f>
        <v>64329.24834370365</v>
      </c>
      <c r="E25" s="12"/>
    </row>
    <row r="26" spans="1:5" x14ac:dyDescent="0.25">
      <c r="E26" s="7"/>
    </row>
    <row r="27" spans="1:5" s="11" customFormat="1" x14ac:dyDescent="0.25">
      <c r="A27" s="11" t="s">
        <v>18</v>
      </c>
      <c r="B27" s="10">
        <f>+B7</f>
        <v>2011416.880582371</v>
      </c>
      <c r="C27" s="10">
        <f>+C7</f>
        <v>2107128.1741386796</v>
      </c>
      <c r="E27" s="12"/>
    </row>
    <row r="28" spans="1:5" s="11" customFormat="1" x14ac:dyDescent="0.25">
      <c r="A28" s="19" t="s">
        <v>12</v>
      </c>
      <c r="B28" s="24">
        <f>B25/B27</f>
        <v>2.0289128393081959E-2</v>
      </c>
      <c r="C28" s="24">
        <f>C25/C27</f>
        <v>3.0529347541944949E-2</v>
      </c>
      <c r="E28" s="12"/>
    </row>
    <row r="29" spans="1:5" x14ac:dyDescent="0.25">
      <c r="E29" s="7"/>
    </row>
    <row r="30" spans="1:5" x14ac:dyDescent="0.25">
      <c r="B30" s="1"/>
      <c r="C30" s="1"/>
      <c r="E30" s="7"/>
    </row>
    <row r="31" spans="1:5" x14ac:dyDescent="0.25">
      <c r="A31" s="3" t="s">
        <v>19</v>
      </c>
      <c r="B31" s="4"/>
      <c r="C31" s="4"/>
      <c r="E31" s="7"/>
    </row>
    <row r="32" spans="1:5" x14ac:dyDescent="0.25">
      <c r="A32" s="25" t="s">
        <v>20</v>
      </c>
      <c r="B32" s="6">
        <f>+[2]MFR_D_9_Backup!$E$36+B6*0.61425</f>
        <v>4991818.2169067692</v>
      </c>
      <c r="C32" s="6">
        <f>+[2]MFR_D_9_Backup!$F$36+C6*0.61425</f>
        <v>4647235.7419160986</v>
      </c>
      <c r="E32" s="7"/>
    </row>
    <row r="33" spans="1:6" x14ac:dyDescent="0.25">
      <c r="A33" s="5" t="s">
        <v>21</v>
      </c>
      <c r="B33" s="6">
        <f>+-[2]MFR_D_9_Backup!$E$37</f>
        <v>4858646.1563349804</v>
      </c>
      <c r="C33" s="6">
        <f>-[2]MFR_D_9_Backup!$F$37</f>
        <v>4029892.0618345579</v>
      </c>
      <c r="E33" s="7"/>
    </row>
    <row r="34" spans="1:6" x14ac:dyDescent="0.25">
      <c r="A34" s="5" t="s">
        <v>22</v>
      </c>
      <c r="B34" s="6">
        <f>+-[2]MFR_D_9_Backup!$E$43</f>
        <v>4724132.9057977954</v>
      </c>
      <c r="C34" s="6">
        <f>+-[2]MFR_D_9_Backup!$F$43</f>
        <v>3867284.3052725126</v>
      </c>
      <c r="E34" s="7"/>
    </row>
    <row r="35" spans="1:6" x14ac:dyDescent="0.25">
      <c r="A35" s="5" t="s">
        <v>23</v>
      </c>
      <c r="B35" s="6">
        <f>+-[2]MFR_D_9_Backup!$E$44</f>
        <v>1003026.057149056</v>
      </c>
      <c r="C35" s="6">
        <f>+-[2]MFR_D_9_Backup!$F$44</f>
        <v>146974.35688627441</v>
      </c>
      <c r="E35" s="7"/>
    </row>
    <row r="36" spans="1:6" x14ac:dyDescent="0.25">
      <c r="A36" s="5" t="s">
        <v>24</v>
      </c>
      <c r="B36" s="6">
        <f>+-[2]MFR_D_9_Backup!$E$45</f>
        <v>367453.86300000001</v>
      </c>
      <c r="C36" s="6">
        <f>+-[2]MFR_D_9_Backup!$F$45</f>
        <v>671502.53899999999</v>
      </c>
      <c r="E36" s="7"/>
      <c r="F36" s="7"/>
    </row>
    <row r="37" spans="1:6" s="11" customFormat="1" x14ac:dyDescent="0.25">
      <c r="A37" s="13" t="s">
        <v>25</v>
      </c>
      <c r="B37" s="10">
        <f>+B32-B33+B34-B35-B36</f>
        <v>3486825.0462205284</v>
      </c>
      <c r="C37" s="10">
        <f>+C32-C33+C34-C35-C36</f>
        <v>3666151.0894677788</v>
      </c>
      <c r="E37" s="32"/>
      <c r="F37" s="32"/>
    </row>
    <row r="38" spans="1:6" x14ac:dyDescent="0.25">
      <c r="A38" s="5"/>
      <c r="B38" s="16"/>
      <c r="C38" s="16"/>
      <c r="E38" s="16"/>
      <c r="F38" s="16"/>
    </row>
    <row r="39" spans="1:6" s="11" customFormat="1" x14ac:dyDescent="0.25">
      <c r="A39" s="11" t="s">
        <v>26</v>
      </c>
      <c r="B39" s="10">
        <f>+B34</f>
        <v>4724132.9057977954</v>
      </c>
      <c r="C39" s="10">
        <f>+C34</f>
        <v>3867284.3052725126</v>
      </c>
      <c r="E39" s="12"/>
    </row>
    <row r="40" spans="1:6" x14ac:dyDescent="0.25">
      <c r="B40" s="16"/>
      <c r="C40" s="16"/>
      <c r="E40" s="7"/>
    </row>
    <row r="41" spans="1:6" s="11" customFormat="1" x14ac:dyDescent="0.25">
      <c r="A41" s="19" t="s">
        <v>19</v>
      </c>
      <c r="B41" s="26">
        <f>B37/B39</f>
        <v>0.73808783871030514</v>
      </c>
      <c r="C41" s="26">
        <f>C37/C39</f>
        <v>0.94799109661254632</v>
      </c>
      <c r="E41" s="12"/>
    </row>
    <row r="42" spans="1:6" x14ac:dyDescent="0.25">
      <c r="B42" s="16"/>
      <c r="C42" s="16"/>
      <c r="E42" s="7"/>
    </row>
    <row r="43" spans="1:6" x14ac:dyDescent="0.25">
      <c r="B43" s="1"/>
      <c r="C43" s="1"/>
      <c r="E43" s="7"/>
    </row>
    <row r="44" spans="1:6" x14ac:dyDescent="0.25">
      <c r="A44" s="3" t="s">
        <v>27</v>
      </c>
      <c r="B44" s="4"/>
      <c r="C44" s="4"/>
      <c r="E44" s="7"/>
    </row>
    <row r="45" spans="1:6" s="11" customFormat="1" x14ac:dyDescent="0.25">
      <c r="A45" s="11" t="s">
        <v>28</v>
      </c>
      <c r="B45" s="10">
        <f>+B14</f>
        <v>518974.54796882201</v>
      </c>
      <c r="C45" s="10">
        <f>+C14</f>
        <v>585995.10761773202</v>
      </c>
      <c r="E45" s="12"/>
    </row>
    <row r="46" spans="1:6" x14ac:dyDescent="0.25">
      <c r="A46" s="5" t="s">
        <v>29</v>
      </c>
      <c r="B46" s="8">
        <f>+[2]MFR_D_9_Backup!$E$59</f>
        <v>4243.1531249999998</v>
      </c>
      <c r="C46" s="8">
        <f>+[2]MFR_D_9_Backup!$F$59</f>
        <v>4246.4900000000007</v>
      </c>
      <c r="E46" s="7"/>
    </row>
    <row r="47" spans="1:6" x14ac:dyDescent="0.25">
      <c r="A47" s="19" t="s">
        <v>30</v>
      </c>
      <c r="B47" s="27">
        <f>B45+B46</f>
        <v>523217.70109382202</v>
      </c>
      <c r="C47" s="27">
        <f>C45+C46</f>
        <v>590241.59761773201</v>
      </c>
      <c r="E47" s="7"/>
    </row>
    <row r="48" spans="1:6" x14ac:dyDescent="0.25">
      <c r="A48" s="31" t="s">
        <v>31</v>
      </c>
      <c r="B48" s="34">
        <f>SUM([2]MFR_D_9_Backup!$E$50:$E$56)</f>
        <v>20554.782419999996</v>
      </c>
      <c r="C48" s="34">
        <f>SUM([2]MFR_D_9_Backup!$F$50:$F$56)</f>
        <v>20946.903290000002</v>
      </c>
      <c r="E48" s="7"/>
    </row>
    <row r="49" spans="1:5" x14ac:dyDescent="0.25">
      <c r="A49" s="1" t="s">
        <v>32</v>
      </c>
      <c r="B49" s="28">
        <v>0</v>
      </c>
      <c r="C49" s="28">
        <v>0</v>
      </c>
      <c r="E49" s="7"/>
    </row>
    <row r="50" spans="1:5" x14ac:dyDescent="0.25">
      <c r="A50" s="1" t="s">
        <v>33</v>
      </c>
      <c r="B50" s="29">
        <v>0</v>
      </c>
      <c r="C50" s="29">
        <v>0</v>
      </c>
      <c r="E50" s="7"/>
    </row>
    <row r="51" spans="1:5" s="11" customFormat="1" x14ac:dyDescent="0.25">
      <c r="A51" s="9" t="s">
        <v>34</v>
      </c>
      <c r="B51" s="10">
        <f>SUM(B47:B50)</f>
        <v>543772.48351382196</v>
      </c>
      <c r="C51" s="10">
        <f>SUM(C47:C50)</f>
        <v>611188.50090773206</v>
      </c>
      <c r="E51" s="12"/>
    </row>
    <row r="52" spans="1:5" x14ac:dyDescent="0.25">
      <c r="B52" s="16"/>
      <c r="C52" s="16"/>
      <c r="E52" s="7"/>
    </row>
    <row r="53" spans="1:5" s="11" customFormat="1" x14ac:dyDescent="0.25">
      <c r="A53" s="11" t="s">
        <v>35</v>
      </c>
      <c r="B53" s="10">
        <f>+B7</f>
        <v>2011416.880582371</v>
      </c>
      <c r="C53" s="10">
        <f>+C7</f>
        <v>2107128.1741386796</v>
      </c>
      <c r="E53" s="12"/>
    </row>
    <row r="54" spans="1:5" s="11" customFormat="1" x14ac:dyDescent="0.25">
      <c r="A54" s="11" t="s">
        <v>36</v>
      </c>
      <c r="B54" s="10">
        <f>B45</f>
        <v>518974.54796882201</v>
      </c>
      <c r="C54" s="10">
        <f>C45</f>
        <v>585995.10761773202</v>
      </c>
      <c r="E54" s="12"/>
    </row>
    <row r="55" spans="1:5" s="11" customFormat="1" x14ac:dyDescent="0.25">
      <c r="A55" s="11" t="s">
        <v>37</v>
      </c>
      <c r="B55" s="14">
        <f>+B9</f>
        <v>1237261.2186142714</v>
      </c>
      <c r="C55" s="14">
        <f>+C9</f>
        <v>1281519.3122437992</v>
      </c>
      <c r="E55" s="12"/>
    </row>
    <row r="56" spans="1:5" s="11" customFormat="1" x14ac:dyDescent="0.25">
      <c r="A56" s="17" t="s">
        <v>38</v>
      </c>
      <c r="B56" s="10">
        <f>SUM(B53:B55)</f>
        <v>3767652.6471654642</v>
      </c>
      <c r="C56" s="10">
        <f>SUM(C53:C55)</f>
        <v>3974642.594000211</v>
      </c>
      <c r="E56" s="12"/>
    </row>
    <row r="57" spans="1:5" s="11" customFormat="1" x14ac:dyDescent="0.25">
      <c r="A57" s="11" t="s">
        <v>39</v>
      </c>
      <c r="B57" s="14">
        <f>B51-B45</f>
        <v>24797.935544999957</v>
      </c>
      <c r="C57" s="14">
        <f>C51-C45</f>
        <v>25193.393290000036</v>
      </c>
      <c r="E57" s="12"/>
    </row>
    <row r="58" spans="1:5" s="11" customFormat="1" x14ac:dyDescent="0.25">
      <c r="A58" s="17" t="s">
        <v>40</v>
      </c>
      <c r="B58" s="10">
        <f>B56+B57</f>
        <v>3792450.582710464</v>
      </c>
      <c r="C58" s="10">
        <f>C56+C57</f>
        <v>3999835.987290211</v>
      </c>
      <c r="E58" s="12"/>
    </row>
    <row r="59" spans="1:5" x14ac:dyDescent="0.25">
      <c r="B59" s="16"/>
      <c r="C59" s="16"/>
      <c r="E59" s="7"/>
    </row>
    <row r="60" spans="1:5" s="11" customFormat="1" x14ac:dyDescent="0.25">
      <c r="A60" s="17" t="s">
        <v>41</v>
      </c>
      <c r="B60" s="10">
        <f>B56-B21-B24</f>
        <v>3722802.1988371331</v>
      </c>
      <c r="C60" s="10">
        <f>C56-C21-C24</f>
        <v>3903944.1615575314</v>
      </c>
      <c r="E60" s="12"/>
    </row>
    <row r="61" spans="1:5" s="11" customFormat="1" x14ac:dyDescent="0.25">
      <c r="A61" s="11" t="s">
        <v>39</v>
      </c>
      <c r="B61" s="14">
        <f>B51-B45</f>
        <v>24797.935544999957</v>
      </c>
      <c r="C61" s="14">
        <f>C51-C45</f>
        <v>25193.393290000036</v>
      </c>
      <c r="E61" s="12"/>
    </row>
    <row r="62" spans="1:5" s="11" customFormat="1" x14ac:dyDescent="0.25">
      <c r="A62" s="17" t="s">
        <v>40</v>
      </c>
      <c r="B62" s="10">
        <f>B60+B61</f>
        <v>3747600.1343821329</v>
      </c>
      <c r="C62" s="10">
        <f>C60+C61</f>
        <v>3929137.5548475315</v>
      </c>
      <c r="E62" s="12"/>
    </row>
    <row r="63" spans="1:5" s="11" customFormat="1" x14ac:dyDescent="0.25">
      <c r="B63" s="10"/>
      <c r="C63" s="10"/>
      <c r="E63" s="12"/>
    </row>
    <row r="64" spans="1:5" s="11" customFormat="1" x14ac:dyDescent="0.25">
      <c r="A64" s="19" t="s">
        <v>42</v>
      </c>
      <c r="B64" s="2"/>
      <c r="C64" s="2"/>
      <c r="E64" s="12"/>
    </row>
    <row r="65" spans="1:5" s="11" customFormat="1" x14ac:dyDescent="0.25">
      <c r="A65" s="19" t="s">
        <v>43</v>
      </c>
      <c r="B65" s="20">
        <f>B58/B51</f>
        <v>6.9743333796588933</v>
      </c>
      <c r="C65" s="20">
        <f>C58/C51</f>
        <v>6.5443573976763112</v>
      </c>
      <c r="E65" s="12"/>
    </row>
    <row r="66" spans="1:5" s="11" customFormat="1" x14ac:dyDescent="0.25">
      <c r="A66" s="19" t="s">
        <v>44</v>
      </c>
      <c r="B66" s="20">
        <f>B62/B51</f>
        <v>6.8918532069982428</v>
      </c>
      <c r="C66" s="20">
        <f>C62/C51</f>
        <v>6.428683702347163</v>
      </c>
      <c r="E66" s="12"/>
    </row>
    <row r="67" spans="1:5" x14ac:dyDescent="0.25">
      <c r="B67" s="30"/>
      <c r="C67" s="30"/>
      <c r="E67" s="7"/>
    </row>
  </sheetData>
  <pageMargins left="0.25" right="0.25" top="0.72" bottom="0.64" header="0.52" footer="0.5"/>
  <pageSetup scale="8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5A4199-30E1-4584-A5BF-3935CCEB3205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c85253b9-0a55-49a1-98ad-b5b6252d7079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C28B942-9799-4039-B7AA-86F9AADA83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10037D-132E-42E1-A76A-0188A2FA3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MFR D9 Backup</vt:lpstr>
      <vt:lpstr>'MFR D9 Backup'!Print_Area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FPL_User</dc:creator>
  <cp:lastModifiedBy>FPL_User</cp:lastModifiedBy>
  <cp:lastPrinted>2016-02-23T15:17:50Z</cp:lastPrinted>
  <dcterms:created xsi:type="dcterms:W3CDTF">2016-02-23T14:28:08Z</dcterms:created>
  <dcterms:modified xsi:type="dcterms:W3CDTF">2016-04-17T20:47:57Z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