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75" windowWidth="17220" windowHeight="7950"/>
  </bookViews>
  <sheets>
    <sheet name="Step 1" sheetId="3" r:id="rId1"/>
    <sheet name="Accrual - Step 2" sheetId="1" r:id="rId2"/>
    <sheet name="Breakdown - Step 2" sheetId="4" r:id="rId3"/>
    <sheet name="Accrual - Step 3" sheetId="5" r:id="rId4"/>
    <sheet name="Breakdown - Step 3 &amp; 4" sheetId="6" r:id="rId5"/>
    <sheet name="GI Factors" sheetId="2" state="hidden" r:id="rId6"/>
  </sheets>
  <externalReferences>
    <externalReference r:id="rId7"/>
  </externalReferences>
  <definedNames>
    <definedName name="\0" localSheetId="1">'[1]Input 1'!#REF!</definedName>
    <definedName name="\0" localSheetId="3">'[1]Input 1'!#REF!</definedName>
    <definedName name="\0" localSheetId="2">'[1]Input 1'!#REF!</definedName>
    <definedName name="\0" localSheetId="4">'[1]Input 1'!#REF!</definedName>
    <definedName name="\0" localSheetId="0">'[1]Input 1'!#REF!</definedName>
    <definedName name="\0">'[1]Input 1'!#REF!</definedName>
    <definedName name="\d" localSheetId="1">'[1]Input 1'!#REF!</definedName>
    <definedName name="\d" localSheetId="3">'[1]Input 1'!#REF!</definedName>
    <definedName name="\d" localSheetId="2">'[1]Input 1'!#REF!</definedName>
    <definedName name="\d">'[1]Input 1'!#REF!</definedName>
    <definedName name="\h" localSheetId="1">'[1]Input 1'!#REF!</definedName>
    <definedName name="\h" localSheetId="3">'[1]Input 1'!#REF!</definedName>
    <definedName name="\h" localSheetId="2">'[1]Input 1'!#REF!</definedName>
    <definedName name="\h">'[1]Input 1'!#REF!</definedName>
    <definedName name="\l" localSheetId="1">'[1]Input 1'!#REF!</definedName>
    <definedName name="\l" localSheetId="3">'[1]Input 1'!#REF!</definedName>
    <definedName name="\l" localSheetId="2">'[1]Input 1'!#REF!</definedName>
    <definedName name="\l">'[1]Input 1'!#REF!</definedName>
    <definedName name="\p" localSheetId="1">'[1]Monthly Accrual'!#REF!</definedName>
    <definedName name="\p" localSheetId="3">'[1]Monthly Accrual'!#REF!</definedName>
    <definedName name="\p" localSheetId="2">'[1]Monthly Accrual'!#REF!</definedName>
    <definedName name="\p">'[1]Monthly Accrual'!#REF!</definedName>
    <definedName name="\s" localSheetId="1">'[1]Input 1'!#REF!</definedName>
    <definedName name="\s" localSheetId="3">'[1]Input 1'!#REF!</definedName>
    <definedName name="\s" localSheetId="2">'[1]Input 1'!#REF!</definedName>
    <definedName name="\s">'[1]Input 1'!#REF!</definedName>
    <definedName name="_xlnm._FilterDatabase" localSheetId="1" hidden="1">'Accrual - Step 2'!$A$13:$AO$66</definedName>
    <definedName name="_xlnm._FilterDatabase" localSheetId="3" hidden="1">'Accrual - Step 3'!$A$13:$AO$66</definedName>
    <definedName name="_xlnm._FilterDatabase" localSheetId="2" hidden="1">'Breakdown - Step 2'!$D$10:$F$63</definedName>
    <definedName name="_xlnm._FilterDatabase" localSheetId="4" hidden="1">'Breakdown - Step 3 &amp; 4'!$D$10:$F$63</definedName>
    <definedName name="LOCATE" localSheetId="1">'[1]Input 1'!#REF!</definedName>
    <definedName name="LOCATE" localSheetId="3">'[1]Input 1'!#REF!</definedName>
    <definedName name="LOCATE" localSheetId="2">'[1]Input 1'!#REF!</definedName>
    <definedName name="LOCATE" localSheetId="4">'[1]Input 1'!#REF!</definedName>
    <definedName name="LOCATE" localSheetId="0">'[1]Input 1'!#REF!</definedName>
    <definedName name="LOCATE">'[1]Input 1'!#REF!</definedName>
    <definedName name="_xlnm.Print_Area" localSheetId="1">'Accrual - Step 2'!$A$9:$AO$75</definedName>
    <definedName name="_xlnm.Print_Area" localSheetId="3">'Accrual - Step 3'!$A$9:$AO$75</definedName>
  </definedNames>
  <calcPr calcId="145621"/>
</workbook>
</file>

<file path=xl/calcChain.xml><?xml version="1.0" encoding="utf-8"?>
<calcChain xmlns="http://schemas.openxmlformats.org/spreadsheetml/2006/main">
  <c r="J74" i="6" l="1"/>
  <c r="E74" i="4"/>
  <c r="E74" i="6"/>
  <c r="F69" i="6" l="1"/>
  <c r="G69" i="6" s="1"/>
  <c r="B66" i="6"/>
  <c r="K64" i="6"/>
  <c r="K63" i="6"/>
  <c r="F63" i="6"/>
  <c r="K62" i="6"/>
  <c r="F62" i="6"/>
  <c r="K61" i="6"/>
  <c r="F61" i="6"/>
  <c r="K60" i="6"/>
  <c r="F60" i="6"/>
  <c r="K59" i="6"/>
  <c r="F59" i="6"/>
  <c r="K58" i="6"/>
  <c r="F58" i="6"/>
  <c r="K57" i="6"/>
  <c r="F57" i="6"/>
  <c r="K56" i="6"/>
  <c r="F56" i="6"/>
  <c r="K55" i="6"/>
  <c r="F55" i="6"/>
  <c r="K54" i="6"/>
  <c r="F54" i="6"/>
  <c r="K53" i="6"/>
  <c r="F53" i="6"/>
  <c r="K52" i="6"/>
  <c r="F52" i="6"/>
  <c r="K51" i="6"/>
  <c r="F51" i="6"/>
  <c r="K50" i="6"/>
  <c r="F50" i="6"/>
  <c r="K49" i="6"/>
  <c r="F49" i="6"/>
  <c r="K48" i="6"/>
  <c r="F48" i="6"/>
  <c r="K47" i="6"/>
  <c r="F47" i="6"/>
  <c r="K46" i="6"/>
  <c r="F46" i="6"/>
  <c r="K45" i="6"/>
  <c r="F45" i="6"/>
  <c r="K44" i="6"/>
  <c r="K43" i="6"/>
  <c r="K42" i="6"/>
  <c r="K41" i="6"/>
  <c r="F41" i="6"/>
  <c r="K40" i="6"/>
  <c r="K39" i="6"/>
  <c r="K38" i="6"/>
  <c r="K37" i="6"/>
  <c r="F37" i="6"/>
  <c r="K36" i="6"/>
  <c r="F36" i="6"/>
  <c r="K35" i="6"/>
  <c r="F35" i="6"/>
  <c r="K34" i="6"/>
  <c r="F34" i="6"/>
  <c r="K33" i="6"/>
  <c r="F33" i="6"/>
  <c r="K32" i="6"/>
  <c r="K69" i="6" s="1"/>
  <c r="F32" i="6"/>
  <c r="K31" i="6"/>
  <c r="F31" i="6"/>
  <c r="K30" i="6"/>
  <c r="F30" i="6"/>
  <c r="K29" i="6"/>
  <c r="F29" i="6"/>
  <c r="K28" i="6"/>
  <c r="K70" i="6" s="1"/>
  <c r="L70" i="6" s="1"/>
  <c r="F28" i="6"/>
  <c r="K27" i="6"/>
  <c r="K26" i="6"/>
  <c r="F26" i="6"/>
  <c r="F70" i="6" s="1"/>
  <c r="G70" i="6" s="1"/>
  <c r="K25" i="6"/>
  <c r="K24" i="6"/>
  <c r="F24" i="6"/>
  <c r="K23" i="6"/>
  <c r="F23" i="6"/>
  <c r="K22" i="6"/>
  <c r="F22" i="6"/>
  <c r="K21" i="6"/>
  <c r="F21" i="6"/>
  <c r="K20" i="6"/>
  <c r="K19" i="6"/>
  <c r="F19" i="6"/>
  <c r="K18" i="6"/>
  <c r="F18" i="6"/>
  <c r="K17" i="6"/>
  <c r="F17" i="6"/>
  <c r="K16" i="6"/>
  <c r="F16" i="6"/>
  <c r="K15" i="6"/>
  <c r="F15" i="6"/>
  <c r="K14" i="6"/>
  <c r="K13" i="6"/>
  <c r="K12" i="6"/>
  <c r="K11" i="6"/>
  <c r="F66" i="6" l="1"/>
  <c r="K66" i="6"/>
  <c r="L69" i="6"/>
  <c r="K71" i="6"/>
  <c r="L71" i="6" s="1"/>
  <c r="F71" i="6"/>
  <c r="G71" i="6" s="1"/>
  <c r="F72" i="6" l="1"/>
  <c r="G72" i="6" s="1"/>
  <c r="K72" i="6"/>
  <c r="L72" i="6" s="1"/>
  <c r="N84" i="5" l="1"/>
  <c r="L84" i="5"/>
  <c r="K84" i="5"/>
  <c r="J84" i="5"/>
  <c r="M83" i="5"/>
  <c r="N83" i="5" s="1"/>
  <c r="N82" i="5"/>
  <c r="M82" i="5"/>
  <c r="M81" i="5"/>
  <c r="N81" i="5" s="1"/>
  <c r="N80" i="5"/>
  <c r="M80" i="5"/>
  <c r="N79" i="5"/>
  <c r="M79" i="5"/>
  <c r="M84" i="5" s="1"/>
  <c r="M78" i="5"/>
  <c r="N78" i="5" s="1"/>
  <c r="L72" i="5"/>
  <c r="AO70" i="5"/>
  <c r="AG70" i="5"/>
  <c r="O68" i="5"/>
  <c r="O72" i="5" s="1"/>
  <c r="N68" i="5"/>
  <c r="N72" i="5" s="1"/>
  <c r="L68" i="5"/>
  <c r="K68" i="5"/>
  <c r="J68" i="5"/>
  <c r="G68" i="5"/>
  <c r="G72" i="5" s="1"/>
  <c r="F68" i="5"/>
  <c r="F72" i="5" s="1"/>
  <c r="E68" i="5"/>
  <c r="E72" i="5" s="1"/>
  <c r="AC66" i="5"/>
  <c r="AE66" i="5" s="1"/>
  <c r="AB66" i="5"/>
  <c r="AD66" i="5" s="1"/>
  <c r="AA66" i="5"/>
  <c r="W66" i="5"/>
  <c r="M66" i="5"/>
  <c r="X66" i="5" s="1"/>
  <c r="I66" i="5"/>
  <c r="H66" i="5"/>
  <c r="AC65" i="5"/>
  <c r="AE65" i="5" s="1"/>
  <c r="AB65" i="5"/>
  <c r="AD65" i="5" s="1"/>
  <c r="AA65" i="5"/>
  <c r="W65" i="5"/>
  <c r="M65" i="5"/>
  <c r="X65" i="5" s="1"/>
  <c r="I65" i="5"/>
  <c r="H65" i="5"/>
  <c r="AC64" i="5"/>
  <c r="AE64" i="5" s="1"/>
  <c r="AB64" i="5"/>
  <c r="AD64" i="5" s="1"/>
  <c r="AA64" i="5"/>
  <c r="W64" i="5"/>
  <c r="M64" i="5"/>
  <c r="X64" i="5" s="1"/>
  <c r="I64" i="5"/>
  <c r="H64" i="5"/>
  <c r="AC63" i="5"/>
  <c r="AE63" i="5" s="1"/>
  <c r="AB63" i="5"/>
  <c r="AD63" i="5" s="1"/>
  <c r="AA63" i="5"/>
  <c r="W63" i="5"/>
  <c r="M63" i="5"/>
  <c r="X63" i="5" s="1"/>
  <c r="I63" i="5"/>
  <c r="H63" i="5"/>
  <c r="AC62" i="5"/>
  <c r="AE62" i="5" s="1"/>
  <c r="AB62" i="5"/>
  <c r="AD62" i="5" s="1"/>
  <c r="AF62" i="5" s="1"/>
  <c r="AA62" i="5"/>
  <c r="W62" i="5"/>
  <c r="M62" i="5"/>
  <c r="X62" i="5" s="1"/>
  <c r="I62" i="5"/>
  <c r="H62" i="5"/>
  <c r="AC61" i="5"/>
  <c r="AB61" i="5"/>
  <c r="AA61" i="5"/>
  <c r="W61" i="5"/>
  <c r="M61" i="5"/>
  <c r="X61" i="5" s="1"/>
  <c r="H61" i="5"/>
  <c r="D61" i="5"/>
  <c r="C61" i="5"/>
  <c r="B61" i="5"/>
  <c r="AC60" i="5"/>
  <c r="AB60" i="5"/>
  <c r="AA60" i="5"/>
  <c r="W60" i="5"/>
  <c r="M60" i="5"/>
  <c r="X60" i="5" s="1"/>
  <c r="H60" i="5"/>
  <c r="D60" i="5"/>
  <c r="D68" i="5" s="1"/>
  <c r="D72" i="5" s="1"/>
  <c r="C60" i="5"/>
  <c r="C68" i="5" s="1"/>
  <c r="C72" i="5" s="1"/>
  <c r="B60" i="5"/>
  <c r="AC59" i="5"/>
  <c r="AE59" i="5" s="1"/>
  <c r="AB59" i="5"/>
  <c r="AD59" i="5" s="1"/>
  <c r="AA59" i="5"/>
  <c r="W59" i="5"/>
  <c r="M59" i="5"/>
  <c r="X59" i="5" s="1"/>
  <c r="I59" i="5"/>
  <c r="H59" i="5"/>
  <c r="AC58" i="5"/>
  <c r="AE58" i="5" s="1"/>
  <c r="AB58" i="5"/>
  <c r="AD58" i="5" s="1"/>
  <c r="AF58" i="5" s="1"/>
  <c r="AA58" i="5"/>
  <c r="W58" i="5"/>
  <c r="M58" i="5"/>
  <c r="X58" i="5" s="1"/>
  <c r="I58" i="5"/>
  <c r="H58" i="5"/>
  <c r="AC57" i="5"/>
  <c r="AE57" i="5" s="1"/>
  <c r="AB57" i="5"/>
  <c r="AD57" i="5" s="1"/>
  <c r="AA57" i="5"/>
  <c r="X57" i="5"/>
  <c r="W57" i="5"/>
  <c r="M57" i="5"/>
  <c r="I57" i="5"/>
  <c r="H57" i="5"/>
  <c r="AC56" i="5"/>
  <c r="AE56" i="5" s="1"/>
  <c r="AB56" i="5"/>
  <c r="AD56" i="5" s="1"/>
  <c r="AA56" i="5"/>
  <c r="W56" i="5"/>
  <c r="M56" i="5"/>
  <c r="X56" i="5" s="1"/>
  <c r="I56" i="5"/>
  <c r="H56" i="5"/>
  <c r="AC55" i="5"/>
  <c r="AE55" i="5" s="1"/>
  <c r="AB55" i="5"/>
  <c r="AD55" i="5" s="1"/>
  <c r="AA55" i="5"/>
  <c r="X55" i="5"/>
  <c r="W55" i="5"/>
  <c r="M55" i="5"/>
  <c r="I55" i="5"/>
  <c r="H55" i="5"/>
  <c r="AC54" i="5"/>
  <c r="AE54" i="5" s="1"/>
  <c r="AB54" i="5"/>
  <c r="AD54" i="5" s="1"/>
  <c r="AA54" i="5"/>
  <c r="W54" i="5"/>
  <c r="M54" i="5"/>
  <c r="X54" i="5" s="1"/>
  <c r="I54" i="5"/>
  <c r="H54" i="5"/>
  <c r="AC53" i="5"/>
  <c r="AE53" i="5" s="1"/>
  <c r="AB53" i="5"/>
  <c r="AD53" i="5" s="1"/>
  <c r="AA53" i="5"/>
  <c r="W53" i="5"/>
  <c r="M53" i="5"/>
  <c r="X53" i="5" s="1"/>
  <c r="I53" i="5"/>
  <c r="H53" i="5"/>
  <c r="AD52" i="5"/>
  <c r="AC52" i="5"/>
  <c r="AE52" i="5" s="1"/>
  <c r="AB52" i="5"/>
  <c r="AA52" i="5"/>
  <c r="X52" i="5"/>
  <c r="W52" i="5"/>
  <c r="M52" i="5"/>
  <c r="I52" i="5"/>
  <c r="H52" i="5"/>
  <c r="AC51" i="5"/>
  <c r="AE51" i="5" s="1"/>
  <c r="AB51" i="5"/>
  <c r="AD51" i="5" s="1"/>
  <c r="AA51" i="5"/>
  <c r="W51" i="5"/>
  <c r="M51" i="5"/>
  <c r="X51" i="5" s="1"/>
  <c r="I51" i="5"/>
  <c r="H51" i="5"/>
  <c r="AC50" i="5"/>
  <c r="AE50" i="5" s="1"/>
  <c r="AB50" i="5"/>
  <c r="AD50" i="5" s="1"/>
  <c r="AA50" i="5"/>
  <c r="W50" i="5"/>
  <c r="M50" i="5"/>
  <c r="X50" i="5" s="1"/>
  <c r="I50" i="5"/>
  <c r="H50" i="5"/>
  <c r="AC49" i="5"/>
  <c r="AE49" i="5" s="1"/>
  <c r="AB49" i="5"/>
  <c r="AD49" i="5" s="1"/>
  <c r="AA49" i="5"/>
  <c r="W49" i="5"/>
  <c r="M49" i="5"/>
  <c r="X49" i="5" s="1"/>
  <c r="I49" i="5"/>
  <c r="H49" i="5"/>
  <c r="AC48" i="5"/>
  <c r="AE48" i="5" s="1"/>
  <c r="AB48" i="5"/>
  <c r="AD48" i="5" s="1"/>
  <c r="AA48" i="5"/>
  <c r="W48" i="5"/>
  <c r="M48" i="5"/>
  <c r="X48" i="5" s="1"/>
  <c r="I48" i="5"/>
  <c r="H48" i="5"/>
  <c r="AC47" i="5"/>
  <c r="AE47" i="5" s="1"/>
  <c r="AB47" i="5"/>
  <c r="AD47" i="5" s="1"/>
  <c r="AA47" i="5"/>
  <c r="W47" i="5"/>
  <c r="M47" i="5"/>
  <c r="X47" i="5" s="1"/>
  <c r="I47" i="5"/>
  <c r="H47" i="5"/>
  <c r="AC46" i="5"/>
  <c r="AE46" i="5" s="1"/>
  <c r="AB46" i="5"/>
  <c r="AD46" i="5" s="1"/>
  <c r="AF46" i="5" s="1"/>
  <c r="AA46" i="5"/>
  <c r="W46" i="5"/>
  <c r="M46" i="5"/>
  <c r="X46" i="5" s="1"/>
  <c r="I46" i="5"/>
  <c r="H46" i="5"/>
  <c r="AC45" i="5"/>
  <c r="AE45" i="5" s="1"/>
  <c r="AB45" i="5"/>
  <c r="AD45" i="5" s="1"/>
  <c r="AA45" i="5"/>
  <c r="W45" i="5"/>
  <c r="M45" i="5"/>
  <c r="X45" i="5" s="1"/>
  <c r="I45" i="5"/>
  <c r="H45" i="5"/>
  <c r="AN44" i="5"/>
  <c r="AM44" i="5"/>
  <c r="AL44" i="5"/>
  <c r="AC44" i="5"/>
  <c r="AE44" i="5" s="1"/>
  <c r="AB44" i="5"/>
  <c r="AD44" i="5" s="1"/>
  <c r="W44" i="5"/>
  <c r="M44" i="5"/>
  <c r="X44" i="5" s="1"/>
  <c r="I44" i="5"/>
  <c r="H44" i="5"/>
  <c r="AE43" i="5"/>
  <c r="AC43" i="5"/>
  <c r="AB43" i="5"/>
  <c r="AD43" i="5" s="1"/>
  <c r="AA43" i="5"/>
  <c r="W43" i="5"/>
  <c r="M43" i="5"/>
  <c r="X43" i="5" s="1"/>
  <c r="I43" i="5"/>
  <c r="H43" i="5"/>
  <c r="AB42" i="5"/>
  <c r="AD42" i="5" s="1"/>
  <c r="Z42" i="5"/>
  <c r="M42" i="5"/>
  <c r="X42" i="5" s="1"/>
  <c r="Q42" i="5" s="1"/>
  <c r="I42" i="5"/>
  <c r="H42" i="5"/>
  <c r="Z41" i="5"/>
  <c r="M41" i="5"/>
  <c r="X41" i="5" s="1"/>
  <c r="Q41" i="5" s="1"/>
  <c r="I41" i="5"/>
  <c r="H41" i="5"/>
  <c r="AC40" i="5"/>
  <c r="AE40" i="5" s="1"/>
  <c r="AB40" i="5"/>
  <c r="AD40" i="5" s="1"/>
  <c r="AA40" i="5"/>
  <c r="W40" i="5"/>
  <c r="M40" i="5"/>
  <c r="X40" i="5" s="1"/>
  <c r="I40" i="5"/>
  <c r="H40" i="5"/>
  <c r="AE39" i="5"/>
  <c r="AC39" i="5"/>
  <c r="AB39" i="5"/>
  <c r="AD39" i="5" s="1"/>
  <c r="AF39" i="5" s="1"/>
  <c r="P39" i="5" s="1"/>
  <c r="AA39" i="5"/>
  <c r="W39" i="5"/>
  <c r="M39" i="5"/>
  <c r="X39" i="5" s="1"/>
  <c r="I39" i="5"/>
  <c r="H39" i="5"/>
  <c r="AC38" i="5"/>
  <c r="AE38" i="5" s="1"/>
  <c r="AB38" i="5"/>
  <c r="AD38" i="5" s="1"/>
  <c r="AF38" i="5" s="1"/>
  <c r="AA38" i="5"/>
  <c r="W38" i="5"/>
  <c r="M38" i="5"/>
  <c r="X38" i="5" s="1"/>
  <c r="I38" i="5"/>
  <c r="H38" i="5"/>
  <c r="AC37" i="5"/>
  <c r="AE37" i="5" s="1"/>
  <c r="AB37" i="5"/>
  <c r="AD37" i="5" s="1"/>
  <c r="AA37" i="5"/>
  <c r="W37" i="5"/>
  <c r="M37" i="5"/>
  <c r="X37" i="5" s="1"/>
  <c r="I37" i="5"/>
  <c r="H37" i="5"/>
  <c r="AE36" i="5"/>
  <c r="AC36" i="5"/>
  <c r="AB36" i="5"/>
  <c r="AD36" i="5" s="1"/>
  <c r="AA36" i="5"/>
  <c r="W36" i="5"/>
  <c r="M36" i="5"/>
  <c r="X36" i="5" s="1"/>
  <c r="I36" i="5"/>
  <c r="H36" i="5"/>
  <c r="AC35" i="5"/>
  <c r="AE35" i="5" s="1"/>
  <c r="AB35" i="5"/>
  <c r="AD35" i="5" s="1"/>
  <c r="AA35" i="5"/>
  <c r="W35" i="5"/>
  <c r="M35" i="5"/>
  <c r="X35" i="5" s="1"/>
  <c r="I35" i="5"/>
  <c r="H35" i="5"/>
  <c r="AC34" i="5"/>
  <c r="AE34" i="5" s="1"/>
  <c r="AB34" i="5"/>
  <c r="AD34" i="5" s="1"/>
  <c r="AA34" i="5"/>
  <c r="W34" i="5"/>
  <c r="M34" i="5"/>
  <c r="X34" i="5" s="1"/>
  <c r="I34" i="5"/>
  <c r="H34" i="5"/>
  <c r="AD33" i="5"/>
  <c r="AC33" i="5"/>
  <c r="AE33" i="5" s="1"/>
  <c r="AB33" i="5"/>
  <c r="AA33" i="5"/>
  <c r="X33" i="5"/>
  <c r="W33" i="5"/>
  <c r="M33" i="5"/>
  <c r="I33" i="5"/>
  <c r="H33" i="5"/>
  <c r="AC32" i="5"/>
  <c r="AE32" i="5" s="1"/>
  <c r="AB32" i="5"/>
  <c r="AD32" i="5" s="1"/>
  <c r="AA32" i="5"/>
  <c r="W32" i="5"/>
  <c r="M32" i="5"/>
  <c r="X32" i="5" s="1"/>
  <c r="I32" i="5"/>
  <c r="H32" i="5"/>
  <c r="AC31" i="5"/>
  <c r="AE31" i="5" s="1"/>
  <c r="AB31" i="5"/>
  <c r="AD31" i="5" s="1"/>
  <c r="AF31" i="5" s="1"/>
  <c r="P31" i="5" s="1"/>
  <c r="AA31" i="5"/>
  <c r="W31" i="5"/>
  <c r="M31" i="5"/>
  <c r="X31" i="5" s="1"/>
  <c r="I31" i="5"/>
  <c r="H31" i="5"/>
  <c r="M30" i="5"/>
  <c r="X30" i="5" s="1"/>
  <c r="I30" i="5"/>
  <c r="H30" i="5"/>
  <c r="AC29" i="5"/>
  <c r="AE29" i="5" s="1"/>
  <c r="AB29" i="5"/>
  <c r="AD29" i="5" s="1"/>
  <c r="AA29" i="5"/>
  <c r="W29" i="5"/>
  <c r="M29" i="5"/>
  <c r="X29" i="5" s="1"/>
  <c r="I29" i="5"/>
  <c r="H29" i="5"/>
  <c r="AC28" i="5"/>
  <c r="AE28" i="5" s="1"/>
  <c r="AB28" i="5"/>
  <c r="AD28" i="5" s="1"/>
  <c r="AA28" i="5"/>
  <c r="W28" i="5"/>
  <c r="M28" i="5"/>
  <c r="X28" i="5" s="1"/>
  <c r="I28" i="5"/>
  <c r="H28" i="5"/>
  <c r="AC27" i="5"/>
  <c r="AE27" i="5" s="1"/>
  <c r="AB27" i="5"/>
  <c r="AD27" i="5" s="1"/>
  <c r="AA27" i="5"/>
  <c r="W27" i="5"/>
  <c r="M27" i="5"/>
  <c r="X27" i="5" s="1"/>
  <c r="I27" i="5"/>
  <c r="H27" i="5"/>
  <c r="AC26" i="5"/>
  <c r="AE26" i="5" s="1"/>
  <c r="AB26" i="5"/>
  <c r="AD26" i="5" s="1"/>
  <c r="AA26" i="5"/>
  <c r="W26" i="5"/>
  <c r="M26" i="5"/>
  <c r="X26" i="5" s="1"/>
  <c r="I26" i="5"/>
  <c r="H26" i="5"/>
  <c r="AC25" i="5"/>
  <c r="AE25" i="5" s="1"/>
  <c r="AB25" i="5"/>
  <c r="AD25" i="5" s="1"/>
  <c r="AA25" i="5"/>
  <c r="W25" i="5"/>
  <c r="M25" i="5"/>
  <c r="X25" i="5" s="1"/>
  <c r="I25" i="5"/>
  <c r="H25" i="5"/>
  <c r="AC24" i="5"/>
  <c r="AE24" i="5" s="1"/>
  <c r="AB24" i="5"/>
  <c r="AD24" i="5" s="1"/>
  <c r="AA24" i="5"/>
  <c r="W24" i="5"/>
  <c r="M24" i="5"/>
  <c r="X24" i="5" s="1"/>
  <c r="I24" i="5"/>
  <c r="H24" i="5"/>
  <c r="AC23" i="5"/>
  <c r="AE23" i="5" s="1"/>
  <c r="AB23" i="5"/>
  <c r="AD23" i="5" s="1"/>
  <c r="AF23" i="5" s="1"/>
  <c r="AA23" i="5"/>
  <c r="W23" i="5"/>
  <c r="M23" i="5"/>
  <c r="X23" i="5" s="1"/>
  <c r="I23" i="5"/>
  <c r="H23" i="5"/>
  <c r="AC22" i="5"/>
  <c r="AE22" i="5" s="1"/>
  <c r="AB22" i="5"/>
  <c r="AD22" i="5" s="1"/>
  <c r="AA22" i="5"/>
  <c r="W22" i="5"/>
  <c r="M22" i="5"/>
  <c r="X22" i="5" s="1"/>
  <c r="I22" i="5"/>
  <c r="H22" i="5"/>
  <c r="AC21" i="5"/>
  <c r="AE21" i="5" s="1"/>
  <c r="AF21" i="5" s="1"/>
  <c r="AB21" i="5"/>
  <c r="AD21" i="5" s="1"/>
  <c r="AA21" i="5"/>
  <c r="W21" i="5"/>
  <c r="M21" i="5"/>
  <c r="X21" i="5" s="1"/>
  <c r="I21" i="5"/>
  <c r="H21" i="5"/>
  <c r="AC20" i="5"/>
  <c r="AE20" i="5" s="1"/>
  <c r="AB20" i="5"/>
  <c r="AD20" i="5" s="1"/>
  <c r="AA20" i="5"/>
  <c r="W20" i="5"/>
  <c r="M20" i="5"/>
  <c r="X20" i="5" s="1"/>
  <c r="I20" i="5"/>
  <c r="H20" i="5"/>
  <c r="AC19" i="5"/>
  <c r="AE19" i="5" s="1"/>
  <c r="AB19" i="5"/>
  <c r="AD19" i="5" s="1"/>
  <c r="AA19" i="5"/>
  <c r="W19" i="5"/>
  <c r="M19" i="5"/>
  <c r="X19" i="5" s="1"/>
  <c r="I19" i="5"/>
  <c r="H19" i="5"/>
  <c r="AC18" i="5"/>
  <c r="AE18" i="5" s="1"/>
  <c r="AB18" i="5"/>
  <c r="AD18" i="5" s="1"/>
  <c r="AF18" i="5" s="1"/>
  <c r="AA18" i="5"/>
  <c r="W18" i="5"/>
  <c r="M18" i="5"/>
  <c r="X18" i="5" s="1"/>
  <c r="I18" i="5"/>
  <c r="H18" i="5"/>
  <c r="AC17" i="5"/>
  <c r="AE17" i="5" s="1"/>
  <c r="AB17" i="5"/>
  <c r="AD17" i="5" s="1"/>
  <c r="AA17" i="5"/>
  <c r="W17" i="5"/>
  <c r="M17" i="5"/>
  <c r="X17" i="5" s="1"/>
  <c r="I17" i="5"/>
  <c r="H17" i="5"/>
  <c r="AC16" i="5"/>
  <c r="AE16" i="5" s="1"/>
  <c r="AB16" i="5"/>
  <c r="AD16" i="5" s="1"/>
  <c r="AA16" i="5"/>
  <c r="W16" i="5"/>
  <c r="M16" i="5"/>
  <c r="X16" i="5" s="1"/>
  <c r="I16" i="5"/>
  <c r="H16" i="5"/>
  <c r="AC15" i="5"/>
  <c r="AE15" i="5" s="1"/>
  <c r="AB15" i="5"/>
  <c r="AD15" i="5" s="1"/>
  <c r="AF15" i="5" s="1"/>
  <c r="AH15" i="5" s="1"/>
  <c r="AA15" i="5"/>
  <c r="W15" i="5"/>
  <c r="M15" i="5"/>
  <c r="X15" i="5" s="1"/>
  <c r="I15" i="5"/>
  <c r="H15" i="5"/>
  <c r="AC14" i="5"/>
  <c r="AE14" i="5" s="1"/>
  <c r="AB14" i="5"/>
  <c r="AD14" i="5" s="1"/>
  <c r="AF14" i="5" s="1"/>
  <c r="AA14" i="5"/>
  <c r="W14" i="5"/>
  <c r="M14" i="5"/>
  <c r="I14" i="5"/>
  <c r="H14" i="5"/>
  <c r="AF25" i="5" l="1"/>
  <c r="AF64" i="5"/>
  <c r="AG64" i="5" s="1"/>
  <c r="AF49" i="5"/>
  <c r="AG49" i="5" s="1"/>
  <c r="AF33" i="5"/>
  <c r="P33" i="5" s="1"/>
  <c r="AF52" i="5"/>
  <c r="P52" i="5" s="1"/>
  <c r="P58" i="5"/>
  <c r="AF66" i="5"/>
  <c r="P66" i="5" s="1"/>
  <c r="Q66" i="5" s="1"/>
  <c r="AF20" i="5"/>
  <c r="AF16" i="5"/>
  <c r="P16" i="5" s="1"/>
  <c r="AF27" i="5"/>
  <c r="AG27" i="5" s="1"/>
  <c r="AF32" i="5"/>
  <c r="P32" i="5" s="1"/>
  <c r="Q32" i="5" s="1"/>
  <c r="AF40" i="5"/>
  <c r="AF51" i="5"/>
  <c r="P51" i="5" s="1"/>
  <c r="Q51" i="5" s="1"/>
  <c r="AD60" i="5"/>
  <c r="AF60" i="5" s="1"/>
  <c r="AH60" i="5" s="1"/>
  <c r="AE60" i="5"/>
  <c r="Q16" i="5"/>
  <c r="S16" i="5" s="1"/>
  <c r="AF35" i="5"/>
  <c r="P35" i="5" s="1"/>
  <c r="Q35" i="5" s="1"/>
  <c r="AF45" i="5"/>
  <c r="P45" i="5" s="1"/>
  <c r="Q45" i="5" s="1"/>
  <c r="AF17" i="5"/>
  <c r="AG17" i="5" s="1"/>
  <c r="AH33" i="5"/>
  <c r="AH45" i="5"/>
  <c r="AF57" i="5"/>
  <c r="AH57" i="5" s="1"/>
  <c r="AF22" i="5"/>
  <c r="P22" i="5" s="1"/>
  <c r="Q22" i="5" s="1"/>
  <c r="H68" i="5"/>
  <c r="H72" i="5" s="1"/>
  <c r="AH14" i="5"/>
  <c r="AH18" i="5"/>
  <c r="AH23" i="5"/>
  <c r="AF29" i="5"/>
  <c r="AH29" i="5" s="1"/>
  <c r="AH31" i="5"/>
  <c r="AF34" i="5"/>
  <c r="AH34" i="5" s="1"/>
  <c r="AF47" i="5"/>
  <c r="AG47" i="5" s="1"/>
  <c r="AF55" i="5"/>
  <c r="AG31" i="5"/>
  <c r="AG23" i="5"/>
  <c r="AI23" i="5" s="1"/>
  <c r="AK23" i="5" s="1"/>
  <c r="AG33" i="5"/>
  <c r="P27" i="5"/>
  <c r="Q27" i="5" s="1"/>
  <c r="P20" i="5"/>
  <c r="Q20" i="5" s="1"/>
  <c r="AG20" i="5"/>
  <c r="AI20" i="5" s="1"/>
  <c r="AK20" i="5" s="1"/>
  <c r="P14" i="5"/>
  <c r="P15" i="5"/>
  <c r="Q15" i="5" s="1"/>
  <c r="P18" i="5"/>
  <c r="Q18" i="5" s="1"/>
  <c r="AG18" i="5"/>
  <c r="AF28" i="5"/>
  <c r="P38" i="5"/>
  <c r="Q38" i="5" s="1"/>
  <c r="AG38" i="5"/>
  <c r="AH22" i="5"/>
  <c r="AG15" i="5"/>
  <c r="AI15" i="5" s="1"/>
  <c r="AK15" i="5" s="1"/>
  <c r="AH16" i="5"/>
  <c r="AG16" i="5"/>
  <c r="AF19" i="5"/>
  <c r="AG25" i="5"/>
  <c r="AI25" i="5" s="1"/>
  <c r="AK25" i="5" s="1"/>
  <c r="P25" i="5"/>
  <c r="Q25" i="5" s="1"/>
  <c r="AA30" i="5"/>
  <c r="AC30" i="5"/>
  <c r="AE30" i="5" s="1"/>
  <c r="AB30" i="5"/>
  <c r="AD30" i="5" s="1"/>
  <c r="AF30" i="5" s="1"/>
  <c r="W30" i="5"/>
  <c r="P17" i="5"/>
  <c r="Q17" i="5" s="1"/>
  <c r="AG21" i="5"/>
  <c r="P21" i="5"/>
  <c r="Q21" i="5" s="1"/>
  <c r="P29" i="5"/>
  <c r="Q29" i="5" s="1"/>
  <c r="AG29" i="5"/>
  <c r="AG34" i="5"/>
  <c r="AH21" i="5"/>
  <c r="P23" i="5"/>
  <c r="Q23" i="5" s="1"/>
  <c r="AF24" i="5"/>
  <c r="P40" i="5"/>
  <c r="AG40" i="5"/>
  <c r="S41" i="5"/>
  <c r="R41" i="5"/>
  <c r="AH62" i="5"/>
  <c r="P62" i="5"/>
  <c r="Q62" i="5" s="1"/>
  <c r="AG62" i="5"/>
  <c r="Q33" i="5"/>
  <c r="Q40" i="5"/>
  <c r="AH66" i="5"/>
  <c r="M68" i="5"/>
  <c r="X14" i="5"/>
  <c r="AF36" i="5"/>
  <c r="AH38" i="5"/>
  <c r="Q39" i="5"/>
  <c r="AG39" i="5"/>
  <c r="AH40" i="5"/>
  <c r="AC42" i="5"/>
  <c r="AE42" i="5" s="1"/>
  <c r="AF42" i="5" s="1"/>
  <c r="W42" i="5"/>
  <c r="AF59" i="5"/>
  <c r="Q31" i="5"/>
  <c r="AH46" i="5"/>
  <c r="AG46" i="5"/>
  <c r="P46" i="5"/>
  <c r="Q46" i="5" s="1"/>
  <c r="AF26" i="5"/>
  <c r="S42" i="5"/>
  <c r="R42" i="5"/>
  <c r="P47" i="5"/>
  <c r="Q47" i="5" s="1"/>
  <c r="AH51" i="5"/>
  <c r="AG51" i="5"/>
  <c r="AF44" i="5"/>
  <c r="AF54" i="5"/>
  <c r="AH54" i="5" s="1"/>
  <c r="AG57" i="5"/>
  <c r="AI57" i="5" s="1"/>
  <c r="AK57" i="5" s="1"/>
  <c r="AF65" i="5"/>
  <c r="AH65" i="5" s="1"/>
  <c r="AH39" i="5"/>
  <c r="AC41" i="5"/>
  <c r="AE41" i="5" s="1"/>
  <c r="W41" i="5"/>
  <c r="AB41" i="5"/>
  <c r="AD41" i="5" s="1"/>
  <c r="Q52" i="5"/>
  <c r="AG52" i="5"/>
  <c r="AF48" i="5"/>
  <c r="AH52" i="5"/>
  <c r="Q58" i="5"/>
  <c r="AG58" i="5"/>
  <c r="AE61" i="5"/>
  <c r="AD61" i="5"/>
  <c r="AF61" i="5" s="1"/>
  <c r="I61" i="5"/>
  <c r="AH64" i="5"/>
  <c r="P64" i="5"/>
  <c r="Q64" i="5" s="1"/>
  <c r="AH36" i="5"/>
  <c r="AF37" i="5"/>
  <c r="AF43" i="5"/>
  <c r="AH43" i="5" s="1"/>
  <c r="AH49" i="5"/>
  <c r="AF50" i="5"/>
  <c r="AF53" i="5"/>
  <c r="AF56" i="5"/>
  <c r="AH58" i="5"/>
  <c r="B68" i="5"/>
  <c r="B72" i="5" s="1"/>
  <c r="I60" i="5"/>
  <c r="J72" i="5"/>
  <c r="AF63" i="5"/>
  <c r="K72" i="5"/>
  <c r="B66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1" i="4"/>
  <c r="F37" i="4"/>
  <c r="F36" i="4"/>
  <c r="F35" i="4"/>
  <c r="F34" i="4"/>
  <c r="F33" i="4"/>
  <c r="F32" i="4"/>
  <c r="F69" i="4" s="1"/>
  <c r="F31" i="4"/>
  <c r="F30" i="4"/>
  <c r="F29" i="4"/>
  <c r="F28" i="4"/>
  <c r="F26" i="4"/>
  <c r="F70" i="4" s="1"/>
  <c r="G70" i="4" s="1"/>
  <c r="F24" i="4"/>
  <c r="F23" i="4"/>
  <c r="F22" i="4"/>
  <c r="F21" i="4"/>
  <c r="F19" i="4"/>
  <c r="F18" i="4"/>
  <c r="F17" i="4"/>
  <c r="F16" i="4"/>
  <c r="F15" i="4"/>
  <c r="E16" i="3"/>
  <c r="E15" i="3"/>
  <c r="E14" i="3"/>
  <c r="E13" i="3"/>
  <c r="L43" i="2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I43" i="2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F43" i="2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C43" i="2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D38" i="2"/>
  <c r="D39" i="2" s="1"/>
  <c r="D40" i="2" s="1"/>
  <c r="D26" i="2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G14" i="2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M13" i="2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J13" i="2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G13" i="2"/>
  <c r="I65" i="1" s="1"/>
  <c r="D13" i="2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L84" i="1"/>
  <c r="K84" i="1"/>
  <c r="J84" i="1"/>
  <c r="M83" i="1"/>
  <c r="N83" i="1" s="1"/>
  <c r="M82" i="1"/>
  <c r="N82" i="1" s="1"/>
  <c r="M81" i="1"/>
  <c r="N81" i="1" s="1"/>
  <c r="M80" i="1"/>
  <c r="N80" i="1" s="1"/>
  <c r="N79" i="1"/>
  <c r="M79" i="1"/>
  <c r="M78" i="1"/>
  <c r="N78" i="1" s="1"/>
  <c r="AO70" i="1"/>
  <c r="AG70" i="1"/>
  <c r="N68" i="1"/>
  <c r="N72" i="1" s="1"/>
  <c r="L68" i="1"/>
  <c r="K68" i="1"/>
  <c r="J68" i="1"/>
  <c r="J72" i="1" s="1"/>
  <c r="G68" i="1"/>
  <c r="G72" i="1" s="1"/>
  <c r="F68" i="1"/>
  <c r="F72" i="1" s="1"/>
  <c r="E68" i="1"/>
  <c r="E72" i="1" s="1"/>
  <c r="AC66" i="1"/>
  <c r="AB66" i="1"/>
  <c r="AA66" i="1"/>
  <c r="W66" i="1"/>
  <c r="M66" i="1"/>
  <c r="X66" i="1" s="1"/>
  <c r="I66" i="1"/>
  <c r="H66" i="1"/>
  <c r="AC65" i="1"/>
  <c r="AB65" i="1"/>
  <c r="AA65" i="1"/>
  <c r="W65" i="1"/>
  <c r="M65" i="1"/>
  <c r="X65" i="1" s="1"/>
  <c r="H65" i="1"/>
  <c r="AC64" i="1"/>
  <c r="AB64" i="1"/>
  <c r="AA64" i="1"/>
  <c r="W64" i="1"/>
  <c r="M64" i="1"/>
  <c r="X64" i="1" s="1"/>
  <c r="I64" i="1"/>
  <c r="H64" i="1"/>
  <c r="AC63" i="1"/>
  <c r="AB63" i="1"/>
  <c r="AA63" i="1"/>
  <c r="W63" i="1"/>
  <c r="M63" i="1"/>
  <c r="X63" i="1" s="1"/>
  <c r="I63" i="1"/>
  <c r="H63" i="1"/>
  <c r="AC62" i="1"/>
  <c r="AB62" i="1"/>
  <c r="AA62" i="1"/>
  <c r="W62" i="1"/>
  <c r="M62" i="1"/>
  <c r="X62" i="1" s="1"/>
  <c r="I62" i="1"/>
  <c r="H62" i="1"/>
  <c r="AC61" i="1"/>
  <c r="AB61" i="1"/>
  <c r="AA61" i="1"/>
  <c r="W61" i="1"/>
  <c r="M61" i="1"/>
  <c r="X61" i="1" s="1"/>
  <c r="H61" i="1"/>
  <c r="D61" i="1"/>
  <c r="C61" i="1"/>
  <c r="B61" i="1"/>
  <c r="AC60" i="1"/>
  <c r="AB60" i="1"/>
  <c r="AA60" i="1"/>
  <c r="W60" i="1"/>
  <c r="M60" i="1"/>
  <c r="X60" i="1" s="1"/>
  <c r="H60" i="1"/>
  <c r="D60" i="1"/>
  <c r="C60" i="1"/>
  <c r="B60" i="1"/>
  <c r="AC59" i="1"/>
  <c r="AB59" i="1"/>
  <c r="AA59" i="1"/>
  <c r="W59" i="1"/>
  <c r="M59" i="1"/>
  <c r="X59" i="1" s="1"/>
  <c r="I59" i="1"/>
  <c r="H59" i="1"/>
  <c r="AC58" i="1"/>
  <c r="AB58" i="1"/>
  <c r="AA58" i="1"/>
  <c r="W58" i="1"/>
  <c r="M58" i="1"/>
  <c r="X58" i="1" s="1"/>
  <c r="I58" i="1"/>
  <c r="H58" i="1"/>
  <c r="AC57" i="1"/>
  <c r="AB57" i="1"/>
  <c r="AA57" i="1"/>
  <c r="W57" i="1"/>
  <c r="M57" i="1"/>
  <c r="X57" i="1" s="1"/>
  <c r="I57" i="1"/>
  <c r="H57" i="1"/>
  <c r="AC56" i="1"/>
  <c r="AB56" i="1"/>
  <c r="AA56" i="1"/>
  <c r="W56" i="1"/>
  <c r="M56" i="1"/>
  <c r="X56" i="1" s="1"/>
  <c r="I56" i="1"/>
  <c r="H56" i="1"/>
  <c r="AC55" i="1"/>
  <c r="AB55" i="1"/>
  <c r="AA55" i="1"/>
  <c r="W55" i="1"/>
  <c r="M55" i="1"/>
  <c r="X55" i="1" s="1"/>
  <c r="I55" i="1"/>
  <c r="H55" i="1"/>
  <c r="AC54" i="1"/>
  <c r="AB54" i="1"/>
  <c r="AA54" i="1"/>
  <c r="W54" i="1"/>
  <c r="M54" i="1"/>
  <c r="X54" i="1" s="1"/>
  <c r="I54" i="1"/>
  <c r="H54" i="1"/>
  <c r="AC53" i="1"/>
  <c r="AB53" i="1"/>
  <c r="AA53" i="1"/>
  <c r="W53" i="1"/>
  <c r="M53" i="1"/>
  <c r="I53" i="1"/>
  <c r="H53" i="1"/>
  <c r="AC52" i="1"/>
  <c r="AB52" i="1"/>
  <c r="AA52" i="1"/>
  <c r="W52" i="1"/>
  <c r="M52" i="1"/>
  <c r="X52" i="1" s="1"/>
  <c r="I52" i="1"/>
  <c r="H52" i="1"/>
  <c r="AC51" i="1"/>
  <c r="AB51" i="1"/>
  <c r="AA51" i="1"/>
  <c r="W51" i="1"/>
  <c r="M51" i="1"/>
  <c r="I51" i="1"/>
  <c r="H51" i="1"/>
  <c r="AC50" i="1"/>
  <c r="AB50" i="1"/>
  <c r="AA50" i="1"/>
  <c r="W50" i="1"/>
  <c r="M50" i="1"/>
  <c r="X50" i="1" s="1"/>
  <c r="I50" i="1"/>
  <c r="H50" i="1"/>
  <c r="AC49" i="1"/>
  <c r="AB49" i="1"/>
  <c r="AA49" i="1"/>
  <c r="W49" i="1"/>
  <c r="M49" i="1"/>
  <c r="I49" i="1"/>
  <c r="H49" i="1"/>
  <c r="AC48" i="1"/>
  <c r="AB48" i="1"/>
  <c r="AA48" i="1"/>
  <c r="W48" i="1"/>
  <c r="M48" i="1"/>
  <c r="X48" i="1" s="1"/>
  <c r="I48" i="1"/>
  <c r="H48" i="1"/>
  <c r="AC47" i="1"/>
  <c r="AB47" i="1"/>
  <c r="AA47" i="1"/>
  <c r="W47" i="1"/>
  <c r="M47" i="1"/>
  <c r="X47" i="1" s="1"/>
  <c r="I47" i="1"/>
  <c r="H47" i="1"/>
  <c r="AC46" i="1"/>
  <c r="AB46" i="1"/>
  <c r="AA46" i="1"/>
  <c r="W46" i="1"/>
  <c r="M46" i="1"/>
  <c r="X46" i="1" s="1"/>
  <c r="I46" i="1"/>
  <c r="H46" i="1"/>
  <c r="AC45" i="1"/>
  <c r="AB45" i="1"/>
  <c r="AA45" i="1"/>
  <c r="W45" i="1"/>
  <c r="M45" i="1"/>
  <c r="X45" i="1" s="1"/>
  <c r="I45" i="1"/>
  <c r="H45" i="1"/>
  <c r="AN44" i="1"/>
  <c r="AM44" i="1"/>
  <c r="AL44" i="1"/>
  <c r="AC44" i="1"/>
  <c r="AE44" i="1" s="1"/>
  <c r="AB44" i="1"/>
  <c r="AD44" i="1" s="1"/>
  <c r="W44" i="1"/>
  <c r="M44" i="1"/>
  <c r="I44" i="1"/>
  <c r="H44" i="1"/>
  <c r="AC43" i="1"/>
  <c r="AB43" i="1"/>
  <c r="AA43" i="1"/>
  <c r="W43" i="1"/>
  <c r="M43" i="1"/>
  <c r="X43" i="1" s="1"/>
  <c r="I43" i="1"/>
  <c r="H43" i="1"/>
  <c r="Z42" i="1"/>
  <c r="M42" i="1"/>
  <c r="X42" i="1" s="1"/>
  <c r="Q42" i="1" s="1"/>
  <c r="S42" i="1" s="1"/>
  <c r="I42" i="1"/>
  <c r="H42" i="1"/>
  <c r="Z41" i="1"/>
  <c r="M41" i="1"/>
  <c r="I41" i="1"/>
  <c r="H41" i="1"/>
  <c r="AC40" i="1"/>
  <c r="AB40" i="1"/>
  <c r="AA40" i="1"/>
  <c r="W40" i="1"/>
  <c r="M40" i="1"/>
  <c r="I40" i="1"/>
  <c r="H40" i="1"/>
  <c r="AC39" i="1"/>
  <c r="AB39" i="1"/>
  <c r="AA39" i="1"/>
  <c r="W39" i="1"/>
  <c r="M39" i="1"/>
  <c r="X39" i="1" s="1"/>
  <c r="I39" i="1"/>
  <c r="H39" i="1"/>
  <c r="AC38" i="1"/>
  <c r="AB38" i="1"/>
  <c r="AA38" i="1"/>
  <c r="W38" i="1"/>
  <c r="M38" i="1"/>
  <c r="X38" i="1" s="1"/>
  <c r="I38" i="1"/>
  <c r="H38" i="1"/>
  <c r="AC37" i="1"/>
  <c r="AB37" i="1"/>
  <c r="AD37" i="1" s="1"/>
  <c r="AA37" i="1"/>
  <c r="W37" i="1"/>
  <c r="M37" i="1"/>
  <c r="X37" i="1" s="1"/>
  <c r="I37" i="1"/>
  <c r="H37" i="1"/>
  <c r="AC36" i="1"/>
  <c r="AB36" i="1"/>
  <c r="AD36" i="1" s="1"/>
  <c r="AA36" i="1"/>
  <c r="W36" i="1"/>
  <c r="M36" i="1"/>
  <c r="X36" i="1" s="1"/>
  <c r="I36" i="1"/>
  <c r="H36" i="1"/>
  <c r="AC35" i="1"/>
  <c r="AB35" i="1"/>
  <c r="AA35" i="1"/>
  <c r="W35" i="1"/>
  <c r="M35" i="1"/>
  <c r="X35" i="1" s="1"/>
  <c r="I35" i="1"/>
  <c r="H35" i="1"/>
  <c r="AC34" i="1"/>
  <c r="AB34" i="1"/>
  <c r="AD34" i="1" s="1"/>
  <c r="AA34" i="1"/>
  <c r="W34" i="1"/>
  <c r="M34" i="1"/>
  <c r="X34" i="1" s="1"/>
  <c r="I34" i="1"/>
  <c r="H34" i="1"/>
  <c r="AC33" i="1"/>
  <c r="AB33" i="1"/>
  <c r="AA33" i="1"/>
  <c r="W33" i="1"/>
  <c r="M33" i="1"/>
  <c r="X33" i="1" s="1"/>
  <c r="I33" i="1"/>
  <c r="H33" i="1"/>
  <c r="AC32" i="1"/>
  <c r="AE32" i="1" s="1"/>
  <c r="AB32" i="1"/>
  <c r="AD32" i="1" s="1"/>
  <c r="AA32" i="1"/>
  <c r="W32" i="1"/>
  <c r="M32" i="1"/>
  <c r="I32" i="1"/>
  <c r="H32" i="1"/>
  <c r="AC31" i="1"/>
  <c r="AE31" i="1" s="1"/>
  <c r="AB31" i="1"/>
  <c r="AA31" i="1"/>
  <c r="W31" i="1"/>
  <c r="M31" i="1"/>
  <c r="X31" i="1" s="1"/>
  <c r="I31" i="1"/>
  <c r="H31" i="1"/>
  <c r="AC30" i="1"/>
  <c r="M30" i="1"/>
  <c r="X30" i="1" s="1"/>
  <c r="I30" i="1"/>
  <c r="H30" i="1"/>
  <c r="AC29" i="1"/>
  <c r="AE29" i="1" s="1"/>
  <c r="AB29" i="1"/>
  <c r="AD29" i="1" s="1"/>
  <c r="AA29" i="1"/>
  <c r="W29" i="1"/>
  <c r="M29" i="1"/>
  <c r="I29" i="1"/>
  <c r="H29" i="1"/>
  <c r="AC28" i="1"/>
  <c r="AB28" i="1"/>
  <c r="AA28" i="1"/>
  <c r="W28" i="1"/>
  <c r="M28" i="1"/>
  <c r="X28" i="1" s="1"/>
  <c r="I28" i="1"/>
  <c r="H28" i="1"/>
  <c r="AC27" i="1"/>
  <c r="AB27" i="1"/>
  <c r="AA27" i="1"/>
  <c r="W27" i="1"/>
  <c r="M27" i="1"/>
  <c r="X27" i="1" s="1"/>
  <c r="I27" i="1"/>
  <c r="H27" i="1"/>
  <c r="AC26" i="1"/>
  <c r="AB26" i="1"/>
  <c r="AA26" i="1"/>
  <c r="X26" i="1"/>
  <c r="W26" i="1"/>
  <c r="M26" i="1"/>
  <c r="I26" i="1"/>
  <c r="H26" i="1"/>
  <c r="AC25" i="1"/>
  <c r="AB25" i="1"/>
  <c r="AA25" i="1"/>
  <c r="W25" i="1"/>
  <c r="M25" i="1"/>
  <c r="I25" i="1"/>
  <c r="H25" i="1"/>
  <c r="AC24" i="1"/>
  <c r="AB24" i="1"/>
  <c r="AA24" i="1"/>
  <c r="W24" i="1"/>
  <c r="M24" i="1"/>
  <c r="I24" i="1"/>
  <c r="H24" i="1"/>
  <c r="AC23" i="1"/>
  <c r="AB23" i="1"/>
  <c r="AA23" i="1"/>
  <c r="W23" i="1"/>
  <c r="M23" i="1"/>
  <c r="X23" i="1" s="1"/>
  <c r="I23" i="1"/>
  <c r="H23" i="1"/>
  <c r="AC22" i="1"/>
  <c r="AB22" i="1"/>
  <c r="AA22" i="1"/>
  <c r="W22" i="1"/>
  <c r="M22" i="1"/>
  <c r="X22" i="1" s="1"/>
  <c r="I22" i="1"/>
  <c r="H22" i="1"/>
  <c r="AC21" i="1"/>
  <c r="AB21" i="1"/>
  <c r="AD21" i="1" s="1"/>
  <c r="AA21" i="1"/>
  <c r="W21" i="1"/>
  <c r="M21" i="1"/>
  <c r="X21" i="1" s="1"/>
  <c r="I21" i="1"/>
  <c r="H21" i="1"/>
  <c r="AC20" i="1"/>
  <c r="AB20" i="1"/>
  <c r="AA20" i="1"/>
  <c r="W20" i="1"/>
  <c r="M20" i="1"/>
  <c r="X20" i="1" s="1"/>
  <c r="I20" i="1"/>
  <c r="H20" i="1"/>
  <c r="AC19" i="1"/>
  <c r="AB19" i="1"/>
  <c r="AD19" i="1" s="1"/>
  <c r="AA19" i="1"/>
  <c r="W19" i="1"/>
  <c r="M19" i="1"/>
  <c r="X19" i="1" s="1"/>
  <c r="I19" i="1"/>
  <c r="H19" i="1"/>
  <c r="AC18" i="1"/>
  <c r="AB18" i="1"/>
  <c r="AA18" i="1"/>
  <c r="W18" i="1"/>
  <c r="M18" i="1"/>
  <c r="X18" i="1" s="1"/>
  <c r="I18" i="1"/>
  <c r="H18" i="1"/>
  <c r="AC17" i="1"/>
  <c r="AB17" i="1"/>
  <c r="AA17" i="1"/>
  <c r="W17" i="1"/>
  <c r="M17" i="1"/>
  <c r="X17" i="1" s="1"/>
  <c r="I17" i="1"/>
  <c r="H17" i="1"/>
  <c r="AC16" i="1"/>
  <c r="AB16" i="1"/>
  <c r="AA16" i="1"/>
  <c r="W16" i="1"/>
  <c r="M16" i="1"/>
  <c r="X16" i="1" s="1"/>
  <c r="I16" i="1"/>
  <c r="H16" i="1"/>
  <c r="AC15" i="1"/>
  <c r="AB15" i="1"/>
  <c r="AA15" i="1"/>
  <c r="W15" i="1"/>
  <c r="M15" i="1"/>
  <c r="X15" i="1" s="1"/>
  <c r="I15" i="1"/>
  <c r="H15" i="1"/>
  <c r="AC14" i="1"/>
  <c r="AB14" i="1"/>
  <c r="AA14" i="1"/>
  <c r="W14" i="1"/>
  <c r="M14" i="1"/>
  <c r="I14" i="1"/>
  <c r="H14" i="1"/>
  <c r="P34" i="5" l="1"/>
  <c r="Q34" i="5" s="1"/>
  <c r="AG32" i="5"/>
  <c r="C68" i="1"/>
  <c r="C72" i="1" s="1"/>
  <c r="I68" i="5"/>
  <c r="I72" i="5" s="1"/>
  <c r="AG45" i="5"/>
  <c r="AI45" i="5" s="1"/>
  <c r="AK45" i="5" s="1"/>
  <c r="AL45" i="5" s="1"/>
  <c r="AM45" i="5" s="1"/>
  <c r="AN45" i="5" s="1"/>
  <c r="AH32" i="5"/>
  <c r="AI32" i="5" s="1"/>
  <c r="AK32" i="5" s="1"/>
  <c r="P49" i="5"/>
  <c r="Q49" i="5" s="1"/>
  <c r="S49" i="5" s="1"/>
  <c r="AH35" i="5"/>
  <c r="AF44" i="1"/>
  <c r="D68" i="1"/>
  <c r="D72" i="1" s="1"/>
  <c r="AH47" i="5"/>
  <c r="AI47" i="5" s="1"/>
  <c r="AK47" i="5" s="1"/>
  <c r="AG66" i="5"/>
  <c r="AH27" i="5"/>
  <c r="AI27" i="5" s="1"/>
  <c r="AK27" i="5" s="1"/>
  <c r="AI33" i="5"/>
  <c r="AK33" i="5" s="1"/>
  <c r="AL33" i="5" s="1"/>
  <c r="AM33" i="5" s="1"/>
  <c r="AN33" i="5" s="1"/>
  <c r="AI31" i="5"/>
  <c r="AK31" i="5" s="1"/>
  <c r="AL31" i="5" s="1"/>
  <c r="R16" i="5"/>
  <c r="P55" i="5"/>
  <c r="Q55" i="5" s="1"/>
  <c r="R55" i="5" s="1"/>
  <c r="AH55" i="5"/>
  <c r="AF41" i="5"/>
  <c r="AG41" i="5" s="1"/>
  <c r="AE68" i="5"/>
  <c r="AE72" i="5" s="1"/>
  <c r="AG22" i="5"/>
  <c r="AI22" i="5" s="1"/>
  <c r="AK22" i="5" s="1"/>
  <c r="AI18" i="5"/>
  <c r="AK18" i="5" s="1"/>
  <c r="AL18" i="5" s="1"/>
  <c r="AM18" i="5" s="1"/>
  <c r="AN18" i="5" s="1"/>
  <c r="AG35" i="5"/>
  <c r="AI35" i="5" s="1"/>
  <c r="AK35" i="5" s="1"/>
  <c r="AL35" i="5" s="1"/>
  <c r="AM35" i="5" s="1"/>
  <c r="AN35" i="5" s="1"/>
  <c r="P57" i="5"/>
  <c r="Q57" i="5" s="1"/>
  <c r="R57" i="5" s="1"/>
  <c r="AH17" i="5"/>
  <c r="AI17" i="5" s="1"/>
  <c r="AK17" i="5" s="1"/>
  <c r="AG55" i="5"/>
  <c r="S51" i="5"/>
  <c r="R51" i="5"/>
  <c r="S18" i="5"/>
  <c r="R18" i="5"/>
  <c r="AL15" i="5"/>
  <c r="AM15" i="5" s="1"/>
  <c r="AN15" i="5" s="1"/>
  <c r="S25" i="5"/>
  <c r="R25" i="5"/>
  <c r="S34" i="5"/>
  <c r="R34" i="5"/>
  <c r="AG42" i="5"/>
  <c r="AH42" i="5"/>
  <c r="S47" i="5"/>
  <c r="R47" i="5"/>
  <c r="S55" i="5"/>
  <c r="AG56" i="5"/>
  <c r="P56" i="5"/>
  <c r="Q56" i="5" s="1"/>
  <c r="AI49" i="5"/>
  <c r="AK49" i="5" s="1"/>
  <c r="S66" i="5"/>
  <c r="R66" i="5"/>
  <c r="AG61" i="5"/>
  <c r="P61" i="5"/>
  <c r="Q61" i="5" s="1"/>
  <c r="AH61" i="5"/>
  <c r="S58" i="5"/>
  <c r="R58" i="5"/>
  <c r="P44" i="5"/>
  <c r="Q44" i="5" s="1"/>
  <c r="AG44" i="5"/>
  <c r="AI44" i="5" s="1"/>
  <c r="AK44" i="5" s="1"/>
  <c r="AO44" i="5" s="1"/>
  <c r="AH56" i="5"/>
  <c r="S35" i="5"/>
  <c r="R35" i="5"/>
  <c r="AI40" i="5"/>
  <c r="AK40" i="5" s="1"/>
  <c r="R38" i="5"/>
  <c r="S38" i="5"/>
  <c r="S32" i="5"/>
  <c r="R32" i="5"/>
  <c r="M72" i="5"/>
  <c r="R46" i="5"/>
  <c r="S46" i="5"/>
  <c r="AI21" i="5"/>
  <c r="AK21" i="5" s="1"/>
  <c r="AI52" i="5"/>
  <c r="AK52" i="5" s="1"/>
  <c r="S52" i="5"/>
  <c r="R52" i="5"/>
  <c r="S31" i="5"/>
  <c r="R31" i="5"/>
  <c r="AL25" i="5"/>
  <c r="AM25" i="5" s="1"/>
  <c r="AN25" i="5" s="1"/>
  <c r="S27" i="5"/>
  <c r="R27" i="5"/>
  <c r="S64" i="5"/>
  <c r="R64" i="5"/>
  <c r="R62" i="5"/>
  <c r="S62" i="5"/>
  <c r="S57" i="5"/>
  <c r="AI58" i="5"/>
  <c r="AK58" i="5" s="1"/>
  <c r="P50" i="5"/>
  <c r="Q50" i="5" s="1"/>
  <c r="AG50" i="5"/>
  <c r="AH50" i="5"/>
  <c r="AG65" i="5"/>
  <c r="AI65" i="5" s="1"/>
  <c r="AK65" i="5" s="1"/>
  <c r="P65" i="5"/>
  <c r="Q65" i="5" s="1"/>
  <c r="AG26" i="5"/>
  <c r="P26" i="5"/>
  <c r="Q26" i="5" s="1"/>
  <c r="AH26" i="5"/>
  <c r="AI46" i="5"/>
  <c r="AK46" i="5" s="1"/>
  <c r="AL57" i="5"/>
  <c r="AM57" i="5" s="1"/>
  <c r="AN57" i="5" s="1"/>
  <c r="AI38" i="5"/>
  <c r="AK38" i="5" s="1"/>
  <c r="X68" i="5"/>
  <c r="X72" i="5" s="1"/>
  <c r="Q14" i="5"/>
  <c r="AL20" i="5"/>
  <c r="AM20" i="5" s="1"/>
  <c r="AN20" i="5" s="1"/>
  <c r="S33" i="5"/>
  <c r="R33" i="5"/>
  <c r="S23" i="5"/>
  <c r="R23" i="5"/>
  <c r="P30" i="5"/>
  <c r="Q30" i="5" s="1"/>
  <c r="AG30" i="5"/>
  <c r="AG19" i="5"/>
  <c r="P19" i="5"/>
  <c r="Q19" i="5" s="1"/>
  <c r="AH19" i="5"/>
  <c r="AL23" i="5"/>
  <c r="AM23" i="5" s="1"/>
  <c r="AN23" i="5" s="1"/>
  <c r="S29" i="5"/>
  <c r="R29" i="5"/>
  <c r="R15" i="5"/>
  <c r="S15" i="5"/>
  <c r="R22" i="5"/>
  <c r="S22" i="5"/>
  <c r="AG63" i="5"/>
  <c r="P63" i="5"/>
  <c r="Q63" i="5" s="1"/>
  <c r="AH63" i="5"/>
  <c r="AI34" i="5"/>
  <c r="AK34" i="5" s="1"/>
  <c r="AG28" i="5"/>
  <c r="AH28" i="5"/>
  <c r="P28" i="5"/>
  <c r="Q28" i="5" s="1"/>
  <c r="R17" i="5"/>
  <c r="S17" i="5"/>
  <c r="AG43" i="5"/>
  <c r="AI43" i="5" s="1"/>
  <c r="AK43" i="5" s="1"/>
  <c r="P43" i="5"/>
  <c r="Q43" i="5" s="1"/>
  <c r="AH53" i="5"/>
  <c r="AG53" i="5"/>
  <c r="P53" i="5"/>
  <c r="Q53" i="5" s="1"/>
  <c r="AG37" i="5"/>
  <c r="AH37" i="5"/>
  <c r="P37" i="5"/>
  <c r="Q37" i="5" s="1"/>
  <c r="AI64" i="5"/>
  <c r="AK64" i="5" s="1"/>
  <c r="P60" i="5"/>
  <c r="Q60" i="5" s="1"/>
  <c r="AG60" i="5"/>
  <c r="AI60" i="5" s="1"/>
  <c r="AK60" i="5" s="1"/>
  <c r="AG48" i="5"/>
  <c r="P48" i="5"/>
  <c r="Q48" i="5" s="1"/>
  <c r="AH48" i="5"/>
  <c r="AI39" i="5"/>
  <c r="AK39" i="5" s="1"/>
  <c r="AG54" i="5"/>
  <c r="AI54" i="5" s="1"/>
  <c r="AK54" i="5" s="1"/>
  <c r="P54" i="5"/>
  <c r="Q54" i="5" s="1"/>
  <c r="AI29" i="5"/>
  <c r="AK29" i="5" s="1"/>
  <c r="AI51" i="5"/>
  <c r="AK51" i="5" s="1"/>
  <c r="AH59" i="5"/>
  <c r="AG59" i="5"/>
  <c r="P59" i="5"/>
  <c r="Q59" i="5" s="1"/>
  <c r="S45" i="5"/>
  <c r="R45" i="5"/>
  <c r="R39" i="5"/>
  <c r="S39" i="5"/>
  <c r="P36" i="5"/>
  <c r="Q36" i="5" s="1"/>
  <c r="AG36" i="5"/>
  <c r="AI36" i="5" s="1"/>
  <c r="AK36" i="5" s="1"/>
  <c r="AI66" i="5"/>
  <c r="AK66" i="5" s="1"/>
  <c r="R40" i="5"/>
  <c r="S40" i="5"/>
  <c r="AI62" i="5"/>
  <c r="AK62" i="5" s="1"/>
  <c r="AG24" i="5"/>
  <c r="P24" i="5"/>
  <c r="Q24" i="5" s="1"/>
  <c r="AH24" i="5"/>
  <c r="S21" i="5"/>
  <c r="R21" i="5"/>
  <c r="AH30" i="5"/>
  <c r="AI16" i="5"/>
  <c r="AK16" i="5" s="1"/>
  <c r="AD68" i="5"/>
  <c r="AD72" i="5" s="1"/>
  <c r="AG14" i="5"/>
  <c r="S20" i="5"/>
  <c r="R20" i="5"/>
  <c r="F71" i="4"/>
  <c r="G71" i="4" s="1"/>
  <c r="F66" i="4"/>
  <c r="F72" i="4"/>
  <c r="G72" i="4" s="1"/>
  <c r="G69" i="4"/>
  <c r="AF29" i="1"/>
  <c r="AH29" i="1" s="1"/>
  <c r="L72" i="1"/>
  <c r="X25" i="1"/>
  <c r="X41" i="1"/>
  <c r="Q41" i="1" s="1"/>
  <c r="S41" i="1" s="1"/>
  <c r="X49" i="1"/>
  <c r="X29" i="1"/>
  <c r="X40" i="1"/>
  <c r="X44" i="1"/>
  <c r="AG44" i="1" s="1"/>
  <c r="AI44" i="1" s="1"/>
  <c r="AK44" i="1" s="1"/>
  <c r="AO44" i="1" s="1"/>
  <c r="X53" i="1"/>
  <c r="X24" i="1"/>
  <c r="X32" i="1"/>
  <c r="X51" i="1"/>
  <c r="O68" i="1"/>
  <c r="O72" i="1" s="1"/>
  <c r="AC41" i="1"/>
  <c r="W41" i="1"/>
  <c r="AB41" i="1"/>
  <c r="G36" i="2"/>
  <c r="AD39" i="1" s="1"/>
  <c r="AD22" i="1"/>
  <c r="AE22" i="1"/>
  <c r="AF32" i="1"/>
  <c r="H68" i="1"/>
  <c r="H72" i="1" s="1"/>
  <c r="W30" i="1"/>
  <c r="AB30" i="1"/>
  <c r="AD31" i="1"/>
  <c r="AF31" i="1" s="1"/>
  <c r="AE34" i="1"/>
  <c r="AF34" i="1" s="1"/>
  <c r="AE36" i="1"/>
  <c r="AF36" i="1" s="1"/>
  <c r="AE37" i="1"/>
  <c r="AF37" i="1" s="1"/>
  <c r="R42" i="1"/>
  <c r="AB42" i="1"/>
  <c r="P44" i="1"/>
  <c r="M68" i="1"/>
  <c r="X14" i="1"/>
  <c r="AA30" i="1"/>
  <c r="AC42" i="1"/>
  <c r="W42" i="1"/>
  <c r="D41" i="2"/>
  <c r="N84" i="1"/>
  <c r="I61" i="1"/>
  <c r="B68" i="1"/>
  <c r="B72" i="1" s="1"/>
  <c r="I60" i="1"/>
  <c r="J44" i="2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K72" i="1"/>
  <c r="M84" i="1"/>
  <c r="R49" i="5" l="1"/>
  <c r="AM31" i="5"/>
  <c r="AN31" i="5" s="1"/>
  <c r="AO31" i="5"/>
  <c r="AO33" i="5"/>
  <c r="AO18" i="5"/>
  <c r="AH41" i="5"/>
  <c r="AI41" i="5" s="1"/>
  <c r="AM41" i="5" s="1"/>
  <c r="AN41" i="5" s="1"/>
  <c r="AO25" i="5"/>
  <c r="AI55" i="5"/>
  <c r="AK55" i="5" s="1"/>
  <c r="AF68" i="5"/>
  <c r="AF72" i="5" s="1"/>
  <c r="AO15" i="5"/>
  <c r="AO57" i="5"/>
  <c r="P29" i="1"/>
  <c r="AG29" i="1"/>
  <c r="AI29" i="1" s="1"/>
  <c r="AK29" i="1" s="1"/>
  <c r="AL39" i="5"/>
  <c r="AM39" i="5" s="1"/>
  <c r="AN39" i="5" s="1"/>
  <c r="AL60" i="5"/>
  <c r="AM60" i="5" s="1"/>
  <c r="AN60" i="5" s="1"/>
  <c r="AL29" i="5"/>
  <c r="AM29" i="5" s="1"/>
  <c r="AN29" i="5" s="1"/>
  <c r="AL46" i="5"/>
  <c r="AM46" i="5" s="1"/>
  <c r="AN46" i="5" s="1"/>
  <c r="AL32" i="5"/>
  <c r="AM32" i="5" s="1"/>
  <c r="AN32" i="5" s="1"/>
  <c r="AL40" i="5"/>
  <c r="AM40" i="5" s="1"/>
  <c r="AN40" i="5" s="1"/>
  <c r="AL36" i="5"/>
  <c r="AM36" i="5" s="1"/>
  <c r="AN36" i="5" s="1"/>
  <c r="AO36" i="5"/>
  <c r="AL54" i="5"/>
  <c r="AM54" i="5" s="1"/>
  <c r="AN54" i="5" s="1"/>
  <c r="AL43" i="5"/>
  <c r="AM43" i="5" s="1"/>
  <c r="AN43" i="5" s="1"/>
  <c r="AL52" i="5"/>
  <c r="AM52" i="5" s="1"/>
  <c r="AN52" i="5" s="1"/>
  <c r="AL51" i="5"/>
  <c r="AM51" i="5" s="1"/>
  <c r="AN51" i="5" s="1"/>
  <c r="AL21" i="5"/>
  <c r="AM21" i="5" s="1"/>
  <c r="AN21" i="5" s="1"/>
  <c r="AL47" i="5"/>
  <c r="AM47" i="5" s="1"/>
  <c r="AN47" i="5" s="1"/>
  <c r="AL38" i="5"/>
  <c r="AM38" i="5" s="1"/>
  <c r="AN38" i="5" s="1"/>
  <c r="AL65" i="5"/>
  <c r="AM65" i="5" s="1"/>
  <c r="AN65" i="5" s="1"/>
  <c r="AL17" i="5"/>
  <c r="AM17" i="5" s="1"/>
  <c r="AN17" i="5" s="1"/>
  <c r="AL16" i="5"/>
  <c r="AM16" i="5" s="1"/>
  <c r="AN16" i="5" s="1"/>
  <c r="AL66" i="5"/>
  <c r="AM66" i="5" s="1"/>
  <c r="AN66" i="5" s="1"/>
  <c r="AL64" i="5"/>
  <c r="AM64" i="5" s="1"/>
  <c r="AN64" i="5" s="1"/>
  <c r="R28" i="5"/>
  <c r="S28" i="5"/>
  <c r="AL27" i="5"/>
  <c r="AM27" i="5" s="1"/>
  <c r="AN27" i="5" s="1"/>
  <c r="AI26" i="5"/>
  <c r="AK26" i="5" s="1"/>
  <c r="P68" i="5"/>
  <c r="P72" i="5" s="1"/>
  <c r="AI61" i="5"/>
  <c r="AK61" i="5" s="1"/>
  <c r="AI24" i="5"/>
  <c r="AK24" i="5"/>
  <c r="AI28" i="5"/>
  <c r="AK28" i="5" s="1"/>
  <c r="AI19" i="5"/>
  <c r="AK19" i="5" s="1"/>
  <c r="AL41" i="5"/>
  <c r="AL22" i="5"/>
  <c r="AM22" i="5" s="1"/>
  <c r="AN22" i="5" s="1"/>
  <c r="R44" i="5"/>
  <c r="S44" i="5"/>
  <c r="AL49" i="5"/>
  <c r="AM49" i="5" s="1"/>
  <c r="AN49" i="5" s="1"/>
  <c r="AI42" i="5"/>
  <c r="AM42" i="5" s="1"/>
  <c r="AN42" i="5" s="1"/>
  <c r="AL42" i="5"/>
  <c r="AG68" i="5"/>
  <c r="AG72" i="5" s="1"/>
  <c r="AI14" i="5"/>
  <c r="S36" i="5"/>
  <c r="R36" i="5"/>
  <c r="S54" i="5"/>
  <c r="R54" i="5"/>
  <c r="AI48" i="5"/>
  <c r="AK48" i="5" s="1"/>
  <c r="S60" i="5"/>
  <c r="R60" i="5"/>
  <c r="AI37" i="5"/>
  <c r="AK37" i="5" s="1"/>
  <c r="AI53" i="5"/>
  <c r="AK53" i="5" s="1"/>
  <c r="AI63" i="5"/>
  <c r="AK63" i="5" s="1"/>
  <c r="AO23" i="5"/>
  <c r="S65" i="5"/>
  <c r="R65" i="5"/>
  <c r="AI50" i="5"/>
  <c r="AK50" i="5" s="1"/>
  <c r="AI56" i="5"/>
  <c r="AK56" i="5" s="1"/>
  <c r="S56" i="5"/>
  <c r="R56" i="5"/>
  <c r="AO45" i="5"/>
  <c r="AL62" i="5"/>
  <c r="AM62" i="5" s="1"/>
  <c r="AN62" i="5" s="1"/>
  <c r="S59" i="5"/>
  <c r="R59" i="5"/>
  <c r="R48" i="5"/>
  <c r="S48" i="5"/>
  <c r="R43" i="5"/>
  <c r="S43" i="5"/>
  <c r="S63" i="5"/>
  <c r="R63" i="5"/>
  <c r="S53" i="5"/>
  <c r="R53" i="5"/>
  <c r="AL34" i="5"/>
  <c r="AM34" i="5" s="1"/>
  <c r="AN34" i="5" s="1"/>
  <c r="R30" i="5"/>
  <c r="S30" i="5"/>
  <c r="AO20" i="5"/>
  <c r="R26" i="5"/>
  <c r="S26" i="5"/>
  <c r="R50" i="5"/>
  <c r="S50" i="5"/>
  <c r="S61" i="5"/>
  <c r="R61" i="5"/>
  <c r="AI30" i="5"/>
  <c r="AK30" i="5" s="1"/>
  <c r="S24" i="5"/>
  <c r="R24" i="5"/>
  <c r="AI59" i="5"/>
  <c r="AK59" i="5" s="1"/>
  <c r="R37" i="5"/>
  <c r="S37" i="5"/>
  <c r="R19" i="5"/>
  <c r="S19" i="5"/>
  <c r="Q68" i="5"/>
  <c r="Q72" i="5" s="1"/>
  <c r="S14" i="5"/>
  <c r="R14" i="5"/>
  <c r="AL58" i="5"/>
  <c r="AM58" i="5" s="1"/>
  <c r="AN58" i="5" s="1"/>
  <c r="AO58" i="5"/>
  <c r="AO35" i="5"/>
  <c r="Q44" i="1"/>
  <c r="R44" i="1" s="1"/>
  <c r="I68" i="1"/>
  <c r="I72" i="1" s="1"/>
  <c r="Q29" i="1"/>
  <c r="R29" i="1" s="1"/>
  <c r="R41" i="1"/>
  <c r="AL29" i="1"/>
  <c r="AM29" i="1" s="1"/>
  <c r="AN29" i="1" s="1"/>
  <c r="AG34" i="1"/>
  <c r="P34" i="1"/>
  <c r="Q34" i="1" s="1"/>
  <c r="AH34" i="1"/>
  <c r="AG31" i="1"/>
  <c r="P31" i="1"/>
  <c r="Q31" i="1" s="1"/>
  <c r="AH31" i="1"/>
  <c r="D42" i="2"/>
  <c r="AG37" i="1"/>
  <c r="P37" i="1"/>
  <c r="Q37" i="1" s="1"/>
  <c r="AH37" i="1"/>
  <c r="AF22" i="1"/>
  <c r="X68" i="1"/>
  <c r="X72" i="1" s="1"/>
  <c r="AG36" i="1"/>
  <c r="P36" i="1"/>
  <c r="Q36" i="1" s="1"/>
  <c r="AH36" i="1"/>
  <c r="M72" i="1"/>
  <c r="AH32" i="1"/>
  <c r="P32" i="1"/>
  <c r="Q32" i="1" s="1"/>
  <c r="AG32" i="1"/>
  <c r="G37" i="2"/>
  <c r="AE19" i="1"/>
  <c r="AF19" i="1" s="1"/>
  <c r="AD38" i="1"/>
  <c r="AE21" i="1"/>
  <c r="AF21" i="1" s="1"/>
  <c r="AO47" i="5" l="1"/>
  <c r="AO29" i="5"/>
  <c r="AO27" i="5"/>
  <c r="AO65" i="5"/>
  <c r="AO34" i="5"/>
  <c r="AO49" i="5"/>
  <c r="AO22" i="5"/>
  <c r="AO32" i="5"/>
  <c r="AL55" i="5"/>
  <c r="AM55" i="5" s="1"/>
  <c r="AN55" i="5" s="1"/>
  <c r="AO17" i="5"/>
  <c r="R68" i="5"/>
  <c r="R72" i="5" s="1"/>
  <c r="AO51" i="5"/>
  <c r="AO40" i="5"/>
  <c r="AO46" i="5"/>
  <c r="AL28" i="5"/>
  <c r="AM28" i="5" s="1"/>
  <c r="AN28" i="5" s="1"/>
  <c r="AL48" i="5"/>
  <c r="AM48" i="5" s="1"/>
  <c r="AN48" i="5" s="1"/>
  <c r="AL30" i="5"/>
  <c r="AM30" i="5" s="1"/>
  <c r="AN30" i="5" s="1"/>
  <c r="AL50" i="5"/>
  <c r="AM50" i="5" s="1"/>
  <c r="AN50" i="5" s="1"/>
  <c r="AL63" i="5"/>
  <c r="AM63" i="5" s="1"/>
  <c r="AN63" i="5" s="1"/>
  <c r="AL19" i="5"/>
  <c r="AM19" i="5" s="1"/>
  <c r="AN19" i="5" s="1"/>
  <c r="AL61" i="5"/>
  <c r="AM61" i="5" s="1"/>
  <c r="AN61" i="5" s="1"/>
  <c r="AL59" i="5"/>
  <c r="AM59" i="5" s="1"/>
  <c r="AN59" i="5" s="1"/>
  <c r="AL37" i="5"/>
  <c r="AM37" i="5" s="1"/>
  <c r="AN37" i="5" s="1"/>
  <c r="AL53" i="5"/>
  <c r="AM53" i="5" s="1"/>
  <c r="AN53" i="5" s="1"/>
  <c r="AL26" i="5"/>
  <c r="AM26" i="5" s="1"/>
  <c r="AN26" i="5" s="1"/>
  <c r="S68" i="5"/>
  <c r="S72" i="5" s="1"/>
  <c r="AO42" i="5"/>
  <c r="AO62" i="5"/>
  <c r="AO41" i="5"/>
  <c r="AO66" i="5"/>
  <c r="AO38" i="5"/>
  <c r="AO21" i="5"/>
  <c r="AO52" i="5"/>
  <c r="AO54" i="5"/>
  <c r="AO60" i="5"/>
  <c r="AL56" i="5"/>
  <c r="AM56" i="5" s="1"/>
  <c r="AN56" i="5" s="1"/>
  <c r="AI68" i="5"/>
  <c r="AI72" i="5" s="1"/>
  <c r="AK14" i="5"/>
  <c r="AL24" i="5"/>
  <c r="AM24" i="5" s="1"/>
  <c r="AN24" i="5" s="1"/>
  <c r="AO64" i="5"/>
  <c r="AO16" i="5"/>
  <c r="AO43" i="5"/>
  <c r="AO39" i="5"/>
  <c r="S29" i="1"/>
  <c r="S44" i="1"/>
  <c r="AG19" i="1"/>
  <c r="AH19" i="1"/>
  <c r="P19" i="1"/>
  <c r="Q19" i="1" s="1"/>
  <c r="AI36" i="1"/>
  <c r="AK36" i="1" s="1"/>
  <c r="S37" i="1"/>
  <c r="R37" i="1"/>
  <c r="S31" i="1"/>
  <c r="R31" i="1"/>
  <c r="R34" i="1"/>
  <c r="S34" i="1"/>
  <c r="AG21" i="1"/>
  <c r="P21" i="1"/>
  <c r="Q21" i="1" s="1"/>
  <c r="AH21" i="1"/>
  <c r="R36" i="1"/>
  <c r="S36" i="1"/>
  <c r="AH22" i="1"/>
  <c r="P22" i="1"/>
  <c r="Q22" i="1" s="1"/>
  <c r="AG22" i="1"/>
  <c r="AI32" i="1"/>
  <c r="AK32" i="1" s="1"/>
  <c r="AI31" i="1"/>
  <c r="AK31" i="1" s="1"/>
  <c r="G38" i="2"/>
  <c r="G39" i="2" s="1"/>
  <c r="G40" i="2" s="1"/>
  <c r="AE39" i="1"/>
  <c r="AF39" i="1" s="1"/>
  <c r="AE38" i="1"/>
  <c r="AF38" i="1" s="1"/>
  <c r="R32" i="1"/>
  <c r="S32" i="1"/>
  <c r="AI37" i="1"/>
  <c r="AK37" i="1" s="1"/>
  <c r="D43" i="2"/>
  <c r="AO29" i="1"/>
  <c r="AI34" i="1"/>
  <c r="AK34" i="1" s="1"/>
  <c r="AO59" i="5" l="1"/>
  <c r="AO63" i="5"/>
  <c r="AO24" i="5"/>
  <c r="AO56" i="5"/>
  <c r="AO53" i="5"/>
  <c r="AO61" i="5"/>
  <c r="T31" i="5"/>
  <c r="T42" i="5"/>
  <c r="T38" i="5"/>
  <c r="T64" i="5"/>
  <c r="T52" i="5"/>
  <c r="T53" i="5"/>
  <c r="T41" i="5"/>
  <c r="T44" i="5"/>
  <c r="T54" i="5"/>
  <c r="T34" i="5"/>
  <c r="T65" i="5"/>
  <c r="T19" i="5"/>
  <c r="T35" i="5"/>
  <c r="T46" i="5"/>
  <c r="T62" i="5"/>
  <c r="AO55" i="5"/>
  <c r="T17" i="5"/>
  <c r="T23" i="5"/>
  <c r="T63" i="5"/>
  <c r="T29" i="5"/>
  <c r="T51" i="5"/>
  <c r="T22" i="5"/>
  <c r="T33" i="5"/>
  <c r="T56" i="5"/>
  <c r="T28" i="5"/>
  <c r="T43" i="5"/>
  <c r="T18" i="5"/>
  <c r="T61" i="5"/>
  <c r="T45" i="5"/>
  <c r="T55" i="5"/>
  <c r="T26" i="5"/>
  <c r="T25" i="5"/>
  <c r="T14" i="5"/>
  <c r="T32" i="5"/>
  <c r="T37" i="5"/>
  <c r="T48" i="5"/>
  <c r="T27" i="5"/>
  <c r="T36" i="5"/>
  <c r="T47" i="5"/>
  <c r="T59" i="5"/>
  <c r="T60" i="5"/>
  <c r="AO26" i="5"/>
  <c r="AK68" i="5"/>
  <c r="AL14" i="5"/>
  <c r="AO19" i="5"/>
  <c r="AO50" i="5"/>
  <c r="AO48" i="5"/>
  <c r="T15" i="5"/>
  <c r="T21" i="5"/>
  <c r="T16" i="5"/>
  <c r="T30" i="5"/>
  <c r="T24" i="5"/>
  <c r="T39" i="5"/>
  <c r="T50" i="5"/>
  <c r="T20" i="5"/>
  <c r="T58" i="5"/>
  <c r="T40" i="5"/>
  <c r="T49" i="5"/>
  <c r="T57" i="5"/>
  <c r="T66" i="5"/>
  <c r="AO37" i="5"/>
  <c r="AO30" i="5"/>
  <c r="AO28" i="5"/>
  <c r="AG38" i="1"/>
  <c r="P38" i="1"/>
  <c r="Q38" i="1" s="1"/>
  <c r="AH38" i="1"/>
  <c r="AL32" i="1"/>
  <c r="AM32" i="1" s="1"/>
  <c r="AN32" i="1" s="1"/>
  <c r="AL36" i="1"/>
  <c r="AM36" i="1" s="1"/>
  <c r="AN36" i="1" s="1"/>
  <c r="AL37" i="1"/>
  <c r="AM37" i="1" s="1"/>
  <c r="AN37" i="1" s="1"/>
  <c r="AL34" i="1"/>
  <c r="AM34" i="1" s="1"/>
  <c r="AN34" i="1" s="1"/>
  <c r="D44" i="2"/>
  <c r="G41" i="2"/>
  <c r="AD54" i="1"/>
  <c r="AD57" i="1"/>
  <c r="AD55" i="1"/>
  <c r="AD56" i="1"/>
  <c r="R19" i="1"/>
  <c r="S19" i="1"/>
  <c r="AL31" i="1"/>
  <c r="AM31" i="1" s="1"/>
  <c r="AN31" i="1" s="1"/>
  <c r="R22" i="1"/>
  <c r="S22" i="1"/>
  <c r="AI21" i="1"/>
  <c r="AK21" i="1" s="1"/>
  <c r="AI19" i="1"/>
  <c r="AK19" i="1" s="1"/>
  <c r="AG39" i="1"/>
  <c r="P39" i="1"/>
  <c r="Q39" i="1" s="1"/>
  <c r="AH39" i="1"/>
  <c r="AI22" i="1"/>
  <c r="AK22" i="1" s="1"/>
  <c r="S21" i="1"/>
  <c r="R21" i="1"/>
  <c r="AL68" i="5" l="1"/>
  <c r="AL72" i="5" s="1"/>
  <c r="AM14" i="5"/>
  <c r="AK72" i="5"/>
  <c r="T68" i="5"/>
  <c r="AO34" i="1"/>
  <c r="AO36" i="1"/>
  <c r="AO32" i="1"/>
  <c r="AL19" i="1"/>
  <c r="AM19" i="1" s="1"/>
  <c r="AN19" i="1" s="1"/>
  <c r="AL22" i="1"/>
  <c r="AM22" i="1" s="1"/>
  <c r="AN22" i="1" s="1"/>
  <c r="D45" i="2"/>
  <c r="AI39" i="1"/>
  <c r="AK39" i="1" s="1"/>
  <c r="AI38" i="1"/>
  <c r="AK38" i="1" s="1"/>
  <c r="S39" i="1"/>
  <c r="R39" i="1"/>
  <c r="AO31" i="1"/>
  <c r="G42" i="2"/>
  <c r="AE57" i="1"/>
  <c r="AF57" i="1" s="1"/>
  <c r="AE55" i="1"/>
  <c r="AF55" i="1" s="1"/>
  <c r="AD18" i="1"/>
  <c r="AD51" i="1"/>
  <c r="AD52" i="1"/>
  <c r="AE56" i="1"/>
  <c r="AF56" i="1" s="1"/>
  <c r="AE54" i="1"/>
  <c r="AF54" i="1" s="1"/>
  <c r="AD53" i="1"/>
  <c r="R38" i="1"/>
  <c r="S38" i="1"/>
  <c r="AL21" i="1"/>
  <c r="AM21" i="1" s="1"/>
  <c r="AN21" i="1" s="1"/>
  <c r="AO37" i="1"/>
  <c r="U66" i="5" l="1"/>
  <c r="V66" i="5" s="1"/>
  <c r="U64" i="5"/>
  <c r="V64" i="5" s="1"/>
  <c r="U62" i="5"/>
  <c r="V62" i="5" s="1"/>
  <c r="U59" i="5"/>
  <c r="V59" i="5" s="1"/>
  <c r="U57" i="5"/>
  <c r="V57" i="5" s="1"/>
  <c r="U55" i="5"/>
  <c r="V55" i="5" s="1"/>
  <c r="U53" i="5"/>
  <c r="V53" i="5" s="1"/>
  <c r="U51" i="5"/>
  <c r="V51" i="5" s="1"/>
  <c r="U61" i="5"/>
  <c r="V61" i="5" s="1"/>
  <c r="U60" i="5"/>
  <c r="V60" i="5" s="1"/>
  <c r="T72" i="5"/>
  <c r="U65" i="5"/>
  <c r="V65" i="5" s="1"/>
  <c r="U50" i="5"/>
  <c r="V50" i="5" s="1"/>
  <c r="U48" i="5"/>
  <c r="V48" i="5" s="1"/>
  <c r="U46" i="5"/>
  <c r="V46" i="5" s="1"/>
  <c r="U52" i="5"/>
  <c r="V52" i="5" s="1"/>
  <c r="U47" i="5"/>
  <c r="V47" i="5" s="1"/>
  <c r="U34" i="5"/>
  <c r="V34" i="5" s="1"/>
  <c r="U32" i="5"/>
  <c r="V32" i="5" s="1"/>
  <c r="U24" i="5"/>
  <c r="V24" i="5" s="1"/>
  <c r="U22" i="5"/>
  <c r="V22" i="5" s="1"/>
  <c r="U54" i="5"/>
  <c r="V54" i="5" s="1"/>
  <c r="U45" i="5"/>
  <c r="V45" i="5" s="1"/>
  <c r="U41" i="5"/>
  <c r="V41" i="5" s="1"/>
  <c r="U40" i="5"/>
  <c r="V40" i="5" s="1"/>
  <c r="U56" i="5"/>
  <c r="V56" i="5" s="1"/>
  <c r="U58" i="5"/>
  <c r="V58" i="5" s="1"/>
  <c r="U43" i="5"/>
  <c r="V43" i="5" s="1"/>
  <c r="U42" i="5"/>
  <c r="V42" i="5" s="1"/>
  <c r="U39" i="5"/>
  <c r="V39" i="5" s="1"/>
  <c r="U27" i="5"/>
  <c r="V27" i="5" s="1"/>
  <c r="U26" i="5"/>
  <c r="V26" i="5" s="1"/>
  <c r="U44" i="5"/>
  <c r="V44" i="5" s="1"/>
  <c r="U30" i="5"/>
  <c r="V30" i="5" s="1"/>
  <c r="U18" i="5"/>
  <c r="V18" i="5" s="1"/>
  <c r="U63" i="5"/>
  <c r="V63" i="5" s="1"/>
  <c r="U49" i="5"/>
  <c r="V49" i="5" s="1"/>
  <c r="U37" i="5"/>
  <c r="V37" i="5" s="1"/>
  <c r="U35" i="5"/>
  <c r="V35" i="5" s="1"/>
  <c r="U33" i="5"/>
  <c r="V33" i="5" s="1"/>
  <c r="U31" i="5"/>
  <c r="V31" i="5" s="1"/>
  <c r="U28" i="5"/>
  <c r="V28" i="5" s="1"/>
  <c r="U21" i="5"/>
  <c r="V21" i="5" s="1"/>
  <c r="U20" i="5"/>
  <c r="V20" i="5" s="1"/>
  <c r="U19" i="5"/>
  <c r="V19" i="5" s="1"/>
  <c r="U25" i="5"/>
  <c r="V25" i="5" s="1"/>
  <c r="U17" i="5"/>
  <c r="V17" i="5" s="1"/>
  <c r="U15" i="5"/>
  <c r="V15" i="5" s="1"/>
  <c r="U38" i="5"/>
  <c r="V38" i="5" s="1"/>
  <c r="U36" i="5"/>
  <c r="V36" i="5" s="1"/>
  <c r="U29" i="5"/>
  <c r="V29" i="5" s="1"/>
  <c r="U16" i="5"/>
  <c r="V16" i="5" s="1"/>
  <c r="U14" i="5"/>
  <c r="U23" i="5"/>
  <c r="V23" i="5" s="1"/>
  <c r="AM68" i="5"/>
  <c r="AM72" i="5" s="1"/>
  <c r="AN14" i="5"/>
  <c r="AO19" i="1"/>
  <c r="P57" i="1"/>
  <c r="Q57" i="1" s="1"/>
  <c r="AG57" i="1"/>
  <c r="AH57" i="1"/>
  <c r="AG54" i="1"/>
  <c r="P54" i="1"/>
  <c r="Q54" i="1" s="1"/>
  <c r="AH54" i="1"/>
  <c r="AL39" i="1"/>
  <c r="AM39" i="1" s="1"/>
  <c r="AN39" i="1" s="1"/>
  <c r="AG56" i="1"/>
  <c r="AH56" i="1"/>
  <c r="P56" i="1"/>
  <c r="Q56" i="1" s="1"/>
  <c r="AO22" i="1"/>
  <c r="AL38" i="1"/>
  <c r="AM38" i="1" s="1"/>
  <c r="AN38" i="1" s="1"/>
  <c r="AH55" i="1"/>
  <c r="P55" i="1"/>
  <c r="Q55" i="1" s="1"/>
  <c r="AG55" i="1"/>
  <c r="D46" i="2"/>
  <c r="AO21" i="1"/>
  <c r="G43" i="2"/>
  <c r="AD58" i="1"/>
  <c r="AE18" i="1"/>
  <c r="AF18" i="1" s="1"/>
  <c r="AE52" i="1"/>
  <c r="AF52" i="1" s="1"/>
  <c r="AE53" i="1"/>
  <c r="AF53" i="1" s="1"/>
  <c r="AE51" i="1"/>
  <c r="AF51" i="1" s="1"/>
  <c r="U68" i="5" l="1"/>
  <c r="U72" i="5" s="1"/>
  <c r="V14" i="5"/>
  <c r="AN68" i="5"/>
  <c r="AN72" i="5" s="1"/>
  <c r="AO14" i="5"/>
  <c r="AO68" i="5" s="1"/>
  <c r="AO72" i="5" s="1"/>
  <c r="B67" i="6" s="1"/>
  <c r="AO38" i="1"/>
  <c r="AO39" i="1"/>
  <c r="AG52" i="1"/>
  <c r="P52" i="1"/>
  <c r="Q52" i="1" s="1"/>
  <c r="AH52" i="1"/>
  <c r="AH18" i="1"/>
  <c r="P18" i="1"/>
  <c r="Q18" i="1" s="1"/>
  <c r="AG18" i="1"/>
  <c r="AH51" i="1"/>
  <c r="AG51" i="1"/>
  <c r="P51" i="1"/>
  <c r="Q51" i="1" s="1"/>
  <c r="AI55" i="1"/>
  <c r="AK55" i="1" s="1"/>
  <c r="AI56" i="1"/>
  <c r="AK56" i="1" s="1"/>
  <c r="AI57" i="1"/>
  <c r="AK57" i="1" s="1"/>
  <c r="AH53" i="1"/>
  <c r="P53" i="1"/>
  <c r="Q53" i="1" s="1"/>
  <c r="AG53" i="1"/>
  <c r="D47" i="2"/>
  <c r="G44" i="2"/>
  <c r="AE58" i="1"/>
  <c r="AF58" i="1" s="1"/>
  <c r="AI54" i="1"/>
  <c r="AK54" i="1" s="1"/>
  <c r="S56" i="1"/>
  <c r="R56" i="1"/>
  <c r="S55" i="1"/>
  <c r="R55" i="1"/>
  <c r="S54" i="1"/>
  <c r="R54" i="1"/>
  <c r="R57" i="1"/>
  <c r="S57" i="1"/>
  <c r="AN79" i="5" l="1"/>
  <c r="AN83" i="5" s="1"/>
  <c r="AO83" i="5" s="1"/>
  <c r="AL56" i="1"/>
  <c r="AM56" i="1" s="1"/>
  <c r="AN56" i="1" s="1"/>
  <c r="AG58" i="1"/>
  <c r="P58" i="1"/>
  <c r="Q58" i="1" s="1"/>
  <c r="AH58" i="1"/>
  <c r="AL54" i="1"/>
  <c r="AM54" i="1" s="1"/>
  <c r="AN54" i="1" s="1"/>
  <c r="AL55" i="1"/>
  <c r="AM55" i="1" s="1"/>
  <c r="AN55" i="1" s="1"/>
  <c r="D48" i="2"/>
  <c r="AI18" i="1"/>
  <c r="AK18" i="1" s="1"/>
  <c r="AI51" i="1"/>
  <c r="AK51" i="1" s="1"/>
  <c r="AI52" i="1"/>
  <c r="AK52" i="1" s="1"/>
  <c r="G45" i="2"/>
  <c r="AD50" i="1"/>
  <c r="S53" i="1"/>
  <c r="R53" i="1"/>
  <c r="S52" i="1"/>
  <c r="R52" i="1"/>
  <c r="AL57" i="1"/>
  <c r="AM57" i="1" s="1"/>
  <c r="AN57" i="1" s="1"/>
  <c r="AI53" i="1"/>
  <c r="AK53" i="1" s="1"/>
  <c r="S51" i="1"/>
  <c r="R51" i="1"/>
  <c r="S18" i="1"/>
  <c r="R18" i="1"/>
  <c r="AO55" i="1" l="1"/>
  <c r="AO54" i="1"/>
  <c r="AL52" i="1"/>
  <c r="AM52" i="1" s="1"/>
  <c r="AN52" i="1" s="1"/>
  <c r="G46" i="2"/>
  <c r="AD49" i="1"/>
  <c r="AD48" i="1"/>
  <c r="AD26" i="1"/>
  <c r="AE50" i="1"/>
  <c r="AF50" i="1" s="1"/>
  <c r="AD27" i="1"/>
  <c r="AD24" i="1"/>
  <c r="S58" i="1"/>
  <c r="R58" i="1"/>
  <c r="AL18" i="1"/>
  <c r="AM18" i="1" s="1"/>
  <c r="AN18" i="1" s="1"/>
  <c r="AO57" i="1"/>
  <c r="D49" i="2"/>
  <c r="AO56" i="1"/>
  <c r="AL53" i="1"/>
  <c r="AM53" i="1" s="1"/>
  <c r="AN53" i="1" s="1"/>
  <c r="AL51" i="1"/>
  <c r="AM51" i="1" s="1"/>
  <c r="AN51" i="1" s="1"/>
  <c r="AI58" i="1"/>
  <c r="AK58" i="1" s="1"/>
  <c r="AO53" i="1" l="1"/>
  <c r="AO51" i="1"/>
  <c r="AL58" i="1"/>
  <c r="AM58" i="1" s="1"/>
  <c r="AN58" i="1" s="1"/>
  <c r="AG50" i="1"/>
  <c r="P50" i="1"/>
  <c r="Q50" i="1" s="1"/>
  <c r="AH50" i="1"/>
  <c r="G47" i="2"/>
  <c r="AE48" i="1"/>
  <c r="AF48" i="1" s="1"/>
  <c r="AE24" i="1"/>
  <c r="AF24" i="1" s="1"/>
  <c r="AE26" i="1"/>
  <c r="AF26" i="1" s="1"/>
  <c r="AE49" i="1"/>
  <c r="AF49" i="1" s="1"/>
  <c r="AE27" i="1"/>
  <c r="AF27" i="1" s="1"/>
  <c r="D50" i="2"/>
  <c r="AO18" i="1"/>
  <c r="AO52" i="1"/>
  <c r="P24" i="1" l="1"/>
  <c r="Q24" i="1" s="1"/>
  <c r="AH24" i="1"/>
  <c r="AG24" i="1"/>
  <c r="S50" i="1"/>
  <c r="R50" i="1"/>
  <c r="AG48" i="1"/>
  <c r="P48" i="1"/>
  <c r="Q48" i="1" s="1"/>
  <c r="AH48" i="1"/>
  <c r="AH49" i="1"/>
  <c r="AG49" i="1"/>
  <c r="P49" i="1"/>
  <c r="Q49" i="1" s="1"/>
  <c r="G48" i="2"/>
  <c r="AD40" i="1"/>
  <c r="AD35" i="1"/>
  <c r="AD33" i="1"/>
  <c r="AO58" i="1"/>
  <c r="AG26" i="1"/>
  <c r="AH26" i="1"/>
  <c r="P26" i="1"/>
  <c r="Q26" i="1" s="1"/>
  <c r="P27" i="1"/>
  <c r="Q27" i="1" s="1"/>
  <c r="AG27" i="1"/>
  <c r="AH27" i="1"/>
  <c r="D51" i="2"/>
  <c r="AI50" i="1"/>
  <c r="AK50" i="1" s="1"/>
  <c r="AL50" i="1" l="1"/>
  <c r="AM50" i="1" s="1"/>
  <c r="AN50" i="1" s="1"/>
  <c r="R26" i="1"/>
  <c r="S26" i="1"/>
  <c r="S48" i="1"/>
  <c r="R48" i="1"/>
  <c r="AI27" i="1"/>
  <c r="AK27" i="1" s="1"/>
  <c r="S27" i="1"/>
  <c r="R27" i="1"/>
  <c r="G49" i="2"/>
  <c r="AE35" i="1"/>
  <c r="AF35" i="1" s="1"/>
  <c r="AD14" i="1"/>
  <c r="AE33" i="1"/>
  <c r="AF33" i="1" s="1"/>
  <c r="AD30" i="1"/>
  <c r="AD17" i="1"/>
  <c r="AE40" i="1"/>
  <c r="AF40" i="1" s="1"/>
  <c r="AI48" i="1"/>
  <c r="AK48" i="1" s="1"/>
  <c r="D52" i="2"/>
  <c r="S49" i="1"/>
  <c r="R49" i="1"/>
  <c r="AI26" i="1"/>
  <c r="AK26" i="1" s="1"/>
  <c r="AI24" i="1"/>
  <c r="AK24" i="1" s="1"/>
  <c r="AI49" i="1"/>
  <c r="AK49" i="1" s="1"/>
  <c r="R24" i="1"/>
  <c r="S24" i="1"/>
  <c r="AL27" i="1" l="1"/>
  <c r="AM27" i="1" s="1"/>
  <c r="AN27" i="1" s="1"/>
  <c r="AL48" i="1"/>
  <c r="AM48" i="1" s="1"/>
  <c r="AN48" i="1" s="1"/>
  <c r="AG35" i="1"/>
  <c r="P35" i="1"/>
  <c r="Q35" i="1" s="1"/>
  <c r="AH35" i="1"/>
  <c r="AL49" i="1"/>
  <c r="AM49" i="1" s="1"/>
  <c r="AN49" i="1" s="1"/>
  <c r="AL26" i="1"/>
  <c r="AM26" i="1" s="1"/>
  <c r="AN26" i="1" s="1"/>
  <c r="D53" i="2"/>
  <c r="G50" i="2"/>
  <c r="AD61" i="1"/>
  <c r="AE14" i="1"/>
  <c r="AF14" i="1" s="1"/>
  <c r="AD62" i="1"/>
  <c r="AE30" i="1"/>
  <c r="AF30" i="1" s="1"/>
  <c r="AD60" i="1"/>
  <c r="AD59" i="1"/>
  <c r="AE17" i="1"/>
  <c r="AF17" i="1" s="1"/>
  <c r="AG33" i="1"/>
  <c r="P33" i="1"/>
  <c r="Q33" i="1" s="1"/>
  <c r="AH33" i="1"/>
  <c r="AO50" i="1"/>
  <c r="AH40" i="1"/>
  <c r="P40" i="1"/>
  <c r="Q40" i="1" s="1"/>
  <c r="AG40" i="1"/>
  <c r="AL24" i="1"/>
  <c r="AM24" i="1" s="1"/>
  <c r="AN24" i="1" s="1"/>
  <c r="AG30" i="1" l="1"/>
  <c r="P30" i="1"/>
  <c r="Q30" i="1" s="1"/>
  <c r="AH30" i="1"/>
  <c r="AH14" i="1"/>
  <c r="P14" i="1"/>
  <c r="AG14" i="1"/>
  <c r="AG17" i="1"/>
  <c r="AH17" i="1"/>
  <c r="P17" i="1"/>
  <c r="Q17" i="1" s="1"/>
  <c r="S40" i="1"/>
  <c r="R40" i="1"/>
  <c r="AO24" i="1"/>
  <c r="D54" i="2"/>
  <c r="AO49" i="1"/>
  <c r="AO48" i="1"/>
  <c r="S33" i="1"/>
  <c r="R33" i="1"/>
  <c r="AO26" i="1"/>
  <c r="S35" i="1"/>
  <c r="R35" i="1"/>
  <c r="AO27" i="1"/>
  <c r="AI33" i="1"/>
  <c r="AK33" i="1" s="1"/>
  <c r="AI35" i="1"/>
  <c r="AK35" i="1" s="1"/>
  <c r="AI40" i="1"/>
  <c r="AK40" i="1" s="1"/>
  <c r="G51" i="2"/>
  <c r="AE59" i="1"/>
  <c r="AF59" i="1" s="1"/>
  <c r="AE60" i="1"/>
  <c r="AF60" i="1" s="1"/>
  <c r="AE61" i="1"/>
  <c r="AF61" i="1" s="1"/>
  <c r="AE62" i="1"/>
  <c r="AF62" i="1" s="1"/>
  <c r="AL40" i="1" l="1"/>
  <c r="AM40" i="1" s="1"/>
  <c r="AN40" i="1" s="1"/>
  <c r="P60" i="1"/>
  <c r="Q60" i="1" s="1"/>
  <c r="AG60" i="1"/>
  <c r="AH60" i="1"/>
  <c r="AL35" i="1"/>
  <c r="AM35" i="1" s="1"/>
  <c r="AN35" i="1" s="1"/>
  <c r="AH62" i="1"/>
  <c r="AG62" i="1"/>
  <c r="P62" i="1"/>
  <c r="Q62" i="1" s="1"/>
  <c r="AG61" i="1"/>
  <c r="P61" i="1"/>
  <c r="Q61" i="1" s="1"/>
  <c r="AH61" i="1"/>
  <c r="AG59" i="1"/>
  <c r="P59" i="1"/>
  <c r="Q59" i="1" s="1"/>
  <c r="AH59" i="1"/>
  <c r="AL33" i="1"/>
  <c r="AM33" i="1" s="1"/>
  <c r="AN33" i="1" s="1"/>
  <c r="D55" i="2"/>
  <c r="R17" i="1"/>
  <c r="S17" i="1"/>
  <c r="AI30" i="1"/>
  <c r="AK30" i="1" s="1"/>
  <c r="G52" i="2"/>
  <c r="AD64" i="1"/>
  <c r="AD65" i="1"/>
  <c r="AI17" i="1"/>
  <c r="AK17" i="1" s="1"/>
  <c r="Q14" i="1"/>
  <c r="R30" i="1"/>
  <c r="S30" i="1"/>
  <c r="AI14" i="1"/>
  <c r="AK14" i="1" s="1"/>
  <c r="AO35" i="1" l="1"/>
  <c r="AL30" i="1"/>
  <c r="AM30" i="1" s="1"/>
  <c r="AN30" i="1" s="1"/>
  <c r="AL17" i="1"/>
  <c r="AM17" i="1" s="1"/>
  <c r="AN17" i="1" s="1"/>
  <c r="AL14" i="1"/>
  <c r="S14" i="1"/>
  <c r="R14" i="1"/>
  <c r="AI59" i="1"/>
  <c r="AK59" i="1" s="1"/>
  <c r="S61" i="1"/>
  <c r="R61" i="1"/>
  <c r="AI62" i="1"/>
  <c r="AK62" i="1" s="1"/>
  <c r="AI61" i="1"/>
  <c r="AK61" i="1" s="1"/>
  <c r="G53" i="2"/>
  <c r="AE65" i="1"/>
  <c r="AF65" i="1" s="1"/>
  <c r="AE64" i="1"/>
  <c r="AF64" i="1" s="1"/>
  <c r="D56" i="2"/>
  <c r="S59" i="1"/>
  <c r="R59" i="1"/>
  <c r="S60" i="1"/>
  <c r="R60" i="1"/>
  <c r="AO33" i="1"/>
  <c r="S62" i="1"/>
  <c r="R62" i="1"/>
  <c r="AO40" i="1"/>
  <c r="AI60" i="1"/>
  <c r="AK60" i="1" s="1"/>
  <c r="AO17" i="1" l="1"/>
  <c r="AL59" i="1"/>
  <c r="AM59" i="1" s="1"/>
  <c r="AN59" i="1" s="1"/>
  <c r="AL62" i="1"/>
  <c r="AM62" i="1" s="1"/>
  <c r="AN62" i="1" s="1"/>
  <c r="AL60" i="1"/>
  <c r="AM60" i="1" s="1"/>
  <c r="AN60" i="1" s="1"/>
  <c r="AG65" i="1"/>
  <c r="AH65" i="1"/>
  <c r="P65" i="1"/>
  <c r="Q65" i="1" s="1"/>
  <c r="AH64" i="1"/>
  <c r="AG64" i="1"/>
  <c r="P64" i="1"/>
  <c r="Q64" i="1" s="1"/>
  <c r="AL61" i="1"/>
  <c r="AM61" i="1" s="1"/>
  <c r="AN61" i="1" s="1"/>
  <c r="G54" i="2"/>
  <c r="AD66" i="1"/>
  <c r="AD63" i="1"/>
  <c r="AM14" i="1"/>
  <c r="D57" i="2"/>
  <c r="AO30" i="1"/>
  <c r="AO60" i="1" l="1"/>
  <c r="S64" i="1"/>
  <c r="R64" i="1"/>
  <c r="AN14" i="1"/>
  <c r="AO14" i="1" s="1"/>
  <c r="G55" i="2"/>
  <c r="AE63" i="1"/>
  <c r="AF63" i="1" s="1"/>
  <c r="AE66" i="1"/>
  <c r="AF66" i="1" s="1"/>
  <c r="AO62" i="1"/>
  <c r="AI65" i="1"/>
  <c r="AK65" i="1" s="1"/>
  <c r="AO61" i="1"/>
  <c r="AI64" i="1"/>
  <c r="AK64" i="1" s="1"/>
  <c r="AO59" i="1"/>
  <c r="D58" i="2"/>
  <c r="R65" i="1"/>
  <c r="S65" i="1"/>
  <c r="AL65" i="1" l="1"/>
  <c r="AM65" i="1" s="1"/>
  <c r="AN65" i="1" s="1"/>
  <c r="AL64" i="1"/>
  <c r="AM64" i="1" s="1"/>
  <c r="AN64" i="1" s="1"/>
  <c r="AH66" i="1"/>
  <c r="P66" i="1"/>
  <c r="Q66" i="1" s="1"/>
  <c r="AG66" i="1"/>
  <c r="AG63" i="1"/>
  <c r="P63" i="1"/>
  <c r="Q63" i="1" s="1"/>
  <c r="AH63" i="1"/>
  <c r="G56" i="2"/>
  <c r="AD15" i="1"/>
  <c r="AD16" i="1"/>
  <c r="D59" i="2"/>
  <c r="AO64" i="1" l="1"/>
  <c r="D60" i="2"/>
  <c r="D61" i="2" s="1"/>
  <c r="G57" i="2"/>
  <c r="AE16" i="1"/>
  <c r="AF16" i="1" s="1"/>
  <c r="AD46" i="1"/>
  <c r="AD47" i="1"/>
  <c r="AE15" i="1"/>
  <c r="AF15" i="1" s="1"/>
  <c r="S63" i="1"/>
  <c r="R63" i="1"/>
  <c r="S66" i="1"/>
  <c r="R66" i="1"/>
  <c r="AI63" i="1"/>
  <c r="AK63" i="1" s="1"/>
  <c r="AI66" i="1"/>
  <c r="AK66" i="1" s="1"/>
  <c r="AO65" i="1"/>
  <c r="AL63" i="1" l="1"/>
  <c r="AM63" i="1" s="1"/>
  <c r="AN63" i="1" s="1"/>
  <c r="AH16" i="1"/>
  <c r="P16" i="1"/>
  <c r="Q16" i="1" s="1"/>
  <c r="AG16" i="1"/>
  <c r="AL66" i="1"/>
  <c r="AM66" i="1" s="1"/>
  <c r="AN66" i="1" s="1"/>
  <c r="AG15" i="1"/>
  <c r="AH15" i="1"/>
  <c r="P15" i="1"/>
  <c r="G58" i="2"/>
  <c r="AE46" i="1"/>
  <c r="AF46" i="1" s="1"/>
  <c r="AE47" i="1"/>
  <c r="AF47" i="1" s="1"/>
  <c r="D62" i="2"/>
  <c r="AO66" i="1" l="1"/>
  <c r="S16" i="1"/>
  <c r="R16" i="1"/>
  <c r="AI16" i="1"/>
  <c r="AK16" i="1" s="1"/>
  <c r="AH47" i="1"/>
  <c r="P47" i="1"/>
  <c r="Q47" i="1" s="1"/>
  <c r="AG47" i="1"/>
  <c r="D63" i="2"/>
  <c r="D64" i="2" s="1"/>
  <c r="D65" i="2" s="1"/>
  <c r="D66" i="2" s="1"/>
  <c r="D67" i="2" s="1"/>
  <c r="D68" i="2" s="1"/>
  <c r="D69" i="2" s="1"/>
  <c r="D70" i="2" s="1"/>
  <c r="D71" i="2" s="1"/>
  <c r="D72" i="2" s="1"/>
  <c r="Q15" i="1"/>
  <c r="AO63" i="1"/>
  <c r="P46" i="1"/>
  <c r="Q46" i="1" s="1"/>
  <c r="AG46" i="1"/>
  <c r="AH46" i="1"/>
  <c r="G59" i="2"/>
  <c r="AD20" i="1"/>
  <c r="AD43" i="1"/>
  <c r="AD23" i="1"/>
  <c r="AD28" i="1"/>
  <c r="AD25" i="1"/>
  <c r="AD45" i="1"/>
  <c r="AI15" i="1"/>
  <c r="AK15" i="1" s="1"/>
  <c r="S46" i="1" l="1"/>
  <c r="R46" i="1"/>
  <c r="S15" i="1"/>
  <c r="R15" i="1"/>
  <c r="AL16" i="1"/>
  <c r="AM16" i="1" s="1"/>
  <c r="AN16" i="1" s="1"/>
  <c r="G60" i="2"/>
  <c r="G61" i="2" s="1"/>
  <c r="AE25" i="1"/>
  <c r="AF25" i="1" s="1"/>
  <c r="AE28" i="1"/>
  <c r="AF28" i="1" s="1"/>
  <c r="AE43" i="1"/>
  <c r="AF43" i="1" s="1"/>
  <c r="AE45" i="1"/>
  <c r="AF45" i="1" s="1"/>
  <c r="AE23" i="1"/>
  <c r="AF23" i="1" s="1"/>
  <c r="AE20" i="1"/>
  <c r="AF20" i="1" s="1"/>
  <c r="R47" i="1"/>
  <c r="S47" i="1"/>
  <c r="AL15" i="1"/>
  <c r="AI46" i="1"/>
  <c r="AK46" i="1" s="1"/>
  <c r="AI47" i="1"/>
  <c r="AK47" i="1" s="1"/>
  <c r="AG25" i="1" l="1"/>
  <c r="AI25" i="1" s="1"/>
  <c r="AK25" i="1" s="1"/>
  <c r="P25" i="1"/>
  <c r="Q25" i="1" s="1"/>
  <c r="P20" i="1"/>
  <c r="AG20" i="1"/>
  <c r="AG28" i="1"/>
  <c r="AH28" i="1"/>
  <c r="P28" i="1"/>
  <c r="Q28" i="1" s="1"/>
  <c r="AL47" i="1"/>
  <c r="AM47" i="1" s="1"/>
  <c r="AN47" i="1" s="1"/>
  <c r="AH45" i="1"/>
  <c r="P45" i="1"/>
  <c r="Q45" i="1" s="1"/>
  <c r="AG45" i="1"/>
  <c r="AL46" i="1"/>
  <c r="AM46" i="1" s="1"/>
  <c r="AN46" i="1" s="1"/>
  <c r="AG43" i="1"/>
  <c r="P43" i="1"/>
  <c r="Q43" i="1" s="1"/>
  <c r="AH43" i="1"/>
  <c r="AG23" i="1"/>
  <c r="P23" i="1"/>
  <c r="Q23" i="1" s="1"/>
  <c r="AH23" i="1"/>
  <c r="AM15" i="1"/>
  <c r="AO16" i="1"/>
  <c r="G62" i="2"/>
  <c r="AD41" i="1"/>
  <c r="AD42" i="1"/>
  <c r="AO47" i="1" l="1"/>
  <c r="AO46" i="1"/>
  <c r="AI45" i="1"/>
  <c r="AK45" i="1" s="1"/>
  <c r="AI28" i="1"/>
  <c r="AK28" i="1" s="1"/>
  <c r="Q20" i="1"/>
  <c r="P68" i="1"/>
  <c r="P72" i="1" s="1"/>
  <c r="AD68" i="1"/>
  <c r="AD72" i="1" s="1"/>
  <c r="S23" i="1"/>
  <c r="R23" i="1"/>
  <c r="R45" i="1"/>
  <c r="S45" i="1"/>
  <c r="R28" i="1"/>
  <c r="S28" i="1"/>
  <c r="AI20" i="1"/>
  <c r="G63" i="2"/>
  <c r="G64" i="2" s="1"/>
  <c r="G65" i="2" s="1"/>
  <c r="G66" i="2" s="1"/>
  <c r="G67" i="2" s="1"/>
  <c r="G68" i="2" s="1"/>
  <c r="G69" i="2" s="1"/>
  <c r="G70" i="2" s="1"/>
  <c r="G71" i="2" s="1"/>
  <c r="G72" i="2" s="1"/>
  <c r="AE41" i="1"/>
  <c r="AF41" i="1" s="1"/>
  <c r="AE42" i="1"/>
  <c r="AF42" i="1" s="1"/>
  <c r="AN15" i="1"/>
  <c r="AI43" i="1"/>
  <c r="AK43" i="1" s="1"/>
  <c r="S25" i="1"/>
  <c r="R25" i="1"/>
  <c r="AI23" i="1"/>
  <c r="AK23" i="1" s="1"/>
  <c r="S43" i="1"/>
  <c r="R43" i="1"/>
  <c r="AL25" i="1"/>
  <c r="AM25" i="1" s="1"/>
  <c r="AN25" i="1" s="1"/>
  <c r="AO25" i="1" l="1"/>
  <c r="AE68" i="1"/>
  <c r="AE72" i="1" s="1"/>
  <c r="AH41" i="1"/>
  <c r="AG41" i="1"/>
  <c r="AF68" i="1"/>
  <c r="AF72" i="1" s="1"/>
  <c r="AL28" i="1"/>
  <c r="AM28" i="1" s="1"/>
  <c r="AN28" i="1" s="1"/>
  <c r="AL23" i="1"/>
  <c r="AM23" i="1" s="1"/>
  <c r="AN23" i="1" s="1"/>
  <c r="AL43" i="1"/>
  <c r="AM43" i="1" s="1"/>
  <c r="AN43" i="1" s="1"/>
  <c r="AK20" i="1"/>
  <c r="AH42" i="1"/>
  <c r="AG42" i="1"/>
  <c r="AO15" i="1"/>
  <c r="S20" i="1"/>
  <c r="S68" i="1" s="1"/>
  <c r="S72" i="1" s="1"/>
  <c r="R20" i="1"/>
  <c r="R68" i="1" s="1"/>
  <c r="Q68" i="1"/>
  <c r="Q72" i="1" s="1"/>
  <c r="AL45" i="1"/>
  <c r="AM45" i="1" s="1"/>
  <c r="AN45" i="1" s="1"/>
  <c r="AG68" i="1" l="1"/>
  <c r="AG72" i="1" s="1"/>
  <c r="AO43" i="1"/>
  <c r="AO45" i="1"/>
  <c r="AO23" i="1"/>
  <c r="AI42" i="1"/>
  <c r="AM42" i="1" s="1"/>
  <c r="AN42" i="1" s="1"/>
  <c r="AL42" i="1"/>
  <c r="AO28" i="1"/>
  <c r="AL20" i="1"/>
  <c r="AK68" i="1"/>
  <c r="R72" i="1"/>
  <c r="T66" i="1"/>
  <c r="T60" i="1"/>
  <c r="T58" i="1"/>
  <c r="T65" i="1"/>
  <c r="T59" i="1"/>
  <c r="T63" i="1"/>
  <c r="T61" i="1"/>
  <c r="T57" i="1"/>
  <c r="T55" i="1"/>
  <c r="T53" i="1"/>
  <c r="T46" i="1"/>
  <c r="T56" i="1"/>
  <c r="T42" i="1"/>
  <c r="T41" i="1"/>
  <c r="T64" i="1"/>
  <c r="T54" i="1"/>
  <c r="T50" i="1"/>
  <c r="T48" i="1"/>
  <c r="T47" i="1"/>
  <c r="T45" i="1"/>
  <c r="T44" i="1"/>
  <c r="T40" i="1"/>
  <c r="T62" i="1"/>
  <c r="T43" i="1"/>
  <c r="T39" i="1"/>
  <c r="T37" i="1"/>
  <c r="T35" i="1"/>
  <c r="T33" i="1"/>
  <c r="T29" i="1"/>
  <c r="T27" i="1"/>
  <c r="T20" i="1"/>
  <c r="T18" i="1"/>
  <c r="T16" i="1"/>
  <c r="T14" i="1"/>
  <c r="T52" i="1"/>
  <c r="T38" i="1"/>
  <c r="T36" i="1"/>
  <c r="T34" i="1"/>
  <c r="T32" i="1"/>
  <c r="T22" i="1"/>
  <c r="T49" i="1"/>
  <c r="T31" i="1"/>
  <c r="T25" i="1"/>
  <c r="T23" i="1"/>
  <c r="T21" i="1"/>
  <c r="T24" i="1"/>
  <c r="T51" i="1"/>
  <c r="T17" i="1"/>
  <c r="T30" i="1"/>
  <c r="T15" i="1"/>
  <c r="T28" i="1"/>
  <c r="T26" i="1"/>
  <c r="T19" i="1"/>
  <c r="AI41" i="1"/>
  <c r="AM41" i="1" s="1"/>
  <c r="AN41" i="1" s="1"/>
  <c r="AL41" i="1"/>
  <c r="T68" i="1" l="1"/>
  <c r="AK72" i="1"/>
  <c r="AO42" i="1"/>
  <c r="AM20" i="1"/>
  <c r="AL68" i="1"/>
  <c r="AL72" i="1" s="1"/>
  <c r="AI68" i="1"/>
  <c r="AI72" i="1" s="1"/>
  <c r="AO41" i="1"/>
  <c r="U65" i="1" l="1"/>
  <c r="V65" i="1" s="1"/>
  <c r="U66" i="1"/>
  <c r="V66" i="1" s="1"/>
  <c r="U64" i="1"/>
  <c r="V64" i="1" s="1"/>
  <c r="U62" i="1"/>
  <c r="V62" i="1" s="1"/>
  <c r="U59" i="1"/>
  <c r="V59" i="1" s="1"/>
  <c r="T72" i="1"/>
  <c r="U63" i="1"/>
  <c r="V63" i="1" s="1"/>
  <c r="U61" i="1"/>
  <c r="V61" i="1" s="1"/>
  <c r="U60" i="1"/>
  <c r="V60" i="1" s="1"/>
  <c r="U57" i="1"/>
  <c r="V57" i="1" s="1"/>
  <c r="U55" i="1"/>
  <c r="V55" i="1" s="1"/>
  <c r="U53" i="1"/>
  <c r="V53" i="1" s="1"/>
  <c r="U51" i="1"/>
  <c r="V51" i="1" s="1"/>
  <c r="U49" i="1"/>
  <c r="V49" i="1" s="1"/>
  <c r="U56" i="1"/>
  <c r="V56" i="1" s="1"/>
  <c r="U54" i="1"/>
  <c r="V54" i="1" s="1"/>
  <c r="U50" i="1"/>
  <c r="V50" i="1" s="1"/>
  <c r="U48" i="1"/>
  <c r="V48" i="1" s="1"/>
  <c r="U47" i="1"/>
  <c r="V47" i="1" s="1"/>
  <c r="U45" i="1"/>
  <c r="V45" i="1" s="1"/>
  <c r="U44" i="1"/>
  <c r="V44" i="1" s="1"/>
  <c r="U40" i="1"/>
  <c r="V40" i="1" s="1"/>
  <c r="U38" i="1"/>
  <c r="V38" i="1" s="1"/>
  <c r="U36" i="1"/>
  <c r="V36" i="1" s="1"/>
  <c r="U34" i="1"/>
  <c r="V34" i="1" s="1"/>
  <c r="U58" i="1"/>
  <c r="V58" i="1" s="1"/>
  <c r="U52" i="1"/>
  <c r="V52" i="1" s="1"/>
  <c r="U46" i="1"/>
  <c r="V46" i="1" s="1"/>
  <c r="U41" i="1"/>
  <c r="V41" i="1" s="1"/>
  <c r="U32" i="1"/>
  <c r="V32" i="1" s="1"/>
  <c r="U24" i="1"/>
  <c r="V24" i="1" s="1"/>
  <c r="U22" i="1"/>
  <c r="V22" i="1" s="1"/>
  <c r="U19" i="1"/>
  <c r="V19" i="1" s="1"/>
  <c r="U30" i="1"/>
  <c r="V30" i="1" s="1"/>
  <c r="U28" i="1"/>
  <c r="V28" i="1" s="1"/>
  <c r="U26" i="1"/>
  <c r="V26" i="1" s="1"/>
  <c r="U15" i="1"/>
  <c r="V15" i="1" s="1"/>
  <c r="U43" i="1"/>
  <c r="V43" i="1" s="1"/>
  <c r="U39" i="1"/>
  <c r="V39" i="1" s="1"/>
  <c r="U37" i="1"/>
  <c r="V37" i="1" s="1"/>
  <c r="U35" i="1"/>
  <c r="V35" i="1" s="1"/>
  <c r="U33" i="1"/>
  <c r="V33" i="1" s="1"/>
  <c r="U29" i="1"/>
  <c r="V29" i="1" s="1"/>
  <c r="U27" i="1"/>
  <c r="V27" i="1" s="1"/>
  <c r="U20" i="1"/>
  <c r="V20" i="1" s="1"/>
  <c r="U18" i="1"/>
  <c r="V18" i="1" s="1"/>
  <c r="U16" i="1"/>
  <c r="V16" i="1" s="1"/>
  <c r="U14" i="1"/>
  <c r="U17" i="1"/>
  <c r="V17" i="1" s="1"/>
  <c r="U42" i="1"/>
  <c r="V42" i="1" s="1"/>
  <c r="U31" i="1"/>
  <c r="V31" i="1" s="1"/>
  <c r="U23" i="1"/>
  <c r="V23" i="1" s="1"/>
  <c r="U25" i="1"/>
  <c r="V25" i="1" s="1"/>
  <c r="U21" i="1"/>
  <c r="V21" i="1" s="1"/>
  <c r="AN20" i="1"/>
  <c r="AN68" i="1" s="1"/>
  <c r="AN72" i="1" s="1"/>
  <c r="AM68" i="1"/>
  <c r="AM72" i="1" s="1"/>
  <c r="AN79" i="1" l="1"/>
  <c r="AN83" i="1" s="1"/>
  <c r="AO83" i="1" s="1"/>
  <c r="AO20" i="1"/>
  <c r="AO68" i="1" s="1"/>
  <c r="AO72" i="1" s="1"/>
  <c r="B68" i="4" s="1"/>
  <c r="U68" i="1"/>
  <c r="U72" i="1" s="1"/>
  <c r="V14" i="1"/>
</calcChain>
</file>

<file path=xl/sharedStrings.xml><?xml version="1.0" encoding="utf-8"?>
<sst xmlns="http://schemas.openxmlformats.org/spreadsheetml/2006/main" count="828" uniqueCount="181">
  <si>
    <t>Year</t>
  </si>
  <si>
    <t>Cost</t>
  </si>
  <si>
    <t>a</t>
  </si>
  <si>
    <t>d = (a * 30%) * GI</t>
  </si>
  <si>
    <t>e = (a * 70%) * GI</t>
  </si>
  <si>
    <t>$ 2015</t>
  </si>
  <si>
    <t>Annual Accrual</t>
  </si>
  <si>
    <t>Unit</t>
  </si>
  <si>
    <t>LABOR</t>
  </si>
  <si>
    <t>MATERIAL &amp; EQ</t>
  </si>
  <si>
    <t>BURIAL</t>
  </si>
  <si>
    <t>SALVAGE</t>
  </si>
  <si>
    <t>Net Cost @ Study</t>
  </si>
  <si>
    <t>Other Transactions</t>
  </si>
  <si>
    <t>Adjusted
Net Cost @ Study</t>
  </si>
  <si>
    <t>Net Cost @ 2016</t>
  </si>
  <si>
    <t>Reserve As of 11/2015</t>
  </si>
  <si>
    <t>13 Month Est Accrual</t>
  </si>
  <si>
    <t>Est Future Dism</t>
  </si>
  <si>
    <t>Reserve As of 12/2016</t>
  </si>
  <si>
    <t>THEO SURPLUS FLOWBACK</t>
  </si>
  <si>
    <t>Additional Flowback</t>
  </si>
  <si>
    <t>Theoretical Reserve for Dismantlement</t>
  </si>
  <si>
    <t>Theoretical Reserve Surplus/(Deficiency)</t>
  </si>
  <si>
    <t>Surpluses</t>
  </si>
  <si>
    <t>Deficiencies</t>
  </si>
  <si>
    <t>Credits to Units With Deficiencies</t>
  </si>
  <si>
    <t>Debits to Units With Surpluses</t>
  </si>
  <si>
    <t>Original Life</t>
  </si>
  <si>
    <t>Adj Reserve as of 12/31/2016</t>
  </si>
  <si>
    <t>P.I.S</t>
  </si>
  <si>
    <t>Economic Recovery Year</t>
  </si>
  <si>
    <t>Recovery Period As of 1/1/2017</t>
  </si>
  <si>
    <t>1st Yr</t>
  </si>
  <si>
    <t>2nd Yr</t>
  </si>
  <si>
    <t>Future $ 1st Yr Exp</t>
  </si>
  <si>
    <t>Future $ 2nd Yr Exp</t>
  </si>
  <si>
    <t>Total Future $ Cost</t>
  </si>
  <si>
    <t>Amount To Accrue</t>
  </si>
  <si>
    <t>Compounded Inflation</t>
  </si>
  <si>
    <t>PV of Amount to Accrue</t>
  </si>
  <si>
    <t>4 Year Average</t>
  </si>
  <si>
    <t>Babcock Solar **</t>
  </si>
  <si>
    <t>Cape Canaveral CC Common ***</t>
  </si>
  <si>
    <t>Cape Canaveral CC Unit 5 ***</t>
  </si>
  <si>
    <t>DeSoto (Citrus Solar) **</t>
  </si>
  <si>
    <t>DeSoto Solar Energy Ctr</t>
  </si>
  <si>
    <t>Ft. Lauderdale Common</t>
  </si>
  <si>
    <t>Ft. Lauderdale GT Units 1 &amp; 2</t>
  </si>
  <si>
    <t>Ft. Lauderdale Unit 4</t>
  </si>
  <si>
    <t>Ft. Lauderdale Unit 5</t>
  </si>
  <si>
    <t>Ft. Lauderdale Unit 6 **</t>
  </si>
  <si>
    <t>Ft. Myers Common</t>
  </si>
  <si>
    <t>Ft. Myers Gas Turbines</t>
  </si>
  <si>
    <t>Ft. Myers Unit 2</t>
  </si>
  <si>
    <t>Ft. Myers Unit 3</t>
  </si>
  <si>
    <t>Ft. Myers Unit 4 **</t>
  </si>
  <si>
    <t>Manatee Common</t>
  </si>
  <si>
    <t>Manatee Solar **</t>
  </si>
  <si>
    <t>Manatee Unit 1</t>
  </si>
  <si>
    <t>Manatee Unit 2</t>
  </si>
  <si>
    <t>Manatee Unit 3</t>
  </si>
  <si>
    <t>Martin Common</t>
  </si>
  <si>
    <t>Martin Solar</t>
  </si>
  <si>
    <t>Martin Unit 1</t>
  </si>
  <si>
    <t>Martin Unit 2</t>
  </si>
  <si>
    <t>Martin Unit 3</t>
  </si>
  <si>
    <t>Martin Unit 4</t>
  </si>
  <si>
    <t>Martin Unit 8</t>
  </si>
  <si>
    <t>Okeechobee Clean Energy Common **</t>
  </si>
  <si>
    <t>Okeechobee Clean Energy Unit 1 **</t>
  </si>
  <si>
    <t>Port Everglades Common ***</t>
  </si>
  <si>
    <t>Port Everglades GTs</t>
  </si>
  <si>
    <t>Port Everglades Unit 5 ***</t>
  </si>
  <si>
    <t>Riviera Beach Common ***</t>
  </si>
  <si>
    <t>Riviera Beach Unit 5 ***</t>
  </si>
  <si>
    <t>Sanford Common</t>
  </si>
  <si>
    <t>Sanford Unit 4</t>
  </si>
  <si>
    <t>Sanford Unit 5</t>
  </si>
  <si>
    <r>
      <t xml:space="preserve">Scherer Common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</si>
  <si>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Handling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</si>
  <si>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Unit 4 </t>
    </r>
    <r>
      <rPr>
        <vertAlign val="superscript"/>
        <sz val="8"/>
        <rFont val="Calibri"/>
        <family val="2"/>
        <scheme val="minor"/>
      </rPr>
      <t>1</t>
    </r>
  </si>
  <si>
    <r>
      <t xml:space="preserve">SJRPP Common </t>
    </r>
    <r>
      <rPr>
        <vertAlign val="superscript"/>
        <sz val="8"/>
        <rFont val="Calibri"/>
        <family val="2"/>
        <scheme val="minor"/>
      </rPr>
      <t>1</t>
    </r>
  </si>
  <si>
    <r>
      <t xml:space="preserve">SJRPP Handling </t>
    </r>
    <r>
      <rPr>
        <vertAlign val="superscript"/>
        <sz val="8"/>
        <rFont val="Calibri"/>
        <family val="2"/>
        <scheme val="minor"/>
      </rPr>
      <t>1</t>
    </r>
  </si>
  <si>
    <r>
      <t xml:space="preserve">SJRPP Unit 1 </t>
    </r>
    <r>
      <rPr>
        <vertAlign val="superscript"/>
        <sz val="8"/>
        <rFont val="Calibri"/>
        <family val="2"/>
        <scheme val="minor"/>
      </rPr>
      <t>1</t>
    </r>
  </si>
  <si>
    <r>
      <t xml:space="preserve">SJRPP Unit 2 </t>
    </r>
    <r>
      <rPr>
        <vertAlign val="superscript"/>
        <sz val="8"/>
        <rFont val="Calibri"/>
        <family val="2"/>
        <scheme val="minor"/>
      </rPr>
      <t>1</t>
    </r>
  </si>
  <si>
    <t>Space Coast Common</t>
  </si>
  <si>
    <t>Turkey Point Common</t>
  </si>
  <si>
    <t>Turkey Point Unit 1 *</t>
  </si>
  <si>
    <t>Turkey Point Unit 2 *</t>
  </si>
  <si>
    <t>Turkey Point Unit 5</t>
  </si>
  <si>
    <t>West County Common</t>
  </si>
  <si>
    <t>West County Unit 1</t>
  </si>
  <si>
    <t>West County Unit 2</t>
  </si>
  <si>
    <t>West County Unit 3</t>
  </si>
  <si>
    <t>Cedar Bay</t>
  </si>
  <si>
    <t>N/A</t>
  </si>
  <si>
    <t>Grand Total</t>
  </si>
  <si>
    <t>Turkey Point Unit 1 - Boilers</t>
  </si>
  <si>
    <t>Turkey Point Unit 2 - Boilers</t>
  </si>
  <si>
    <t>Cape Canaveral</t>
  </si>
  <si>
    <t>Accrual Information</t>
  </si>
  <si>
    <t>** New Units</t>
  </si>
  <si>
    <t>Cutler</t>
  </si>
  <si>
    <t>Estimated 2017 Accrual</t>
  </si>
  <si>
    <t>*** Modernization</t>
  </si>
  <si>
    <t>Pt Everglades</t>
  </si>
  <si>
    <r>
      <rPr>
        <vertAlign val="superscript"/>
        <sz val="8"/>
        <color theme="1"/>
        <rFont val="Calibri"/>
        <family val="2"/>
      </rPr>
      <t>1</t>
    </r>
    <r>
      <rPr>
        <sz val="8"/>
        <color theme="1"/>
        <rFont val="Calibri"/>
        <family val="2"/>
      </rPr>
      <t xml:space="preserve"> Net Of Ownership</t>
    </r>
  </si>
  <si>
    <t>Putnam</t>
  </si>
  <si>
    <t>Prior Study</t>
  </si>
  <si>
    <t>Riviera</t>
  </si>
  <si>
    <t>Sanford U3</t>
  </si>
  <si>
    <t>Increase/decrease</t>
  </si>
  <si>
    <t>INFLATION FORECAST</t>
  </si>
  <si>
    <t>The U.S. Economy</t>
  </si>
  <si>
    <t>GLOBAL INSIGHT</t>
  </si>
  <si>
    <t>30 Year Outlook  (May 2016)</t>
  </si>
  <si>
    <t>PCJWSSNF</t>
  </si>
  <si>
    <t>PCWPISOP2000</t>
  </si>
  <si>
    <t>PCJPGDP</t>
  </si>
  <si>
    <t>PCWPI10</t>
  </si>
  <si>
    <t>Compensation per Hour (Non-Farm)</t>
  </si>
  <si>
    <t>Producer Price Index (Intermediate Materials)</t>
  </si>
  <si>
    <t>GDP Deflator (Implicit)</t>
  </si>
  <si>
    <t>METAL &amp; METAL PRODUCTS</t>
  </si>
  <si>
    <t xml:space="preserve"> </t>
  </si>
  <si>
    <t>ANNUAL</t>
  </si>
  <si>
    <t>COMPOUNDED</t>
  </si>
  <si>
    <t>RATE OF</t>
  </si>
  <si>
    <t>MULTIPLIER</t>
  </si>
  <si>
    <t>YEAR</t>
  </si>
  <si>
    <t>CHANGE</t>
  </si>
  <si>
    <t xml:space="preserve">  FROM 2015</t>
  </si>
  <si>
    <r>
      <t xml:space="preserve">2009 Study Annual Accrual </t>
    </r>
    <r>
      <rPr>
        <b/>
        <vertAlign val="superscript"/>
        <sz val="8"/>
        <color theme="1"/>
        <rFont val="Calibri"/>
        <family val="2"/>
        <scheme val="minor"/>
      </rPr>
      <t>1</t>
    </r>
  </si>
  <si>
    <t>diff</t>
  </si>
  <si>
    <t>Clause</t>
  </si>
  <si>
    <t>Steam</t>
  </si>
  <si>
    <t>Other</t>
  </si>
  <si>
    <t>Notes: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</si>
  <si>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Includes St. Lucie Wind which was not constructed</t>
    </r>
  </si>
  <si>
    <t>Accrual from Step 2</t>
  </si>
  <si>
    <t>remove new or mod plants</t>
  </si>
  <si>
    <t>Type</t>
  </si>
  <si>
    <t>4 year average</t>
  </si>
  <si>
    <t>Scherer Common 1</t>
  </si>
  <si>
    <t>Scherer Handling 1</t>
  </si>
  <si>
    <t>Scherer Unit 4 1</t>
  </si>
  <si>
    <t>SJRPP Common 1</t>
  </si>
  <si>
    <t>SJRPP Handling 1</t>
  </si>
  <si>
    <t>SJRPP Unit 1 1</t>
  </si>
  <si>
    <t>SJRPP Unit 2 1</t>
  </si>
  <si>
    <t>Cedar Bay **</t>
  </si>
  <si>
    <t>ck</t>
  </si>
  <si>
    <t>2016 Annual Accrual (Above)</t>
  </si>
  <si>
    <t>dif</t>
  </si>
  <si>
    <t>Accrual from Step 3</t>
  </si>
  <si>
    <t>Add Back NEW &amp; MOD</t>
  </si>
  <si>
    <r>
      <t xml:space="preserve">Adj 2009 Annual Accrual </t>
    </r>
    <r>
      <rPr>
        <b/>
        <u/>
        <vertAlign val="superscript"/>
        <sz val="8"/>
        <color theme="1"/>
        <rFont val="Calibri"/>
        <family val="2"/>
        <scheme val="minor"/>
      </rPr>
      <t>2</t>
    </r>
  </si>
  <si>
    <t>Prep study without the effects of flowback or actual surplus reserve - ONLY reallocated theo reserve</t>
  </si>
  <si>
    <t>* Sync Conversion - Net of Boilers</t>
  </si>
  <si>
    <t xml:space="preserve">Reverse all theo surplus from Step 1: Theo &amp; Actual surplus goes to flowback - Followed by brining certain units accum reserve to zero (As needed)
</t>
  </si>
  <si>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Reduced 2009 Accrual by plants that have been retired, modernized or removed</t>
    </r>
  </si>
  <si>
    <r>
      <rPr>
        <vertAlign val="superscript"/>
        <sz val="8"/>
        <color theme="1"/>
        <rFont val="Calibri"/>
        <family val="2"/>
      </rPr>
      <t>2</t>
    </r>
    <r>
      <rPr>
        <sz val="8"/>
        <color theme="1"/>
        <rFont val="Calibri"/>
        <family val="2"/>
      </rPr>
      <t xml:space="preserve"> Accrual calculation prepared as if there was no flowback or actual surplus reserve - Only reallocate "theo reserve"</t>
    </r>
  </si>
  <si>
    <r>
      <t>Theo Surplus Flowback</t>
    </r>
    <r>
      <rPr>
        <b/>
        <vertAlign val="superscript"/>
        <sz val="8"/>
        <color theme="1"/>
        <rFont val="Calibri"/>
        <family val="2"/>
      </rPr>
      <t>3</t>
    </r>
  </si>
  <si>
    <r>
      <rPr>
        <vertAlign val="superscript"/>
        <sz val="8"/>
        <color theme="1"/>
        <rFont val="Calibri"/>
        <family val="2"/>
      </rPr>
      <t>3</t>
    </r>
    <r>
      <rPr>
        <sz val="8"/>
        <color theme="1"/>
        <rFont val="Calibri"/>
        <family val="2"/>
      </rPr>
      <t xml:space="preserve"> "Theo surplus" is reallocated to "theo reserve" deficit. If not reallocated, reserve accruals would calculate to be negative.</t>
    </r>
  </si>
  <si>
    <r>
      <rPr>
        <b/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Accrual summary from Step 1</t>
    </r>
  </si>
  <si>
    <r>
      <t xml:space="preserve">2016 Annual Accrual </t>
    </r>
    <r>
      <rPr>
        <b/>
        <u/>
        <vertAlign val="superscript"/>
        <sz val="8"/>
        <rFont val="Calibri"/>
        <family val="2"/>
        <scheme val="minor"/>
      </rPr>
      <t>2</t>
    </r>
  </si>
  <si>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Accrual summary from Step 2</t>
    </r>
  </si>
  <si>
    <t>Step 1</t>
  </si>
  <si>
    <r>
      <t>Step 2 - Theo Surplus Only - to Deficits for Plants Nearest Retirement</t>
    </r>
    <r>
      <rPr>
        <b/>
        <vertAlign val="superscript"/>
        <sz val="10"/>
        <color rgb="FFFF0000"/>
        <rFont val="Calibri"/>
        <family val="2"/>
        <scheme val="minor"/>
      </rPr>
      <t>2</t>
    </r>
  </si>
  <si>
    <t>Step 3 - Calculate Surplus/Deficit</t>
  </si>
  <si>
    <t>Florida Power &amp; Light Company</t>
  </si>
  <si>
    <t>Docket No. 160021-EI</t>
  </si>
  <si>
    <t>Staff's Thirty-Sixth Set of Interrogatories</t>
  </si>
  <si>
    <t>Interrogatory No. 430</t>
  </si>
  <si>
    <t>Attachment No. 3</t>
  </si>
  <si>
    <t>Tab 1 of 5</t>
  </si>
  <si>
    <t>Tab 2 of 5</t>
  </si>
  <si>
    <t>Tab 3 of 5</t>
  </si>
  <si>
    <t>Tab 4 of 5</t>
  </si>
  <si>
    <t>Tab 5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</si>
</sst>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00000_)"/>
    <numFmt numFmtId="168" formatCode="0_)"/>
    <numFmt numFmtId="169" formatCode="_(* #,##0.000_);_(* \(#,##0.000\);_(* &quot;-&quot;??_);_(@_)"/>
    <numFmt numFmtId="170" formatCode="_([$€-2]* #,##0.00_);_([$€-2]* \(#,##0.00\);_([$€-2]* &quot;-&quot;??_)"/>
    <numFmt numFmtId="171" formatCode="0.000_)"/>
    <numFmt numFmtId="172" formatCode="0."/>
    <numFmt numFmtId="173" formatCode="m\o\n\th\ d\,\ yyyy"/>
    <numFmt numFmtId="174" formatCode="#.00"/>
    <numFmt numFmtId="175" formatCode="#."/>
    <numFmt numFmtId="176" formatCode="0.00_)"/>
    <numFmt numFmtId="177" formatCode="0.0_)"/>
    <numFmt numFmtId="178" formatCode="General_)"/>
    <numFmt numFmtId="179" formatCode="0.000000"/>
  </numFmts>
  <fonts count="89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</font>
    <font>
      <sz val="9"/>
      <color theme="0"/>
      <name val="Calibri"/>
      <family val="2"/>
    </font>
    <font>
      <i/>
      <sz val="9"/>
      <color rgb="FFFF0000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b/>
      <sz val="8"/>
      <color theme="1"/>
      <name val="Calibri"/>
      <family val="2"/>
      <scheme val="minor"/>
    </font>
    <font>
      <sz val="10"/>
      <name val="Courier"/>
      <family val="3"/>
    </font>
    <font>
      <b/>
      <sz val="8"/>
      <color theme="1"/>
      <name val="Calibri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vertAlign val="superscript"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u/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i/>
      <sz val="8"/>
      <color theme="1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Tms Rm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8"/>
      <name val="Arial"/>
      <family val="2"/>
    </font>
    <font>
      <sz val="7"/>
      <name val="Small Fonts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sz val="11"/>
      <color rgb="FF006100"/>
      <name val="Calibri"/>
      <family val="2"/>
      <scheme val="minor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0"/>
      <color indexed="17"/>
      <name val="MS Sans Serif"/>
      <family val="2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2"/>
      <name val="Helv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b/>
      <u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FF0000"/>
      <name val="Calibri"/>
      <family val="2"/>
    </font>
    <font>
      <b/>
      <u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0"/>
      <color theme="1"/>
      <name val="Calibri"/>
      <family val="2"/>
    </font>
    <font>
      <b/>
      <u/>
      <vertAlign val="superscript"/>
      <sz val="8"/>
      <color theme="1"/>
      <name val="Calibri"/>
      <family val="2"/>
      <scheme val="minor"/>
    </font>
    <font>
      <b/>
      <u/>
      <vertAlign val="superscript"/>
      <sz val="8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i/>
      <sz val="8"/>
      <name val="Calibri"/>
      <family val="2"/>
    </font>
    <font>
      <b/>
      <vertAlign val="superscript"/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vertAlign val="superscript"/>
      <sz val="10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</borders>
  <cellStyleXfs count="266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9" fillId="0" borderId="0"/>
    <xf numFmtId="1" fontId="9" fillId="0" borderId="0"/>
    <xf numFmtId="0" fontId="12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" fontId="9" fillId="0" borderId="0"/>
    <xf numFmtId="1" fontId="9" fillId="0" borderId="0"/>
    <xf numFmtId="0" fontId="1" fillId="0" borderId="0"/>
    <xf numFmtId="37" fontId="9" fillId="0" borderId="0"/>
    <xf numFmtId="43" fontId="14" fillId="0" borderId="0" applyFont="0" applyFill="0" applyBorder="0" applyAlignment="0" applyProtection="0"/>
    <xf numFmtId="170" fontId="14" fillId="0" borderId="0"/>
    <xf numFmtId="170" fontId="14" fillId="0" borderId="0"/>
    <xf numFmtId="170" fontId="28" fillId="0" borderId="0"/>
    <xf numFmtId="170" fontId="14" fillId="0" borderId="0"/>
    <xf numFmtId="170" fontId="29" fillId="3" borderId="0" applyNumberFormat="0" applyBorder="0" applyAlignment="0" applyProtection="0"/>
    <xf numFmtId="170" fontId="30" fillId="6" borderId="2" applyNumberFormat="0" applyAlignment="0" applyProtection="0"/>
    <xf numFmtId="0" fontId="30" fillId="6" borderId="2" applyNumberFormat="0" applyAlignment="0" applyProtection="0"/>
    <xf numFmtId="0" fontId="30" fillId="6" borderId="2" applyNumberFormat="0" applyAlignment="0" applyProtection="0"/>
    <xf numFmtId="170" fontId="30" fillId="6" borderId="2" applyNumberFormat="0" applyAlignment="0" applyProtection="0"/>
    <xf numFmtId="171" fontId="31" fillId="0" borderId="0"/>
    <xf numFmtId="171" fontId="31" fillId="0" borderId="0"/>
    <xf numFmtId="171" fontId="31" fillId="0" borderId="0"/>
    <xf numFmtId="171" fontId="31" fillId="0" borderId="0"/>
    <xf numFmtId="171" fontId="31" fillId="0" borderId="0"/>
    <xf numFmtId="171" fontId="31" fillId="0" borderId="0"/>
    <xf numFmtId="171" fontId="31" fillId="0" borderId="0"/>
    <xf numFmtId="171" fontId="3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38" fillId="0" borderId="0">
      <protection locked="0"/>
    </xf>
    <xf numFmtId="170" fontId="39" fillId="0" borderId="0" applyFont="0" applyFill="0" applyBorder="0" applyAlignment="0" applyProtection="0"/>
    <xf numFmtId="174" fontId="38" fillId="0" borderId="0">
      <protection locked="0"/>
    </xf>
    <xf numFmtId="170" fontId="40" fillId="2" borderId="0" applyNumberFormat="0" applyBorder="0" applyAlignment="0" applyProtection="0"/>
    <xf numFmtId="9" fontId="41" fillId="7" borderId="0" applyNumberFormat="0" applyFill="0" applyBorder="0" applyAlignment="0" applyProtection="0"/>
    <xf numFmtId="175" fontId="42" fillId="0" borderId="0">
      <protection locked="0"/>
    </xf>
    <xf numFmtId="175" fontId="42" fillId="0" borderId="0">
      <protection locked="0"/>
    </xf>
    <xf numFmtId="0" fontId="43" fillId="0" borderId="0" applyNumberFormat="0" applyFill="0" applyBorder="0" applyAlignment="0" applyProtection="0"/>
    <xf numFmtId="170" fontId="44" fillId="5" borderId="1" applyNumberFormat="0" applyAlignment="0" applyProtection="0"/>
    <xf numFmtId="0" fontId="44" fillId="5" borderId="1" applyNumberFormat="0" applyAlignment="0" applyProtection="0"/>
    <xf numFmtId="0" fontId="44" fillId="5" borderId="1" applyNumberFormat="0" applyAlignment="0" applyProtection="0"/>
    <xf numFmtId="170" fontId="44" fillId="5" borderId="1" applyNumberFormat="0" applyAlignment="0" applyProtection="0"/>
    <xf numFmtId="170" fontId="45" fillId="0" borderId="0"/>
    <xf numFmtId="170" fontId="45" fillId="0" borderId="0"/>
    <xf numFmtId="170" fontId="45" fillId="0" borderId="0"/>
    <xf numFmtId="170" fontId="46" fillId="4" borderId="0" applyNumberFormat="0" applyBorder="0" applyAlignment="0" applyProtection="0"/>
    <xf numFmtId="37" fontId="35" fillId="0" borderId="0"/>
    <xf numFmtId="176" fontId="47" fillId="0" borderId="0"/>
    <xf numFmtId="176" fontId="48" fillId="0" borderId="20"/>
    <xf numFmtId="177" fontId="49" fillId="0" borderId="6" applyNumberFormat="0" applyBorder="0">
      <protection locked="0"/>
    </xf>
    <xf numFmtId="177" fontId="49" fillId="0" borderId="6" applyNumberFormat="0" applyBorder="0">
      <protection locked="0"/>
    </xf>
    <xf numFmtId="177" fontId="49" fillId="0" borderId="6" applyNumberFormat="0" applyBorder="0">
      <protection locked="0"/>
    </xf>
    <xf numFmtId="177" fontId="49" fillId="0" borderId="6" applyNumberFormat="0" applyBorder="0">
      <protection locked="0"/>
    </xf>
    <xf numFmtId="177" fontId="49" fillId="0" borderId="6" applyNumberFormat="0" applyBorder="0">
      <protection locked="0"/>
    </xf>
    <xf numFmtId="170" fontId="50" fillId="0" borderId="0" applyNumberFormat="0" applyAlignment="0">
      <alignment horizontal="center"/>
    </xf>
    <xf numFmtId="170" fontId="50" fillId="0" borderId="0" applyNumberFormat="0" applyAlignment="0">
      <alignment horizontal="center"/>
    </xf>
    <xf numFmtId="177" fontId="51" fillId="0" borderId="0" applyNumberFormat="0" applyAlignment="0"/>
    <xf numFmtId="177" fontId="52" fillId="0" borderId="0" applyNumberFormat="0"/>
    <xf numFmtId="170" fontId="14" fillId="0" borderId="0"/>
    <xf numFmtId="37" fontId="35" fillId="0" borderId="0"/>
    <xf numFmtId="168" fontId="9" fillId="0" borderId="0"/>
    <xf numFmtId="37" fontId="35" fillId="0" borderId="0"/>
    <xf numFmtId="37" fontId="35" fillId="0" borderId="0"/>
    <xf numFmtId="170" fontId="14" fillId="0" borderId="0"/>
    <xf numFmtId="37" fontId="35" fillId="0" borderId="0"/>
    <xf numFmtId="170" fontId="14" fillId="0" borderId="0"/>
    <xf numFmtId="170" fontId="14" fillId="0" borderId="0"/>
    <xf numFmtId="39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37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170" fontId="14" fillId="0" borderId="0"/>
    <xf numFmtId="0" fontId="14" fillId="0" borderId="0"/>
    <xf numFmtId="37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4" fontId="14" fillId="0" borderId="0"/>
    <xf numFmtId="178" fontId="9" fillId="0" borderId="0"/>
    <xf numFmtId="44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4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44" fontId="14" fillId="0" borderId="0"/>
    <xf numFmtId="1" fontId="9" fillId="0" borderId="0"/>
    <xf numFmtId="44" fontId="14" fillId="0" borderId="0"/>
    <xf numFmtId="44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4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" fontId="9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4" fillId="0" borderId="0"/>
    <xf numFmtId="17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0"/>
    <xf numFmtId="0" fontId="33" fillId="0" borderId="0"/>
    <xf numFmtId="37" fontId="9" fillId="0" borderId="0"/>
    <xf numFmtId="170" fontId="14" fillId="0" borderId="0"/>
    <xf numFmtId="0" fontId="14" fillId="0" borderId="0"/>
    <xf numFmtId="0" fontId="14" fillId="0" borderId="0"/>
    <xf numFmtId="170" fontId="14" fillId="0" borderId="0"/>
    <xf numFmtId="0" fontId="33" fillId="0" borderId="0"/>
    <xf numFmtId="0" fontId="14" fillId="0" borderId="0"/>
    <xf numFmtId="37" fontId="9" fillId="0" borderId="0"/>
    <xf numFmtId="0" fontId="33" fillId="0" borderId="0"/>
    <xf numFmtId="1" fontId="9" fillId="0" borderId="0"/>
    <xf numFmtId="37" fontId="9" fillId="0" borderId="0"/>
    <xf numFmtId="37" fontId="9" fillId="0" borderId="0"/>
    <xf numFmtId="0" fontId="33" fillId="0" borderId="0"/>
    <xf numFmtId="37" fontId="9" fillId="0" borderId="0"/>
    <xf numFmtId="37" fontId="9" fillId="0" borderId="0"/>
    <xf numFmtId="170" fontId="14" fillId="0" borderId="0"/>
    <xf numFmtId="1" fontId="9" fillId="0" borderId="0"/>
    <xf numFmtId="170" fontId="14" fillId="0" borderId="0"/>
    <xf numFmtId="0" fontId="14" fillId="0" borderId="0"/>
    <xf numFmtId="0" fontId="1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2" fillId="0" borderId="0"/>
    <xf numFmtId="17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2" fillId="0" borderId="0"/>
    <xf numFmtId="170" fontId="12" fillId="0" borderId="0"/>
    <xf numFmtId="17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2" fillId="0" borderId="0"/>
    <xf numFmtId="0" fontId="33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" fontId="9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0" fontId="34" fillId="0" borderId="0"/>
    <xf numFmtId="0" fontId="14" fillId="0" borderId="0"/>
    <xf numFmtId="0" fontId="14" fillId="0" borderId="0"/>
    <xf numFmtId="0" fontId="36" fillId="0" borderId="0"/>
    <xf numFmtId="170" fontId="12" fillId="0" borderId="0"/>
    <xf numFmtId="170" fontId="12" fillId="0" borderId="0"/>
    <xf numFmtId="170" fontId="12" fillId="0" borderId="0"/>
    <xf numFmtId="0" fontId="36" fillId="0" borderId="0"/>
    <xf numFmtId="170" fontId="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0" fontId="14" fillId="0" borderId="0"/>
    <xf numFmtId="170" fontId="14" fillId="0" borderId="0"/>
    <xf numFmtId="0" fontId="14" fillId="0" borderId="0"/>
    <xf numFmtId="170" fontId="14" fillId="0" borderId="0"/>
    <xf numFmtId="168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39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39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17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0" fontId="14" fillId="0" borderId="0"/>
    <xf numFmtId="170" fontId="14" fillId="0" borderId="0"/>
    <xf numFmtId="0" fontId="14" fillId="0" borderId="0"/>
    <xf numFmtId="170" fontId="14" fillId="0" borderId="0"/>
    <xf numFmtId="178" fontId="53" fillId="0" borderId="0"/>
    <xf numFmtId="0" fontId="14" fillId="0" borderId="0"/>
    <xf numFmtId="0" fontId="33" fillId="0" borderId="0"/>
    <xf numFmtId="170" fontId="14" fillId="0" borderId="0"/>
    <xf numFmtId="17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0" fontId="33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68" fontId="9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0" fontId="33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0" fontId="33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68" fontId="9" fillId="0" borderId="0"/>
    <xf numFmtId="170" fontId="3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8" fontId="9" fillId="0" borderId="0"/>
    <xf numFmtId="170" fontId="3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" fontId="9" fillId="0" borderId="0"/>
    <xf numFmtId="170" fontId="12" fillId="0" borderId="0"/>
    <xf numFmtId="170" fontId="12" fillId="0" borderId="0"/>
    <xf numFmtId="1" fontId="9" fillId="0" borderId="0"/>
    <xf numFmtId="1" fontId="9" fillId="0" borderId="0"/>
    <xf numFmtId="170" fontId="12" fillId="0" borderId="0"/>
    <xf numFmtId="170" fontId="12" fillId="0" borderId="0"/>
    <xf numFmtId="1" fontId="9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" fontId="9" fillId="0" borderId="0"/>
    <xf numFmtId="170" fontId="3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68" fontId="9" fillId="0" borderId="0"/>
    <xf numFmtId="170" fontId="3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" fontId="9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" fontId="9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0" fontId="14" fillId="0" borderId="0"/>
    <xf numFmtId="170" fontId="14" fillId="0" borderId="0"/>
    <xf numFmtId="0" fontId="14" fillId="0" borderId="0"/>
    <xf numFmtId="170" fontId="14" fillId="0" borderId="0"/>
    <xf numFmtId="178" fontId="9" fillId="0" borderId="0"/>
    <xf numFmtId="0" fontId="14" fillId="0" borderId="0"/>
    <xf numFmtId="170" fontId="14" fillId="0" borderId="0"/>
    <xf numFmtId="0" fontId="14" fillId="0" borderId="0"/>
    <xf numFmtId="168" fontId="9" fillId="0" borderId="0"/>
    <xf numFmtId="17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9" fillId="0" borderId="0"/>
    <xf numFmtId="0" fontId="1" fillId="0" borderId="0"/>
    <xf numFmtId="1" fontId="9" fillId="0" borderId="0"/>
    <xf numFmtId="0" fontId="12" fillId="0" borderId="0"/>
    <xf numFmtId="1" fontId="9" fillId="0" borderId="0"/>
    <xf numFmtId="0" fontId="12" fillId="0" borderId="0"/>
    <xf numFmtId="1" fontId="9" fillId="0" borderId="0"/>
    <xf numFmtId="0" fontId="12" fillId="0" borderId="0"/>
    <xf numFmtId="1" fontId="9" fillId="0" borderId="0"/>
    <xf numFmtId="0" fontId="12" fillId="0" borderId="0"/>
    <xf numFmtId="1" fontId="9" fillId="0" borderId="0"/>
    <xf numFmtId="1" fontId="9" fillId="0" borderId="0"/>
    <xf numFmtId="1" fontId="9" fillId="0" borderId="0"/>
    <xf numFmtId="170" fontId="14" fillId="0" borderId="0"/>
    <xf numFmtId="170" fontId="14" fillId="0" borderId="0"/>
    <xf numFmtId="170" fontId="14" fillId="0" borderId="0"/>
    <xf numFmtId="178" fontId="9" fillId="0" borderId="0"/>
    <xf numFmtId="0" fontId="14" fillId="0" borderId="0"/>
    <xf numFmtId="0" fontId="14" fillId="0" borderId="0"/>
    <xf numFmtId="170" fontId="14" fillId="0" borderId="0"/>
    <xf numFmtId="0" fontId="33" fillId="0" borderId="0"/>
    <xf numFmtId="170" fontId="14" fillId="0" borderId="0"/>
    <xf numFmtId="170" fontId="14" fillId="0" borderId="0"/>
    <xf numFmtId="1" fontId="9" fillId="0" borderId="0"/>
    <xf numFmtId="1" fontId="9" fillId="0" borderId="0"/>
    <xf numFmtId="1" fontId="9" fillId="0" borderId="0"/>
    <xf numFmtId="1" fontId="9" fillId="0" borderId="0"/>
    <xf numFmtId="1" fontId="9" fillId="0" borderId="0"/>
    <xf numFmtId="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4" fillId="0" borderId="0"/>
    <xf numFmtId="0" fontId="14" fillId="0" borderId="0"/>
    <xf numFmtId="178" fontId="9" fillId="0" borderId="0"/>
    <xf numFmtId="39" fontId="3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8" fontId="9" fillId="0" borderId="0"/>
    <xf numFmtId="0" fontId="14" fillId="0" borderId="0"/>
    <xf numFmtId="0" fontId="14" fillId="0" borderId="0"/>
    <xf numFmtId="0" fontId="14" fillId="0" borderId="0"/>
    <xf numFmtId="17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48" fillId="0" borderId="6"/>
    <xf numFmtId="177" fontId="48" fillId="0" borderId="6"/>
    <xf numFmtId="177" fontId="48" fillId="0" borderId="6"/>
    <xf numFmtId="177" fontId="48" fillId="0" borderId="6"/>
    <xf numFmtId="177" fontId="48" fillId="0" borderId="6"/>
    <xf numFmtId="177" fontId="45" fillId="0" borderId="0" applyNumberForma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NumberFormat="0" applyFill="0" applyBorder="0" applyAlignment="0" applyProtection="0"/>
    <xf numFmtId="4" fontId="55" fillId="0" borderId="0" applyNumberFormat="0" applyProtection="0">
      <alignment horizontal="right" vertical="justify"/>
    </xf>
    <xf numFmtId="4" fontId="56" fillId="8" borderId="21" applyNumberFormat="0" applyProtection="0">
      <alignment vertical="center"/>
    </xf>
    <xf numFmtId="4" fontId="57" fillId="8" borderId="21" applyNumberFormat="0" applyProtection="0">
      <alignment horizontal="left" vertical="center" indent="1"/>
    </xf>
    <xf numFmtId="0" fontId="58" fillId="0" borderId="0" applyNumberFormat="0" applyProtection="0">
      <alignment horizontal="center"/>
    </xf>
    <xf numFmtId="4" fontId="57" fillId="0" borderId="0" applyNumberFormat="0" applyProtection="0">
      <alignment horizontal="left"/>
    </xf>
    <xf numFmtId="4" fontId="55" fillId="9" borderId="21" applyNumberFormat="0" applyProtection="0">
      <alignment horizontal="right" vertical="center"/>
    </xf>
    <xf numFmtId="4" fontId="55" fillId="10" borderId="21" applyNumberFormat="0" applyProtection="0">
      <alignment horizontal="right" vertical="center"/>
    </xf>
    <xf numFmtId="4" fontId="55" fillId="11" borderId="21" applyNumberFormat="0" applyProtection="0">
      <alignment horizontal="right" vertical="center"/>
    </xf>
    <xf numFmtId="4" fontId="55" fillId="12" borderId="21" applyNumberFormat="0" applyProtection="0">
      <alignment horizontal="right" vertical="center"/>
    </xf>
    <xf numFmtId="4" fontId="55" fillId="13" borderId="21" applyNumberFormat="0" applyProtection="0">
      <alignment horizontal="right" vertical="center"/>
    </xf>
    <xf numFmtId="4" fontId="55" fillId="14" borderId="21" applyNumberFormat="0" applyProtection="0">
      <alignment horizontal="right" vertical="center"/>
    </xf>
    <xf numFmtId="4" fontId="55" fillId="15" borderId="21" applyNumberFormat="0" applyProtection="0">
      <alignment horizontal="right" vertical="center"/>
    </xf>
    <xf numFmtId="4" fontId="55" fillId="16" borderId="21" applyNumberFormat="0" applyProtection="0">
      <alignment horizontal="right" vertical="center"/>
    </xf>
    <xf numFmtId="4" fontId="55" fillId="17" borderId="21" applyNumberFormat="0" applyProtection="0">
      <alignment horizontal="right" vertical="center"/>
    </xf>
    <xf numFmtId="4" fontId="57" fillId="0" borderId="0" applyNumberFormat="0" applyProtection="0">
      <alignment horizontal="left" vertical="center" indent="1"/>
    </xf>
    <xf numFmtId="4" fontId="55" fillId="0" borderId="0" applyNumberFormat="0" applyProtection="0">
      <alignment horizontal="left" vertical="center" indent="1"/>
    </xf>
    <xf numFmtId="4" fontId="59" fillId="18" borderId="0" applyNumberFormat="0" applyProtection="0">
      <alignment horizontal="left" vertical="center" indent="1"/>
    </xf>
    <xf numFmtId="4" fontId="55" fillId="19" borderId="21" applyNumberFormat="0" applyProtection="0">
      <alignment horizontal="right" vertical="center"/>
    </xf>
    <xf numFmtId="4" fontId="57" fillId="0" borderId="0" applyNumberFormat="0" applyProtection="0">
      <alignment horizontal="left" vertical="center" indent="1"/>
    </xf>
    <xf numFmtId="4" fontId="60" fillId="0" borderId="0" applyNumberFormat="0" applyProtection="0">
      <alignment horizontal="right" vertical="center"/>
    </xf>
    <xf numFmtId="0" fontId="61" fillId="0" borderId="0" applyNumberFormat="0" applyProtection="0">
      <alignment horizontal="left" vertical="center" indent="1"/>
    </xf>
    <xf numFmtId="0" fontId="14" fillId="18" borderId="21" applyNumberFormat="0" applyProtection="0">
      <alignment horizontal="left" vertical="top" indent="1"/>
    </xf>
    <xf numFmtId="0" fontId="62" fillId="0" borderId="0" applyNumberFormat="0" applyProtection="0">
      <alignment horizontal="left" vertical="center" indent="1"/>
    </xf>
    <xf numFmtId="0" fontId="14" fillId="20" borderId="21" applyNumberFormat="0" applyProtection="0">
      <alignment horizontal="left" vertical="top" indent="1"/>
    </xf>
    <xf numFmtId="0" fontId="14" fillId="0" borderId="0" applyNumberFormat="0" applyProtection="0">
      <alignment horizontal="left" vertical="center" indent="1"/>
    </xf>
    <xf numFmtId="0" fontId="14" fillId="0" borderId="0" applyNumberFormat="0" applyProtection="0">
      <alignment horizontal="left" vertical="center" indent="1"/>
    </xf>
    <xf numFmtId="0" fontId="14" fillId="0" borderId="0" applyNumberFormat="0" applyProtection="0">
      <alignment horizontal="left" vertical="center" indent="1"/>
    </xf>
    <xf numFmtId="0" fontId="14" fillId="0" borderId="0" applyNumberFormat="0" applyProtection="0">
      <alignment horizontal="left" vertical="center" indent="1"/>
    </xf>
    <xf numFmtId="0" fontId="14" fillId="0" borderId="0" applyNumberFormat="0" applyProtection="0">
      <alignment horizontal="left" vertical="center" indent="1"/>
    </xf>
    <xf numFmtId="0" fontId="14" fillId="21" borderId="21" applyNumberFormat="0" applyProtection="0">
      <alignment horizontal="left" vertical="top" indent="1"/>
    </xf>
    <xf numFmtId="0" fontId="14" fillId="0" borderId="0" applyNumberFormat="0" applyProtection="0">
      <alignment horizontal="left" vertical="center" indent="1"/>
    </xf>
    <xf numFmtId="0" fontId="14" fillId="22" borderId="21" applyNumberFormat="0" applyProtection="0">
      <alignment horizontal="left" vertical="top" indent="1"/>
    </xf>
    <xf numFmtId="4" fontId="55" fillId="23" borderId="21" applyNumberFormat="0" applyProtection="0">
      <alignment vertical="center"/>
    </xf>
    <xf numFmtId="4" fontId="63" fillId="23" borderId="21" applyNumberFormat="0" applyProtection="0">
      <alignment vertical="center"/>
    </xf>
    <xf numFmtId="4" fontId="55" fillId="23" borderId="21" applyNumberFormat="0" applyProtection="0">
      <alignment horizontal="left" vertical="center" indent="1"/>
    </xf>
    <xf numFmtId="0" fontId="55" fillId="23" borderId="21" applyNumberFormat="0" applyProtection="0">
      <alignment horizontal="left" vertical="top" indent="1"/>
    </xf>
    <xf numFmtId="4" fontId="55" fillId="0" borderId="0" applyNumberFormat="0" applyProtection="0">
      <alignment horizontal="right" vertical="justify"/>
    </xf>
    <xf numFmtId="4" fontId="63" fillId="24" borderId="21" applyNumberFormat="0" applyProtection="0">
      <alignment horizontal="right" vertical="center"/>
    </xf>
    <xf numFmtId="4" fontId="57" fillId="0" borderId="0" applyNumberFormat="0" applyProtection="0">
      <alignment horizontal="left" vertical="center" wrapText="1" indent="1"/>
    </xf>
    <xf numFmtId="0" fontId="58" fillId="0" borderId="0" applyNumberFormat="0" applyProtection="0">
      <alignment horizontal="center" wrapText="1"/>
    </xf>
    <xf numFmtId="4" fontId="64" fillId="0" borderId="0" applyNumberFormat="0" applyProtection="0">
      <alignment horizontal="left"/>
    </xf>
    <xf numFmtId="4" fontId="65" fillId="0" borderId="0" applyNumberFormat="0" applyProtection="0">
      <alignment horizontal="right"/>
    </xf>
    <xf numFmtId="179" fontId="14" fillId="0" borderId="0">
      <alignment horizontal="left" wrapText="1"/>
    </xf>
    <xf numFmtId="179" fontId="14" fillId="0" borderId="0">
      <alignment horizontal="left" wrapText="1"/>
    </xf>
    <xf numFmtId="170" fontId="66" fillId="0" borderId="0"/>
    <xf numFmtId="170" fontId="66" fillId="0" borderId="0"/>
    <xf numFmtId="170" fontId="66" fillId="0" borderId="0"/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38" fontId="67" fillId="0" borderId="22" applyBorder="0" applyAlignment="0" applyProtection="0">
      <alignment horizontal="center"/>
    </xf>
    <xf numFmtId="170" fontId="68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32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43" fontId="3" fillId="0" borderId="0" xfId="1" applyFont="1" applyFill="1"/>
    <xf numFmtId="2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5" fillId="0" borderId="0" xfId="3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2" fontId="6" fillId="0" borderId="0" xfId="1" applyNumberFormat="1" applyFont="1" applyFill="1" applyAlignment="1">
      <alignment horizontal="center"/>
    </xf>
    <xf numFmtId="0" fontId="6" fillId="0" borderId="0" xfId="0" quotePrefix="1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6" fillId="0" borderId="0" xfId="3" quotePrefix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6" fontId="7" fillId="0" borderId="0" xfId="0" quotePrefix="1" applyNumberFormat="1" applyFont="1" applyFill="1" applyBorder="1" applyAlignment="1">
      <alignment horizontal="center"/>
    </xf>
    <xf numFmtId="0" fontId="6" fillId="0" borderId="0" xfId="1" applyNumberFormat="1" applyFont="1" applyFill="1" applyAlignment="1">
      <alignment horizontal="center"/>
    </xf>
    <xf numFmtId="8" fontId="6" fillId="0" borderId="0" xfId="0" applyNumberFormat="1" applyFont="1" applyFill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37" fontId="2" fillId="0" borderId="9" xfId="4" applyNumberFormat="1" applyFont="1" applyFill="1" applyBorder="1" applyAlignment="1" applyProtection="1">
      <alignment horizontal="center" vertical="center"/>
    </xf>
    <xf numFmtId="37" fontId="2" fillId="0" borderId="10" xfId="4" applyNumberFormat="1" applyFont="1" applyFill="1" applyBorder="1" applyAlignment="1" applyProtection="1">
      <alignment horizontal="center" vertical="center"/>
    </xf>
    <xf numFmtId="37" fontId="2" fillId="0" borderId="10" xfId="5" applyNumberFormat="1" applyFont="1" applyFill="1" applyBorder="1" applyAlignment="1" applyProtection="1">
      <alignment horizontal="center" vertical="center"/>
    </xf>
    <xf numFmtId="37" fontId="2" fillId="0" borderId="10" xfId="5" applyNumberFormat="1" applyFont="1" applyFill="1" applyBorder="1" applyAlignment="1" applyProtection="1">
      <alignment horizontal="center" vertical="center" wrapText="1"/>
    </xf>
    <xf numFmtId="37" fontId="2" fillId="0" borderId="6" xfId="5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wrapText="1"/>
    </xf>
    <xf numFmtId="43" fontId="10" fillId="0" borderId="6" xfId="1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43" fontId="10" fillId="0" borderId="8" xfId="1" applyFont="1" applyFill="1" applyBorder="1" applyAlignment="1">
      <alignment horizontal="center" wrapText="1"/>
    </xf>
    <xf numFmtId="2" fontId="10" fillId="0" borderId="8" xfId="1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6" xfId="0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11" xfId="6" applyFont="1" applyFill="1" applyBorder="1"/>
    <xf numFmtId="3" fontId="13" fillId="0" borderId="0" xfId="6" applyNumberFormat="1" applyFont="1" applyFill="1" applyBorder="1"/>
    <xf numFmtId="164" fontId="13" fillId="0" borderId="0" xfId="7" applyNumberFormat="1" applyFont="1" applyFill="1" applyBorder="1"/>
    <xf numFmtId="3" fontId="13" fillId="0" borderId="8" xfId="6" applyNumberFormat="1" applyFont="1" applyFill="1" applyBorder="1"/>
    <xf numFmtId="164" fontId="13" fillId="0" borderId="8" xfId="1" applyNumberFormat="1" applyFont="1" applyFill="1" applyBorder="1"/>
    <xf numFmtId="164" fontId="13" fillId="0" borderId="10" xfId="1" applyNumberFormat="1" applyFont="1" applyFill="1" applyBorder="1"/>
    <xf numFmtId="164" fontId="13" fillId="0" borderId="12" xfId="1" applyNumberFormat="1" applyFont="1" applyFill="1" applyBorder="1" applyAlignment="1">
      <alignment horizontal="center"/>
    </xf>
    <xf numFmtId="164" fontId="13" fillId="0" borderId="11" xfId="1" applyNumberFormat="1" applyFont="1" applyFill="1" applyBorder="1"/>
    <xf numFmtId="164" fontId="13" fillId="0" borderId="9" xfId="1" applyNumberFormat="1" applyFont="1" applyFill="1" applyBorder="1"/>
    <xf numFmtId="43" fontId="13" fillId="0" borderId="0" xfId="0" applyNumberFormat="1" applyFont="1" applyFill="1" applyBorder="1"/>
    <xf numFmtId="2" fontId="13" fillId="0" borderId="8" xfId="1" applyNumberFormat="1" applyFont="1" applyFill="1" applyBorder="1" applyAlignment="1">
      <alignment horizontal="center"/>
    </xf>
    <xf numFmtId="0" fontId="13" fillId="0" borderId="8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0" fontId="15" fillId="0" borderId="0" xfId="3" applyNumberFormat="1" applyFont="1" applyFill="1" applyAlignment="1">
      <alignment horizontal="center"/>
    </xf>
    <xf numFmtId="164" fontId="15" fillId="0" borderId="14" xfId="1" applyNumberFormat="1" applyFont="1" applyFill="1" applyBorder="1"/>
    <xf numFmtId="0" fontId="15" fillId="0" borderId="0" xfId="0" applyFont="1" applyFill="1"/>
    <xf numFmtId="0" fontId="13" fillId="0" borderId="15" xfId="6" applyFont="1" applyFill="1" applyBorder="1"/>
    <xf numFmtId="3" fontId="13" fillId="0" borderId="14" xfId="6" applyNumberFormat="1" applyFont="1" applyFill="1" applyBorder="1"/>
    <xf numFmtId="164" fontId="13" fillId="0" borderId="14" xfId="1" applyNumberFormat="1" applyFont="1" applyFill="1" applyBorder="1"/>
    <xf numFmtId="164" fontId="13" fillId="0" borderId="13" xfId="1" applyNumberFormat="1" applyFont="1" applyFill="1" applyBorder="1"/>
    <xf numFmtId="164" fontId="13" fillId="0" borderId="13" xfId="1" applyNumberFormat="1" applyFont="1" applyFill="1" applyBorder="1" applyAlignment="1">
      <alignment horizontal="center"/>
    </xf>
    <xf numFmtId="164" fontId="13" fillId="0" borderId="15" xfId="1" applyNumberFormat="1" applyFont="1" applyFill="1" applyBorder="1"/>
    <xf numFmtId="164" fontId="13" fillId="0" borderId="0" xfId="1" applyNumberFormat="1" applyFont="1" applyFill="1" applyBorder="1"/>
    <xf numFmtId="2" fontId="13" fillId="0" borderId="14" xfId="1" applyNumberFormat="1" applyFont="1" applyFill="1" applyBorder="1" applyAlignment="1">
      <alignment horizontal="center"/>
    </xf>
    <xf numFmtId="0" fontId="13" fillId="0" borderId="14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3" fillId="0" borderId="15" xfId="6" applyFont="1" applyFill="1" applyBorder="1" applyAlignment="1" applyProtection="1">
      <alignment horizontal="left"/>
    </xf>
    <xf numFmtId="38" fontId="13" fillId="0" borderId="0" xfId="6" applyNumberFormat="1" applyFont="1" applyFill="1" applyBorder="1"/>
    <xf numFmtId="38" fontId="13" fillId="0" borderId="14" xfId="6" applyNumberFormat="1" applyFont="1" applyFill="1" applyBorder="1"/>
    <xf numFmtId="37" fontId="13" fillId="0" borderId="0" xfId="6" applyNumberFormat="1" applyFont="1" applyFill="1" applyBorder="1"/>
    <xf numFmtId="0" fontId="13" fillId="0" borderId="16" xfId="6" applyFont="1" applyFill="1" applyBorder="1"/>
    <xf numFmtId="3" fontId="13" fillId="0" borderId="7" xfId="6" applyNumberFormat="1" applyFont="1" applyFill="1" applyBorder="1"/>
    <xf numFmtId="164" fontId="13" fillId="0" borderId="7" xfId="7" applyNumberFormat="1" applyFont="1" applyFill="1" applyBorder="1"/>
    <xf numFmtId="3" fontId="13" fillId="0" borderId="17" xfId="6" applyNumberFormat="1" applyFont="1" applyFill="1" applyBorder="1"/>
    <xf numFmtId="164" fontId="13" fillId="0" borderId="17" xfId="1" applyNumberFormat="1" applyFont="1" applyFill="1" applyBorder="1"/>
    <xf numFmtId="164" fontId="13" fillId="0" borderId="18" xfId="1" applyNumberFormat="1" applyFont="1" applyFill="1" applyBorder="1"/>
    <xf numFmtId="164" fontId="13" fillId="0" borderId="18" xfId="1" applyNumberFormat="1" applyFont="1" applyFill="1" applyBorder="1" applyAlignment="1">
      <alignment horizontal="center"/>
    </xf>
    <xf numFmtId="164" fontId="13" fillId="0" borderId="16" xfId="1" applyNumberFormat="1" applyFont="1" applyFill="1" applyBorder="1"/>
    <xf numFmtId="164" fontId="13" fillId="0" borderId="7" xfId="1" applyNumberFormat="1" applyFont="1" applyFill="1" applyBorder="1"/>
    <xf numFmtId="2" fontId="13" fillId="0" borderId="17" xfId="1" applyNumberFormat="1" applyFont="1" applyFill="1" applyBorder="1" applyAlignment="1">
      <alignment horizontal="center"/>
    </xf>
    <xf numFmtId="0" fontId="13" fillId="0" borderId="17" xfId="0" applyNumberFormat="1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164" fontId="15" fillId="0" borderId="17" xfId="1" applyNumberFormat="1" applyFont="1" applyFill="1" applyBorder="1"/>
    <xf numFmtId="164" fontId="17" fillId="0" borderId="0" xfId="1" applyNumberFormat="1" applyFont="1" applyFill="1" applyBorder="1"/>
    <xf numFmtId="164" fontId="13" fillId="0" borderId="7" xfId="1" applyNumberFormat="1" applyFont="1" applyFill="1" applyBorder="1" applyAlignment="1">
      <alignment horizontal="center"/>
    </xf>
    <xf numFmtId="165" fontId="13" fillId="0" borderId="7" xfId="3" applyNumberFormat="1" applyFont="1" applyFill="1" applyBorder="1" applyAlignment="1">
      <alignment horizontal="center"/>
    </xf>
    <xf numFmtId="2" fontId="13" fillId="0" borderId="7" xfId="1" applyNumberFormat="1" applyFont="1" applyFill="1" applyBorder="1" applyAlignment="1">
      <alignment horizontal="center"/>
    </xf>
    <xf numFmtId="0" fontId="13" fillId="0" borderId="7" xfId="0" applyNumberFormat="1" applyFont="1" applyFill="1" applyBorder="1" applyAlignment="1">
      <alignment horizontal="center"/>
    </xf>
    <xf numFmtId="164" fontId="2" fillId="0" borderId="19" xfId="1" applyNumberFormat="1" applyFont="1" applyFill="1" applyBorder="1"/>
    <xf numFmtId="164" fontId="2" fillId="0" borderId="19" xfId="8" applyNumberFormat="1" applyFont="1" applyFill="1" applyBorder="1"/>
    <xf numFmtId="2" fontId="2" fillId="0" borderId="19" xfId="8" applyNumberFormat="1" applyFont="1" applyFill="1" applyBorder="1" applyAlignment="1">
      <alignment horizontal="center"/>
    </xf>
    <xf numFmtId="43" fontId="15" fillId="0" borderId="0" xfId="1" applyFont="1" applyFill="1"/>
    <xf numFmtId="2" fontId="15" fillId="0" borderId="0" xfId="1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6" xfId="0" applyFont="1" applyFill="1" applyBorder="1"/>
    <xf numFmtId="164" fontId="2" fillId="0" borderId="3" xfId="1" applyNumberFormat="1" applyFont="1" applyFill="1" applyBorder="1"/>
    <xf numFmtId="164" fontId="2" fillId="0" borderId="4" xfId="1" applyNumberFormat="1" applyFont="1" applyFill="1" applyBorder="1"/>
    <xf numFmtId="164" fontId="13" fillId="0" borderId="6" xfId="1" applyNumberFormat="1" applyFont="1" applyFill="1" applyBorder="1"/>
    <xf numFmtId="164" fontId="15" fillId="0" borderId="3" xfId="1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64" fontId="15" fillId="0" borderId="4" xfId="1" applyNumberFormat="1" applyFont="1" applyFill="1" applyBorder="1" applyAlignment="1">
      <alignment horizontal="center"/>
    </xf>
    <xf numFmtId="164" fontId="13" fillId="0" borderId="5" xfId="1" applyNumberFormat="1" applyFont="1" applyFill="1" applyBorder="1"/>
    <xf numFmtId="164" fontId="15" fillId="0" borderId="6" xfId="1" applyNumberFormat="1" applyFont="1" applyFill="1" applyBorder="1"/>
    <xf numFmtId="0" fontId="15" fillId="0" borderId="4" xfId="0" applyFont="1" applyFill="1" applyBorder="1" applyAlignment="1">
      <alignment horizontal="center"/>
    </xf>
    <xf numFmtId="0" fontId="10" fillId="0" borderId="19" xfId="0" applyFont="1" applyFill="1" applyBorder="1"/>
    <xf numFmtId="164" fontId="10" fillId="0" borderId="19" xfId="1" applyNumberFormat="1" applyFont="1" applyFill="1" applyBorder="1"/>
    <xf numFmtId="43" fontId="10" fillId="0" borderId="19" xfId="0" applyNumberFormat="1" applyFont="1" applyFill="1" applyBorder="1"/>
    <xf numFmtId="0" fontId="18" fillId="0" borderId="11" xfId="6" applyFont="1" applyFill="1" applyBorder="1"/>
    <xf numFmtId="43" fontId="18" fillId="0" borderId="9" xfId="9" applyFont="1" applyFill="1" applyBorder="1"/>
    <xf numFmtId="43" fontId="18" fillId="0" borderId="10" xfId="9" applyFont="1" applyFill="1" applyBorder="1"/>
    <xf numFmtId="43" fontId="13" fillId="0" borderId="0" xfId="10" applyFont="1" applyFill="1"/>
    <xf numFmtId="0" fontId="18" fillId="0" borderId="16" xfId="6" applyFont="1" applyFill="1" applyBorder="1"/>
    <xf numFmtId="43" fontId="18" fillId="0" borderId="7" xfId="9" applyFont="1" applyFill="1" applyBorder="1"/>
    <xf numFmtId="43" fontId="18" fillId="0" borderId="18" xfId="9" applyFont="1" applyFill="1" applyBorder="1"/>
    <xf numFmtId="0" fontId="17" fillId="0" borderId="0" xfId="0" applyFont="1" applyFill="1" applyBorder="1" applyAlignment="1">
      <alignment horizontal="left"/>
    </xf>
    <xf numFmtId="0" fontId="13" fillId="0" borderId="0" xfId="11" applyFont="1" applyFill="1" applyBorder="1"/>
    <xf numFmtId="164" fontId="13" fillId="0" borderId="0" xfId="1" applyNumberFormat="1" applyFont="1" applyFill="1"/>
    <xf numFmtId="43" fontId="13" fillId="0" borderId="0" xfId="1" applyFont="1" applyFill="1" applyBorder="1"/>
    <xf numFmtId="2" fontId="13" fillId="0" borderId="0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64" fontId="15" fillId="0" borderId="0" xfId="0" applyNumberFormat="1" applyFont="1" applyFill="1"/>
    <xf numFmtId="0" fontId="15" fillId="0" borderId="11" xfId="0" applyFont="1" applyFill="1" applyBorder="1"/>
    <xf numFmtId="0" fontId="19" fillId="0" borderId="9" xfId="0" applyFont="1" applyFill="1" applyBorder="1" applyAlignment="1">
      <alignment horizontal="right" indent="1"/>
    </xf>
    <xf numFmtId="0" fontId="15" fillId="0" borderId="9" xfId="0" applyFont="1" applyFill="1" applyBorder="1"/>
    <xf numFmtId="0" fontId="15" fillId="0" borderId="10" xfId="0" applyFont="1" applyFill="1" applyBorder="1"/>
    <xf numFmtId="0" fontId="13" fillId="0" borderId="0" xfId="12" applyFont="1" applyFill="1" applyBorder="1"/>
    <xf numFmtId="43" fontId="13" fillId="0" borderId="0" xfId="1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0" fontId="15" fillId="0" borderId="15" xfId="0" applyFont="1" applyFill="1" applyBorder="1"/>
    <xf numFmtId="0" fontId="15" fillId="0" borderId="0" xfId="0" applyFont="1" applyFill="1" applyBorder="1"/>
    <xf numFmtId="0" fontId="10" fillId="0" borderId="0" xfId="0" applyFont="1" applyFill="1" applyBorder="1" applyAlignment="1">
      <alignment horizontal="right"/>
    </xf>
    <xf numFmtId="166" fontId="11" fillId="0" borderId="0" xfId="2" applyNumberFormat="1" applyFont="1" applyFill="1" applyBorder="1"/>
    <xf numFmtId="0" fontId="15" fillId="0" borderId="13" xfId="0" applyFont="1" applyFill="1" applyBorder="1"/>
    <xf numFmtId="0" fontId="13" fillId="0" borderId="0" xfId="13" applyFont="1" applyFill="1" applyBorder="1"/>
    <xf numFmtId="166" fontId="15" fillId="0" borderId="0" xfId="2" applyNumberFormat="1" applyFont="1" applyFill="1" applyBorder="1"/>
    <xf numFmtId="0" fontId="13" fillId="0" borderId="0" xfId="14" applyFont="1" applyFill="1" applyBorder="1"/>
    <xf numFmtId="166" fontId="10" fillId="0" borderId="0" xfId="2" applyNumberFormat="1" applyFont="1" applyFill="1" applyBorder="1"/>
    <xf numFmtId="0" fontId="13" fillId="0" borderId="0" xfId="15" applyFont="1" applyFill="1" applyBorder="1"/>
    <xf numFmtId="3" fontId="15" fillId="0" borderId="0" xfId="0" applyNumberFormat="1" applyFont="1" applyFill="1"/>
    <xf numFmtId="0" fontId="10" fillId="0" borderId="0" xfId="0" applyFont="1" applyFill="1" applyBorder="1"/>
    <xf numFmtId="0" fontId="13" fillId="0" borderId="0" xfId="16" applyFont="1" applyFill="1" applyBorder="1"/>
    <xf numFmtId="166" fontId="15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"/>
    </xf>
    <xf numFmtId="0" fontId="15" fillId="0" borderId="16" xfId="0" applyFont="1" applyFill="1" applyBorder="1"/>
    <xf numFmtId="0" fontId="15" fillId="0" borderId="7" xfId="0" applyFont="1" applyFill="1" applyBorder="1"/>
    <xf numFmtId="0" fontId="21" fillId="0" borderId="7" xfId="0" applyFont="1" applyFill="1" applyBorder="1" applyAlignment="1">
      <alignment horizontal="right"/>
    </xf>
    <xf numFmtId="166" fontId="21" fillId="0" borderId="7" xfId="2" applyNumberFormat="1" applyFont="1" applyFill="1" applyBorder="1" applyAlignment="1">
      <alignment horizontal="center"/>
    </xf>
    <xf numFmtId="10" fontId="21" fillId="0" borderId="18" xfId="3" applyNumberFormat="1" applyFont="1" applyFill="1" applyBorder="1" applyAlignment="1">
      <alignment horizontal="center"/>
    </xf>
    <xf numFmtId="164" fontId="10" fillId="0" borderId="0" xfId="1" applyNumberFormat="1" applyFont="1" applyFill="1" applyBorder="1"/>
    <xf numFmtId="43" fontId="10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center"/>
    </xf>
    <xf numFmtId="166" fontId="2" fillId="0" borderId="0" xfId="8" applyNumberFormat="1" applyFont="1" applyFill="1" applyBorder="1"/>
    <xf numFmtId="0" fontId="13" fillId="0" borderId="0" xfId="8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43" fontId="15" fillId="0" borderId="0" xfId="1" applyNumberFormat="1" applyFont="1" applyFill="1"/>
    <xf numFmtId="43" fontId="10" fillId="0" borderId="0" xfId="1" applyFont="1" applyFill="1" applyBorder="1"/>
    <xf numFmtId="0" fontId="15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0" borderId="0" xfId="0" applyNumberFormat="1" applyFont="1" applyFill="1"/>
    <xf numFmtId="0" fontId="22" fillId="0" borderId="0" xfId="0" applyFont="1" applyFill="1" applyBorder="1"/>
    <xf numFmtId="0" fontId="23" fillId="0" borderId="0" xfId="17" applyNumberFormat="1" applyFont="1" applyFill="1"/>
    <xf numFmtId="0" fontId="17" fillId="0" borderId="0" xfId="17" applyNumberFormat="1" applyFont="1" applyFill="1"/>
    <xf numFmtId="1" fontId="9" fillId="0" borderId="0" xfId="18" applyFill="1"/>
    <xf numFmtId="0" fontId="23" fillId="0" borderId="0" xfId="18" applyNumberFormat="1" applyFont="1" applyFill="1" applyAlignment="1">
      <alignment horizontal="center"/>
    </xf>
    <xf numFmtId="0" fontId="23" fillId="0" borderId="0" xfId="18" applyNumberFormat="1" applyFont="1" applyFill="1"/>
    <xf numFmtId="0" fontId="23" fillId="0" borderId="0" xfId="0" applyFont="1" applyFill="1" applyBorder="1"/>
    <xf numFmtId="0" fontId="23" fillId="0" borderId="0" xfId="0" applyFont="1" applyFill="1" applyAlignment="1">
      <alignment horizontal="left"/>
    </xf>
    <xf numFmtId="0" fontId="24" fillId="0" borderId="0" xfId="19" applyFont="1" applyFill="1" applyAlignment="1">
      <alignment horizontal="left"/>
    </xf>
    <xf numFmtId="0" fontId="13" fillId="0" borderId="0" xfId="17" applyNumberFormat="1" applyFont="1" applyFill="1" applyAlignment="1">
      <alignment horizontal="center"/>
    </xf>
    <xf numFmtId="1" fontId="18" fillId="0" borderId="0" xfId="18" applyFont="1" applyFill="1" applyAlignment="1">
      <alignment horizontal="center"/>
    </xf>
    <xf numFmtId="0" fontId="25" fillId="0" borderId="0" xfId="17" applyNumberFormat="1" applyFont="1" applyFill="1" applyAlignment="1">
      <alignment horizontal="center"/>
    </xf>
    <xf numFmtId="0" fontId="25" fillId="0" borderId="0" xfId="17" applyNumberFormat="1" applyFont="1" applyFill="1"/>
    <xf numFmtId="0" fontId="17" fillId="0" borderId="0" xfId="17" applyNumberFormat="1" applyFont="1" applyFill="1" applyAlignment="1">
      <alignment horizontal="center"/>
    </xf>
    <xf numFmtId="37" fontId="13" fillId="0" borderId="8" xfId="20" applyNumberFormat="1" applyFont="1" applyFill="1" applyBorder="1" applyAlignment="1" applyProtection="1">
      <alignment horizontal="center"/>
    </xf>
    <xf numFmtId="37" fontId="13" fillId="0" borderId="11" xfId="20" applyNumberFormat="1" applyFont="1" applyFill="1" applyBorder="1" applyAlignment="1" applyProtection="1">
      <alignment horizontal="center"/>
    </xf>
    <xf numFmtId="167" fontId="13" fillId="0" borderId="10" xfId="20" applyNumberFormat="1" applyFont="1" applyFill="1" applyBorder="1" applyAlignment="1" applyProtection="1">
      <alignment horizontal="center"/>
    </xf>
    <xf numFmtId="1" fontId="13" fillId="0" borderId="14" xfId="5" applyFont="1" applyFill="1" applyBorder="1" applyAlignment="1">
      <alignment horizontal="center"/>
    </xf>
    <xf numFmtId="37" fontId="13" fillId="0" borderId="15" xfId="20" applyNumberFormat="1" applyFont="1" applyFill="1" applyBorder="1" applyAlignment="1" applyProtection="1">
      <alignment horizontal="center"/>
    </xf>
    <xf numFmtId="167" fontId="13" fillId="0" borderId="13" xfId="20" applyNumberFormat="1" applyFont="1" applyFill="1" applyBorder="1" applyAlignment="1" applyProtection="1">
      <alignment horizontal="center"/>
    </xf>
    <xf numFmtId="37" fontId="13" fillId="0" borderId="17" xfId="20" applyNumberFormat="1" applyFont="1" applyFill="1" applyBorder="1" applyAlignment="1" applyProtection="1">
      <alignment horizontal="center"/>
    </xf>
    <xf numFmtId="0" fontId="17" fillId="0" borderId="7" xfId="17" applyNumberFormat="1" applyFont="1" applyFill="1" applyBorder="1"/>
    <xf numFmtId="37" fontId="13" fillId="0" borderId="16" xfId="20" applyNumberFormat="1" applyFont="1" applyFill="1" applyBorder="1" applyAlignment="1" applyProtection="1">
      <alignment horizontal="center"/>
    </xf>
    <xf numFmtId="167" fontId="26" fillId="0" borderId="18" xfId="20" quotePrefix="1" applyNumberFormat="1" applyFont="1" applyFill="1" applyBorder="1" applyAlignment="1" applyProtection="1">
      <alignment horizontal="center"/>
      <protection locked="0"/>
    </xf>
    <xf numFmtId="168" fontId="13" fillId="0" borderId="14" xfId="20" applyNumberFormat="1" applyFont="1" applyFill="1" applyBorder="1" applyAlignment="1" applyProtection="1">
      <alignment horizontal="center"/>
    </xf>
    <xf numFmtId="165" fontId="13" fillId="0" borderId="15" xfId="20" applyNumberFormat="1" applyFont="1" applyFill="1" applyBorder="1" applyAlignment="1">
      <alignment horizontal="center"/>
    </xf>
    <xf numFmtId="169" fontId="27" fillId="0" borderId="13" xfId="21" applyNumberFormat="1" applyFont="1" applyFill="1" applyBorder="1"/>
    <xf numFmtId="169" fontId="13" fillId="0" borderId="13" xfId="21" applyNumberFormat="1" applyFont="1" applyFill="1" applyBorder="1"/>
    <xf numFmtId="1" fontId="9" fillId="0" borderId="0" xfId="18" applyFont="1" applyFill="1"/>
    <xf numFmtId="1" fontId="9" fillId="0" borderId="0" xfId="18" applyFill="1" applyBorder="1"/>
    <xf numFmtId="0" fontId="17" fillId="0" borderId="0" xfId="18" applyNumberFormat="1" applyFont="1" applyFill="1"/>
    <xf numFmtId="0" fontId="17" fillId="0" borderId="0" xfId="18" applyNumberFormat="1" applyFont="1" applyFill="1" applyBorder="1"/>
    <xf numFmtId="168" fontId="13" fillId="0" borderId="17" xfId="20" applyNumberFormat="1" applyFont="1" applyFill="1" applyBorder="1" applyAlignment="1" applyProtection="1">
      <alignment horizontal="center"/>
    </xf>
    <xf numFmtId="165" fontId="13" fillId="0" borderId="16" xfId="20" applyNumberFormat="1" applyFont="1" applyFill="1" applyBorder="1" applyAlignment="1">
      <alignment horizontal="center"/>
    </xf>
    <xf numFmtId="169" fontId="13" fillId="0" borderId="18" xfId="21" applyNumberFormat="1" applyFont="1" applyFill="1" applyBorder="1"/>
    <xf numFmtId="0" fontId="17" fillId="0" borderId="0" xfId="18" applyNumberFormat="1" applyFont="1" applyFill="1" applyAlignment="1">
      <alignment horizontal="center"/>
    </xf>
    <xf numFmtId="0" fontId="17" fillId="0" borderId="0" xfId="0" applyFont="1" applyFill="1"/>
    <xf numFmtId="0" fontId="69" fillId="0" borderId="0" xfId="2167" applyFont="1" applyFill="1" applyAlignment="1">
      <alignment horizontal="center" wrapText="1"/>
    </xf>
    <xf numFmtId="0" fontId="69" fillId="0" borderId="0" xfId="0" applyFont="1" applyFill="1" applyAlignment="1">
      <alignment horizontal="center" wrapText="1"/>
    </xf>
    <xf numFmtId="0" fontId="71" fillId="0" borderId="0" xfId="0" applyFont="1" applyFill="1" applyAlignment="1">
      <alignment horizontal="center"/>
    </xf>
    <xf numFmtId="0" fontId="13" fillId="0" borderId="0" xfId="0" applyFont="1" applyFill="1" applyBorder="1"/>
    <xf numFmtId="0" fontId="8" fillId="0" borderId="0" xfId="2642" applyFont="1" applyFill="1"/>
    <xf numFmtId="0" fontId="13" fillId="0" borderId="0" xfId="2167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6" applyFont="1" applyFill="1" applyBorder="1"/>
    <xf numFmtId="164" fontId="15" fillId="0" borderId="0" xfId="1" applyNumberFormat="1" applyFont="1" applyFill="1" applyBorder="1"/>
    <xf numFmtId="0" fontId="13" fillId="0" borderId="0" xfId="1228" applyFont="1" applyFill="1" applyBorder="1"/>
    <xf numFmtId="0" fontId="13" fillId="0" borderId="0" xfId="6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0" fillId="0" borderId="0" xfId="0" applyFill="1"/>
    <xf numFmtId="164" fontId="2" fillId="0" borderId="0" xfId="8" applyNumberFormat="1" applyFont="1" applyFill="1" applyBorder="1"/>
    <xf numFmtId="0" fontId="21" fillId="0" borderId="0" xfId="0" applyFont="1" applyFill="1"/>
    <xf numFmtId="164" fontId="21" fillId="0" borderId="0" xfId="0" applyNumberFormat="1" applyFont="1" applyFill="1"/>
    <xf numFmtId="0" fontId="0" fillId="0" borderId="11" xfId="0" applyBorder="1"/>
    <xf numFmtId="0" fontId="69" fillId="0" borderId="9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13" fillId="0" borderId="15" xfId="0" applyFont="1" applyFill="1" applyBorder="1"/>
    <xf numFmtId="0" fontId="13" fillId="0" borderId="16" xfId="0" applyFont="1" applyFill="1" applyBorder="1"/>
    <xf numFmtId="43" fontId="15" fillId="0" borderId="0" xfId="0" applyNumberFormat="1" applyFont="1" applyFill="1"/>
    <xf numFmtId="43" fontId="75" fillId="0" borderId="0" xfId="0" applyNumberFormat="1" applyFont="1" applyFill="1"/>
    <xf numFmtId="43" fontId="15" fillId="25" borderId="0" xfId="1" applyFont="1" applyFill="1" applyBorder="1"/>
    <xf numFmtId="43" fontId="0" fillId="0" borderId="0" xfId="1" applyFont="1"/>
    <xf numFmtId="43" fontId="0" fillId="0" borderId="16" xfId="1" applyFont="1" applyFill="1" applyBorder="1"/>
    <xf numFmtId="0" fontId="18" fillId="0" borderId="0" xfId="0" applyFont="1" applyFill="1" applyBorder="1" applyAlignment="1">
      <alignment horizontal="right"/>
    </xf>
    <xf numFmtId="43" fontId="2" fillId="0" borderId="0" xfId="1" applyFont="1" applyFill="1" applyBorder="1"/>
    <xf numFmtId="43" fontId="13" fillId="0" borderId="15" xfId="1" applyFont="1" applyFill="1" applyBorder="1" applyAlignment="1">
      <alignment horizontal="right"/>
    </xf>
    <xf numFmtId="43" fontId="75" fillId="0" borderId="0" xfId="0" applyNumberFormat="1" applyFont="1" applyAlignment="1">
      <alignment horizontal="center"/>
    </xf>
    <xf numFmtId="164" fontId="2" fillId="0" borderId="19" xfId="8" applyNumberFormat="1" applyFont="1" applyFill="1" applyBorder="1"/>
    <xf numFmtId="43" fontId="15" fillId="0" borderId="0" xfId="1" applyFont="1" applyFill="1"/>
    <xf numFmtId="0" fontId="13" fillId="0" borderId="0" xfId="0" applyFont="1" applyFill="1" applyBorder="1"/>
    <xf numFmtId="164" fontId="2" fillId="0" borderId="0" xfId="8" applyNumberFormat="1" applyFont="1" applyFill="1" applyBorder="1"/>
    <xf numFmtId="164" fontId="13" fillId="0" borderId="7" xfId="1" applyNumberFormat="1" applyFont="1" applyFill="1" applyBorder="1"/>
    <xf numFmtId="164" fontId="13" fillId="0" borderId="11" xfId="1" applyNumberFormat="1" applyFont="1" applyFill="1" applyBorder="1"/>
    <xf numFmtId="164" fontId="13" fillId="0" borderId="9" xfId="1" applyNumberFormat="1" applyFont="1" applyFill="1" applyBorder="1"/>
    <xf numFmtId="164" fontId="13" fillId="0" borderId="15" xfId="1" applyNumberFormat="1" applyFont="1" applyFill="1" applyBorder="1"/>
    <xf numFmtId="164" fontId="13" fillId="0" borderId="16" xfId="1" applyNumberFormat="1" applyFont="1" applyFill="1" applyBorder="1"/>
    <xf numFmtId="164" fontId="13" fillId="0" borderId="0" xfId="1" applyNumberFormat="1" applyFont="1" applyFill="1" applyBorder="1"/>
    <xf numFmtId="0" fontId="13" fillId="0" borderId="15" xfId="0" applyFont="1" applyFill="1" applyBorder="1" applyAlignment="1">
      <alignment horizontal="right"/>
    </xf>
    <xf numFmtId="0" fontId="13" fillId="0" borderId="15" xfId="0" applyFont="1" applyFill="1" applyBorder="1" applyAlignment="1" applyProtection="1">
      <alignment horizontal="left"/>
    </xf>
    <xf numFmtId="164" fontId="15" fillId="0" borderId="14" xfId="1" applyNumberFormat="1" applyFont="1" applyFill="1" applyBorder="1"/>
    <xf numFmtId="0" fontId="13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0" fontId="13" fillId="0" borderId="15" xfId="0" applyFont="1" applyFill="1" applyBorder="1"/>
    <xf numFmtId="43" fontId="15" fillId="0" borderId="0" xfId="1" applyFont="1" applyFill="1" applyBorder="1"/>
    <xf numFmtId="0" fontId="0" fillId="0" borderId="0" xfId="0" applyFill="1"/>
    <xf numFmtId="164" fontId="15" fillId="0" borderId="17" xfId="1" applyNumberFormat="1" applyFont="1" applyFill="1" applyBorder="1"/>
    <xf numFmtId="0" fontId="74" fillId="0" borderId="0" xfId="0" applyFont="1" applyFill="1"/>
    <xf numFmtId="164" fontId="15" fillId="0" borderId="0" xfId="1" applyNumberFormat="1" applyFont="1" applyFill="1" applyBorder="1"/>
    <xf numFmtId="164" fontId="21" fillId="0" borderId="0" xfId="0" applyNumberFormat="1" applyFont="1" applyFill="1"/>
    <xf numFmtId="0" fontId="10" fillId="0" borderId="0" xfId="0" applyFont="1" applyFill="1" applyBorder="1" applyAlignment="1">
      <alignment horizontal="center"/>
    </xf>
    <xf numFmtId="0" fontId="13" fillId="0" borderId="0" xfId="6" applyFont="1" applyFill="1" applyBorder="1"/>
    <xf numFmtId="0" fontId="13" fillId="0" borderId="0" xfId="6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center"/>
    </xf>
    <xf numFmtId="0" fontId="13" fillId="0" borderId="0" xfId="1228" applyFont="1" applyFill="1" applyBorder="1"/>
    <xf numFmtId="164" fontId="73" fillId="0" borderId="9" xfId="8" applyNumberFormat="1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0" fillId="0" borderId="13" xfId="0" applyFill="1" applyBorder="1"/>
    <xf numFmtId="0" fontId="13" fillId="0" borderId="15" xfId="1228" applyFont="1" applyFill="1" applyBorder="1"/>
    <xf numFmtId="0" fontId="0" fillId="0" borderId="15" xfId="0" applyFill="1" applyBorder="1"/>
    <xf numFmtId="0" fontId="21" fillId="0" borderId="13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0" fillId="0" borderId="16" xfId="0" applyFill="1" applyBorder="1"/>
    <xf numFmtId="0" fontId="18" fillId="0" borderId="0" xfId="0" applyFont="1" applyFill="1" applyBorder="1"/>
    <xf numFmtId="0" fontId="0" fillId="0" borderId="11" xfId="0" applyFill="1" applyBorder="1"/>
    <xf numFmtId="0" fontId="21" fillId="0" borderId="10" xfId="0" applyFont="1" applyFill="1" applyBorder="1" applyAlignment="1">
      <alignment horizontal="center" wrapText="1"/>
    </xf>
    <xf numFmtId="0" fontId="18" fillId="0" borderId="0" xfId="0" applyFont="1" applyFill="1"/>
    <xf numFmtId="43" fontId="10" fillId="0" borderId="8" xfId="1" applyFont="1" applyFill="1" applyBorder="1" applyAlignment="1">
      <alignment horizontal="center" vertical="top" wrapText="1"/>
    </xf>
    <xf numFmtId="0" fontId="73" fillId="0" borderId="9" xfId="8" applyNumberFormat="1" applyFont="1" applyFill="1" applyBorder="1" applyAlignment="1">
      <alignment horizontal="center" wrapText="1"/>
    </xf>
    <xf numFmtId="0" fontId="73" fillId="0" borderId="0" xfId="8" applyNumberFormat="1" applyFont="1" applyFill="1" applyBorder="1" applyAlignment="1">
      <alignment horizontal="center" wrapText="1"/>
    </xf>
    <xf numFmtId="0" fontId="81" fillId="0" borderId="0" xfId="0" applyFont="1" applyFill="1"/>
    <xf numFmtId="164" fontId="17" fillId="0" borderId="0" xfId="1" applyNumberFormat="1" applyFont="1" applyBorder="1"/>
    <xf numFmtId="164" fontId="15" fillId="0" borderId="13" xfId="0" applyNumberFormat="1" applyFont="1" applyBorder="1"/>
    <xf numFmtId="164" fontId="17" fillId="0" borderId="7" xfId="1" applyNumberFormat="1" applyFont="1" applyBorder="1"/>
    <xf numFmtId="164" fontId="15" fillId="0" borderId="18" xfId="0" applyNumberFormat="1" applyFont="1" applyBorder="1"/>
    <xf numFmtId="164" fontId="2" fillId="0" borderId="23" xfId="1" applyNumberFormat="1" applyFont="1" applyFill="1" applyBorder="1"/>
    <xf numFmtId="164" fontId="15" fillId="0" borderId="13" xfId="1" applyNumberFormat="1" applyFont="1" applyFill="1" applyBorder="1"/>
    <xf numFmtId="164" fontId="17" fillId="0" borderId="7" xfId="1" applyNumberFormat="1" applyFont="1" applyFill="1" applyBorder="1"/>
    <xf numFmtId="164" fontId="2" fillId="0" borderId="5" xfId="1" applyNumberFormat="1" applyFont="1" applyFill="1" applyBorder="1"/>
    <xf numFmtId="166" fontId="13" fillId="0" borderId="0" xfId="2640" applyNumberFormat="1" applyFont="1" applyFill="1" applyAlignment="1">
      <alignment horizontal="right"/>
    </xf>
    <xf numFmtId="166" fontId="13" fillId="0" borderId="0" xfId="1" applyNumberFormat="1" applyFont="1" applyFill="1"/>
    <xf numFmtId="166" fontId="17" fillId="0" borderId="0" xfId="0" applyNumberFormat="1" applyFont="1" applyFill="1"/>
    <xf numFmtId="166" fontId="13" fillId="0" borderId="0" xfId="2641" applyNumberFormat="1" applyFont="1" applyFill="1" applyAlignment="1">
      <alignment horizontal="right"/>
    </xf>
    <xf numFmtId="166" fontId="2" fillId="0" borderId="19" xfId="2640" applyNumberFormat="1" applyFont="1" applyFill="1" applyBorder="1" applyAlignment="1">
      <alignment horizontal="right"/>
    </xf>
    <xf numFmtId="166" fontId="2" fillId="0" borderId="19" xfId="1" applyNumberFormat="1" applyFont="1" applyFill="1" applyBorder="1"/>
    <xf numFmtId="164" fontId="15" fillId="25" borderId="0" xfId="1" applyNumberFormat="1" applyFont="1" applyFill="1" applyBorder="1"/>
    <xf numFmtId="0" fontId="82" fillId="0" borderId="0" xfId="0" applyFont="1" applyFill="1"/>
    <xf numFmtId="0" fontId="79" fillId="0" borderId="0" xfId="0" applyFont="1" applyFill="1" applyAlignment="1">
      <alignment horizontal="left" wrapText="1"/>
    </xf>
    <xf numFmtId="0" fontId="85" fillId="0" borderId="0" xfId="0" applyFont="1" applyFill="1"/>
    <xf numFmtId="0" fontId="86" fillId="0" borderId="0" xfId="0" applyFont="1" applyFill="1"/>
    <xf numFmtId="0" fontId="88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6" fontId="7" fillId="0" borderId="7" xfId="0" quotePrefix="1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0" borderId="0" xfId="1" applyNumberFormat="1" applyFont="1" applyFill="1" applyAlignment="1">
      <alignment horizontal="left" wrapText="1"/>
    </xf>
    <xf numFmtId="0" fontId="84" fillId="0" borderId="3" xfId="0" applyFont="1" applyFill="1" applyBorder="1" applyAlignment="1">
      <alignment horizontal="center"/>
    </xf>
    <xf numFmtId="0" fontId="84" fillId="0" borderId="5" xfId="0" applyFont="1" applyFill="1" applyBorder="1" applyAlignment="1">
      <alignment horizontal="center"/>
    </xf>
    <xf numFmtId="0" fontId="72" fillId="0" borderId="3" xfId="0" applyFont="1" applyBorder="1" applyAlignment="1">
      <alignment horizontal="center"/>
    </xf>
    <xf numFmtId="0" fontId="72" fillId="0" borderId="4" xfId="0" applyFont="1" applyBorder="1" applyAlignment="1">
      <alignment horizontal="center"/>
    </xf>
    <xf numFmtId="0" fontId="72" fillId="0" borderId="5" xfId="0" applyFont="1" applyBorder="1" applyAlignment="1">
      <alignment horizontal="center"/>
    </xf>
    <xf numFmtId="0" fontId="13" fillId="0" borderId="0" xfId="2167" applyFont="1" applyFill="1" applyBorder="1" applyAlignment="1">
      <alignment horizontal="left"/>
    </xf>
    <xf numFmtId="0" fontId="87" fillId="0" borderId="3" xfId="0" applyFont="1" applyFill="1" applyBorder="1" applyAlignment="1">
      <alignment horizontal="center"/>
    </xf>
    <xf numFmtId="0" fontId="87" fillId="0" borderId="5" xfId="0" applyFont="1" applyFill="1" applyBorder="1" applyAlignment="1">
      <alignment horizontal="center"/>
    </xf>
    <xf numFmtId="0" fontId="72" fillId="0" borderId="3" xfId="0" applyFont="1" applyFill="1" applyBorder="1" applyAlignment="1">
      <alignment horizontal="center"/>
    </xf>
    <xf numFmtId="0" fontId="72" fillId="0" borderId="4" xfId="0" applyFont="1" applyFill="1" applyBorder="1" applyAlignment="1">
      <alignment horizontal="center"/>
    </xf>
    <xf numFmtId="0" fontId="72" fillId="0" borderId="5" xfId="0" applyFont="1" applyFill="1" applyBorder="1" applyAlignment="1">
      <alignment horizontal="center"/>
    </xf>
    <xf numFmtId="0" fontId="25" fillId="0" borderId="0" xfId="17" applyNumberFormat="1" applyFont="1" applyFill="1" applyAlignment="1">
      <alignment horizontal="center"/>
    </xf>
    <xf numFmtId="0" fontId="8" fillId="0" borderId="0" xfId="17" applyNumberFormat="1" applyFont="1" applyFill="1" applyAlignment="1">
      <alignment horizontal="center"/>
    </xf>
  </cellXfs>
  <cellStyles count="2663">
    <cellStyle name="_x0013_" xfId="22"/>
    <cellStyle name="_x0013_ 2" xfId="23"/>
    <cellStyle name="??_HB_diagram-HHH" xfId="24"/>
    <cellStyle name="_x0013__Ocotillo" xfId="25"/>
    <cellStyle name="Bad 2" xfId="26"/>
    <cellStyle name="Check Cell 2" xfId="27"/>
    <cellStyle name="Check Cell 3" xfId="28"/>
    <cellStyle name="Check Cell 3 2" xfId="29"/>
    <cellStyle name="Check Cell 3 3" xfId="30"/>
    <cellStyle name="Comma" xfId="1" builtinId="3"/>
    <cellStyle name="Comma  - Style1" xfId="31"/>
    <cellStyle name="Comma  - Style2" xfId="32"/>
    <cellStyle name="Comma  - Style3" xfId="33"/>
    <cellStyle name="Comma  - Style4" xfId="34"/>
    <cellStyle name="Comma  - Style5" xfId="35"/>
    <cellStyle name="Comma  - Style6" xfId="36"/>
    <cellStyle name="Comma  - Style7" xfId="37"/>
    <cellStyle name="Comma  - Style8" xfId="38"/>
    <cellStyle name="Comma [0] 2" xfId="39"/>
    <cellStyle name="Comma [0] 2 2" xfId="40"/>
    <cellStyle name="Comma [0] 2 2 2" xfId="41"/>
    <cellStyle name="Comma [0] 2 2 2 2" xfId="42"/>
    <cellStyle name="Comma [0] 2 2 2 3" xfId="43"/>
    <cellStyle name="Comma [0] 2 2 3" xfId="44"/>
    <cellStyle name="Comma [0] 2 2 4" xfId="45"/>
    <cellStyle name="Comma [0] 2 2 5" xfId="46"/>
    <cellStyle name="Comma [0] 2 3" xfId="47"/>
    <cellStyle name="Comma [0] 2 3 2" xfId="48"/>
    <cellStyle name="Comma [0] 2 3 3" xfId="49"/>
    <cellStyle name="Comma [0] 2 4" xfId="50"/>
    <cellStyle name="Comma [0] 2 5" xfId="51"/>
    <cellStyle name="Comma [0] 2 6" xfId="52"/>
    <cellStyle name="Comma 10" xfId="53"/>
    <cellStyle name="Comma 10 2" xfId="54"/>
    <cellStyle name="Comma 10 2 2" xfId="55"/>
    <cellStyle name="Comma 10 2 2 2" xfId="56"/>
    <cellStyle name="Comma 10 2 2 2 2" xfId="57"/>
    <cellStyle name="Comma 10 2 2 3" xfId="58"/>
    <cellStyle name="Comma 10 2 2 4" xfId="59"/>
    <cellStyle name="Comma 10 2 2 5" xfId="60"/>
    <cellStyle name="Comma 10 2 3" xfId="61"/>
    <cellStyle name="Comma 10 2 3 2" xfId="62"/>
    <cellStyle name="Comma 10 2 3 2 2" xfId="63"/>
    <cellStyle name="Comma 10 2 3 3" xfId="64"/>
    <cellStyle name="Comma 10 2 3 4" xfId="65"/>
    <cellStyle name="Comma 10 2 3 5" xfId="66"/>
    <cellStyle name="Comma 10 2 4" xfId="67"/>
    <cellStyle name="Comma 10 2 4 2" xfId="68"/>
    <cellStyle name="Comma 10 2 5" xfId="69"/>
    <cellStyle name="Comma 10 2 6" xfId="70"/>
    <cellStyle name="Comma 10 2 7" xfId="71"/>
    <cellStyle name="Comma 10 3" xfId="72"/>
    <cellStyle name="Comma 10 3 2" xfId="73"/>
    <cellStyle name="Comma 10 3 2 2" xfId="74"/>
    <cellStyle name="Comma 10 3 3" xfId="75"/>
    <cellStyle name="Comma 10 3 4" xfId="76"/>
    <cellStyle name="Comma 10 3 5" xfId="77"/>
    <cellStyle name="Comma 10 4" xfId="78"/>
    <cellStyle name="Comma 10 5" xfId="79"/>
    <cellStyle name="Comma 10 5 2" xfId="80"/>
    <cellStyle name="Comma 10 5 2 2" xfId="81"/>
    <cellStyle name="Comma 10 5 3" xfId="82"/>
    <cellStyle name="Comma 10 5 4" xfId="83"/>
    <cellStyle name="Comma 10 5 5" xfId="84"/>
    <cellStyle name="Comma 10 6" xfId="85"/>
    <cellStyle name="Comma 10 6 2" xfId="86"/>
    <cellStyle name="Comma 10 6 2 2" xfId="87"/>
    <cellStyle name="Comma 10 6 3" xfId="88"/>
    <cellStyle name="Comma 10 6 4" xfId="89"/>
    <cellStyle name="Comma 10 6 5" xfId="90"/>
    <cellStyle name="Comma 10 7" xfId="91"/>
    <cellStyle name="Comma 10 8" xfId="92"/>
    <cellStyle name="Comma 100" xfId="93"/>
    <cellStyle name="Comma 101" xfId="94"/>
    <cellStyle name="Comma 102" xfId="95"/>
    <cellStyle name="Comma 103" xfId="96"/>
    <cellStyle name="Comma 104" xfId="97"/>
    <cellStyle name="Comma 105" xfId="98"/>
    <cellStyle name="Comma 106" xfId="99"/>
    <cellStyle name="Comma 107" xfId="100"/>
    <cellStyle name="Comma 108" xfId="101"/>
    <cellStyle name="Comma 109" xfId="102"/>
    <cellStyle name="Comma 11" xfId="103"/>
    <cellStyle name="Comma 11 2" xfId="104"/>
    <cellStyle name="Comma 11 3" xfId="105"/>
    <cellStyle name="Comma 110" xfId="106"/>
    <cellStyle name="Comma 111" xfId="107"/>
    <cellStyle name="Comma 112" xfId="108"/>
    <cellStyle name="Comma 113" xfId="109"/>
    <cellStyle name="Comma 114" xfId="110"/>
    <cellStyle name="Comma 115" xfId="111"/>
    <cellStyle name="Comma 116" xfId="112"/>
    <cellStyle name="Comma 117" xfId="113"/>
    <cellStyle name="Comma 118" xfId="114"/>
    <cellStyle name="Comma 119" xfId="115"/>
    <cellStyle name="Comma 12" xfId="116"/>
    <cellStyle name="Comma 12 2" xfId="117"/>
    <cellStyle name="Comma 12 3" xfId="118"/>
    <cellStyle name="Comma 12 3 2" xfId="119"/>
    <cellStyle name="Comma 12 3 3" xfId="120"/>
    <cellStyle name="Comma 12 3 4" xfId="121"/>
    <cellStyle name="Comma 12 4" xfId="122"/>
    <cellStyle name="Comma 12 4 2" xfId="123"/>
    <cellStyle name="Comma 12 4 3" xfId="124"/>
    <cellStyle name="Comma 12 5" xfId="125"/>
    <cellStyle name="Comma 12 6" xfId="126"/>
    <cellStyle name="Comma 120" xfId="127"/>
    <cellStyle name="Comma 121" xfId="128"/>
    <cellStyle name="Comma 122" xfId="129"/>
    <cellStyle name="Comma 123" xfId="130"/>
    <cellStyle name="Comma 124" xfId="131"/>
    <cellStyle name="Comma 125" xfId="132"/>
    <cellStyle name="Comma 126" xfId="133"/>
    <cellStyle name="Comma 127" xfId="134"/>
    <cellStyle name="Comma 128" xfId="135"/>
    <cellStyle name="Comma 129" xfId="136"/>
    <cellStyle name="Comma 13" xfId="137"/>
    <cellStyle name="Comma 130" xfId="138"/>
    <cellStyle name="Comma 131" xfId="139"/>
    <cellStyle name="Comma 132" xfId="140"/>
    <cellStyle name="Comma 133" xfId="141"/>
    <cellStyle name="Comma 134" xfId="142"/>
    <cellStyle name="Comma 135" xfId="143"/>
    <cellStyle name="Comma 136" xfId="144"/>
    <cellStyle name="Comma 137" xfId="145"/>
    <cellStyle name="Comma 138" xfId="146"/>
    <cellStyle name="Comma 139" xfId="147"/>
    <cellStyle name="Comma 14" xfId="148"/>
    <cellStyle name="Comma 140" xfId="149"/>
    <cellStyle name="Comma 141" xfId="150"/>
    <cellStyle name="Comma 141 2" xfId="151"/>
    <cellStyle name="Comma 141 2 2" xfId="152"/>
    <cellStyle name="Comma 141 3" xfId="153"/>
    <cellStyle name="Comma 141 4" xfId="154"/>
    <cellStyle name="Comma 141 5" xfId="155"/>
    <cellStyle name="Comma 142" xfId="156"/>
    <cellStyle name="Comma 142 2" xfId="157"/>
    <cellStyle name="Comma 142 3" xfId="158"/>
    <cellStyle name="Comma 142 4" xfId="159"/>
    <cellStyle name="Comma 142 4 2" xfId="2643"/>
    <cellStyle name="Comma 142 4 3" xfId="2644"/>
    <cellStyle name="Comma 142 5" xfId="160"/>
    <cellStyle name="Comma 143" xfId="161"/>
    <cellStyle name="Comma 143 2" xfId="162"/>
    <cellStyle name="Comma 143 3" xfId="163"/>
    <cellStyle name="Comma 143 4" xfId="164"/>
    <cellStyle name="Comma 143 4 2" xfId="2645"/>
    <cellStyle name="Comma 143 4 3" xfId="2646"/>
    <cellStyle name="Comma 143 5" xfId="165"/>
    <cellStyle name="Comma 144" xfId="166"/>
    <cellStyle name="Comma 144 2" xfId="167"/>
    <cellStyle name="Comma 144 3" xfId="168"/>
    <cellStyle name="Comma 144 4" xfId="169"/>
    <cellStyle name="Comma 144 4 2" xfId="2647"/>
    <cellStyle name="Comma 144 4 3" xfId="2648"/>
    <cellStyle name="Comma 144 5" xfId="170"/>
    <cellStyle name="Comma 145" xfId="171"/>
    <cellStyle name="Comma 145 2" xfId="172"/>
    <cellStyle name="Comma 146" xfId="173"/>
    <cellStyle name="Comma 146 2" xfId="174"/>
    <cellStyle name="Comma 147" xfId="175"/>
    <cellStyle name="Comma 147 2" xfId="176"/>
    <cellStyle name="Comma 147 3" xfId="177"/>
    <cellStyle name="Comma 147 4" xfId="178"/>
    <cellStyle name="Comma 147 4 2" xfId="2649"/>
    <cellStyle name="Comma 147 4 3" xfId="2650"/>
    <cellStyle name="Comma 147 5" xfId="179"/>
    <cellStyle name="Comma 148" xfId="7"/>
    <cellStyle name="Comma 148 2" xfId="180"/>
    <cellStyle name="Comma 149" xfId="181"/>
    <cellStyle name="Comma 149 2" xfId="182"/>
    <cellStyle name="Comma 149 2 2" xfId="183"/>
    <cellStyle name="Comma 149 3" xfId="184"/>
    <cellStyle name="Comma 149 4" xfId="185"/>
    <cellStyle name="Comma 149 5" xfId="186"/>
    <cellStyle name="Comma 15" xfId="187"/>
    <cellStyle name="Comma 150" xfId="10"/>
    <cellStyle name="Comma 150 2" xfId="188"/>
    <cellStyle name="Comma 150 2 2" xfId="189"/>
    <cellStyle name="Comma 150 3" xfId="190"/>
    <cellStyle name="Comma 150 4" xfId="191"/>
    <cellStyle name="Comma 150 5" xfId="192"/>
    <cellStyle name="Comma 151" xfId="9"/>
    <cellStyle name="Comma 151 2" xfId="193"/>
    <cellStyle name="Comma 151 2 2" xfId="194"/>
    <cellStyle name="Comma 151 3" xfId="195"/>
    <cellStyle name="Comma 151 4" xfId="196"/>
    <cellStyle name="Comma 151 5" xfId="197"/>
    <cellStyle name="Comma 152" xfId="198"/>
    <cellStyle name="Comma 153" xfId="199"/>
    <cellStyle name="Comma 154" xfId="200"/>
    <cellStyle name="Comma 155" xfId="201"/>
    <cellStyle name="Comma 156" xfId="202"/>
    <cellStyle name="Comma 157" xfId="203"/>
    <cellStyle name="Comma 158" xfId="204"/>
    <cellStyle name="Comma 159" xfId="205"/>
    <cellStyle name="Comma 16" xfId="206"/>
    <cellStyle name="Comma 160" xfId="207"/>
    <cellStyle name="Comma 161" xfId="208"/>
    <cellStyle name="Comma 162" xfId="209"/>
    <cellStyle name="Comma 163" xfId="210"/>
    <cellStyle name="Comma 164" xfId="211"/>
    <cellStyle name="Comma 165" xfId="212"/>
    <cellStyle name="Comma 166" xfId="213"/>
    <cellStyle name="Comma 167" xfId="214"/>
    <cellStyle name="Comma 168" xfId="215"/>
    <cellStyle name="Comma 169" xfId="216"/>
    <cellStyle name="Comma 17" xfId="217"/>
    <cellStyle name="Comma 170" xfId="218"/>
    <cellStyle name="Comma 171" xfId="219"/>
    <cellStyle name="Comma 172" xfId="220"/>
    <cellStyle name="Comma 172 2" xfId="2641"/>
    <cellStyle name="Comma 172 2 2" xfId="2651"/>
    <cellStyle name="Comma 173" xfId="221"/>
    <cellStyle name="Comma 173 2" xfId="2652"/>
    <cellStyle name="Comma 173 3" xfId="2653"/>
    <cellStyle name="Comma 174" xfId="222"/>
    <cellStyle name="Comma 175" xfId="223"/>
    <cellStyle name="Comma 176" xfId="224"/>
    <cellStyle name="Comma 177" xfId="225"/>
    <cellStyle name="Comma 178" xfId="226"/>
    <cellStyle name="Comma 179" xfId="227"/>
    <cellStyle name="Comma 18" xfId="228"/>
    <cellStyle name="Comma 180" xfId="229"/>
    <cellStyle name="Comma 181" xfId="230"/>
    <cellStyle name="Comma 182" xfId="231"/>
    <cellStyle name="Comma 183" xfId="232"/>
    <cellStyle name="Comma 184" xfId="233"/>
    <cellStyle name="Comma 185" xfId="234"/>
    <cellStyle name="Comma 186" xfId="235"/>
    <cellStyle name="Comma 187" xfId="236"/>
    <cellStyle name="Comma 188" xfId="237"/>
    <cellStyle name="Comma 189" xfId="238"/>
    <cellStyle name="Comma 19" xfId="239"/>
    <cellStyle name="Comma 190" xfId="240"/>
    <cellStyle name="Comma 191" xfId="241"/>
    <cellStyle name="Comma 192" xfId="242"/>
    <cellStyle name="Comma 193" xfId="243"/>
    <cellStyle name="Comma 194" xfId="244"/>
    <cellStyle name="Comma 195" xfId="245"/>
    <cellStyle name="Comma 196" xfId="246"/>
    <cellStyle name="Comma 197" xfId="247"/>
    <cellStyle name="Comma 198" xfId="248"/>
    <cellStyle name="Comma 199" xfId="249"/>
    <cellStyle name="Comma 2" xfId="250"/>
    <cellStyle name="Comma 2 2" xfId="251"/>
    <cellStyle name="Comma 2 2 2" xfId="252"/>
    <cellStyle name="Comma 2 2 3" xfId="253"/>
    <cellStyle name="Comma 2 2 3 2" xfId="254"/>
    <cellStyle name="Comma 2 2 4" xfId="255"/>
    <cellStyle name="Comma 2 2 4 2" xfId="256"/>
    <cellStyle name="Comma 2 2 4 3" xfId="257"/>
    <cellStyle name="Comma 2 2 5" xfId="258"/>
    <cellStyle name="Comma 2 2 6" xfId="259"/>
    <cellStyle name="Comma 2 3" xfId="260"/>
    <cellStyle name="Comma 2 3 2" xfId="261"/>
    <cellStyle name="Comma 2 3 3" xfId="262"/>
    <cellStyle name="Comma 2 3 4" xfId="263"/>
    <cellStyle name="Comma 2 3 5" xfId="264"/>
    <cellStyle name="Comma 2 4" xfId="265"/>
    <cellStyle name="Comma 2 4 2" xfId="266"/>
    <cellStyle name="Comma 2 4 3" xfId="267"/>
    <cellStyle name="Comma 2 4 4" xfId="268"/>
    <cellStyle name="Comma 2 4 5" xfId="269"/>
    <cellStyle name="Comma 2 5" xfId="270"/>
    <cellStyle name="Comma 2 6" xfId="271"/>
    <cellStyle name="Comma 20" xfId="272"/>
    <cellStyle name="Comma 200" xfId="273"/>
    <cellStyle name="Comma 201" xfId="274"/>
    <cellStyle name="Comma 202" xfId="275"/>
    <cellStyle name="Comma 203" xfId="276"/>
    <cellStyle name="Comma 204" xfId="277"/>
    <cellStyle name="Comma 205" xfId="278"/>
    <cellStyle name="Comma 206" xfId="279"/>
    <cellStyle name="Comma 207" xfId="280"/>
    <cellStyle name="Comma 21" xfId="281"/>
    <cellStyle name="Comma 22" xfId="282"/>
    <cellStyle name="Comma 23" xfId="283"/>
    <cellStyle name="Comma 24" xfId="284"/>
    <cellStyle name="Comma 25" xfId="285"/>
    <cellStyle name="Comma 26" xfId="286"/>
    <cellStyle name="Comma 27" xfId="287"/>
    <cellStyle name="Comma 28" xfId="288"/>
    <cellStyle name="Comma 29" xfId="289"/>
    <cellStyle name="Comma 3" xfId="290"/>
    <cellStyle name="Comma 3 10" xfId="21"/>
    <cellStyle name="Comma 3 10 2" xfId="291"/>
    <cellStyle name="Comma 3 11" xfId="292"/>
    <cellStyle name="Comma 3 11 2" xfId="293"/>
    <cellStyle name="Comma 3 12" xfId="294"/>
    <cellStyle name="Comma 3 13" xfId="295"/>
    <cellStyle name="Comma 3 2" xfId="296"/>
    <cellStyle name="Comma 3 2 2" xfId="297"/>
    <cellStyle name="Comma 3 2 2 2" xfId="298"/>
    <cellStyle name="Comma 3 2 2 3" xfId="299"/>
    <cellStyle name="Comma 3 2 3" xfId="300"/>
    <cellStyle name="Comma 3 2 3 2" xfId="301"/>
    <cellStyle name="Comma 3 2 4" xfId="302"/>
    <cellStyle name="Comma 3 3" xfId="303"/>
    <cellStyle name="Comma 3 3 2" xfId="304"/>
    <cellStyle name="Comma 3 3 2 2" xfId="305"/>
    <cellStyle name="Comma 3 3 2 2 2" xfId="306"/>
    <cellStyle name="Comma 3 3 2 2 2 2" xfId="307"/>
    <cellStyle name="Comma 3 3 2 2 2 2 2" xfId="308"/>
    <cellStyle name="Comma 3 3 2 2 2 2 2 2" xfId="309"/>
    <cellStyle name="Comma 3 3 2 2 2 2 3" xfId="310"/>
    <cellStyle name="Comma 3 3 2 2 2 2 4" xfId="311"/>
    <cellStyle name="Comma 3 3 2 2 2 2 5" xfId="312"/>
    <cellStyle name="Comma 3 3 2 2 2 3" xfId="313"/>
    <cellStyle name="Comma 3 3 2 2 2 3 2" xfId="314"/>
    <cellStyle name="Comma 3 3 2 2 2 3 2 2" xfId="315"/>
    <cellStyle name="Comma 3 3 2 2 2 3 3" xfId="316"/>
    <cellStyle name="Comma 3 3 2 2 2 3 4" xfId="317"/>
    <cellStyle name="Comma 3 3 2 2 2 3 5" xfId="318"/>
    <cellStyle name="Comma 3 3 2 2 2 4" xfId="319"/>
    <cellStyle name="Comma 3 3 2 2 2 4 2" xfId="320"/>
    <cellStyle name="Comma 3 3 2 2 2 5" xfId="321"/>
    <cellStyle name="Comma 3 3 2 2 2 6" xfId="322"/>
    <cellStyle name="Comma 3 3 2 2 2 7" xfId="323"/>
    <cellStyle name="Comma 3 3 2 2 3" xfId="324"/>
    <cellStyle name="Comma 3 3 2 2 3 2" xfId="325"/>
    <cellStyle name="Comma 3 3 2 2 3 2 2" xfId="326"/>
    <cellStyle name="Comma 3 3 2 2 3 3" xfId="327"/>
    <cellStyle name="Comma 3 3 2 2 3 4" xfId="328"/>
    <cellStyle name="Comma 3 3 2 2 3 5" xfId="329"/>
    <cellStyle name="Comma 3 3 2 2 4" xfId="330"/>
    <cellStyle name="Comma 3 3 2 2 4 2" xfId="331"/>
    <cellStyle name="Comma 3 3 2 2 4 2 2" xfId="332"/>
    <cellStyle name="Comma 3 3 2 2 4 3" xfId="333"/>
    <cellStyle name="Comma 3 3 2 2 4 4" xfId="334"/>
    <cellStyle name="Comma 3 3 2 2 4 5" xfId="335"/>
    <cellStyle name="Comma 3 3 2 2 5" xfId="336"/>
    <cellStyle name="Comma 3 3 2 2 5 2" xfId="337"/>
    <cellStyle name="Comma 3 3 2 2 6" xfId="338"/>
    <cellStyle name="Comma 3 3 2 2 7" xfId="339"/>
    <cellStyle name="Comma 3 3 2 2 8" xfId="340"/>
    <cellStyle name="Comma 3 3 2 3" xfId="341"/>
    <cellStyle name="Comma 3 3 2 3 2" xfId="342"/>
    <cellStyle name="Comma 3 3 2 3 2 2" xfId="343"/>
    <cellStyle name="Comma 3 3 2 3 2 2 2" xfId="344"/>
    <cellStyle name="Comma 3 3 2 3 2 2 2 2" xfId="345"/>
    <cellStyle name="Comma 3 3 2 3 2 2 3" xfId="346"/>
    <cellStyle name="Comma 3 3 2 3 2 2 4" xfId="347"/>
    <cellStyle name="Comma 3 3 2 3 2 2 5" xfId="348"/>
    <cellStyle name="Comma 3 3 2 3 2 3" xfId="349"/>
    <cellStyle name="Comma 3 3 2 3 2 3 2" xfId="350"/>
    <cellStyle name="Comma 3 3 2 3 2 3 2 2" xfId="351"/>
    <cellStyle name="Comma 3 3 2 3 2 3 3" xfId="352"/>
    <cellStyle name="Comma 3 3 2 3 2 3 4" xfId="353"/>
    <cellStyle name="Comma 3 3 2 3 2 3 5" xfId="354"/>
    <cellStyle name="Comma 3 3 2 3 2 4" xfId="355"/>
    <cellStyle name="Comma 3 3 2 3 2 4 2" xfId="356"/>
    <cellStyle name="Comma 3 3 2 3 2 5" xfId="357"/>
    <cellStyle name="Comma 3 3 2 3 2 6" xfId="358"/>
    <cellStyle name="Comma 3 3 2 3 2 7" xfId="359"/>
    <cellStyle name="Comma 3 3 2 3 3" xfId="360"/>
    <cellStyle name="Comma 3 3 2 3 3 2" xfId="361"/>
    <cellStyle name="Comma 3 3 2 3 3 2 2" xfId="362"/>
    <cellStyle name="Comma 3 3 2 3 3 3" xfId="363"/>
    <cellStyle name="Comma 3 3 2 3 3 4" xfId="364"/>
    <cellStyle name="Comma 3 3 2 3 3 5" xfId="365"/>
    <cellStyle name="Comma 3 3 2 3 4" xfId="366"/>
    <cellStyle name="Comma 3 3 2 3 4 2" xfId="367"/>
    <cellStyle name="Comma 3 3 2 3 4 2 2" xfId="368"/>
    <cellStyle name="Comma 3 3 2 3 4 3" xfId="369"/>
    <cellStyle name="Comma 3 3 2 3 4 4" xfId="370"/>
    <cellStyle name="Comma 3 3 2 3 4 5" xfId="371"/>
    <cellStyle name="Comma 3 3 2 3 5" xfId="372"/>
    <cellStyle name="Comma 3 3 2 3 5 2" xfId="373"/>
    <cellStyle name="Comma 3 3 2 3 6" xfId="374"/>
    <cellStyle name="Comma 3 3 2 3 7" xfId="375"/>
    <cellStyle name="Comma 3 3 2 3 8" xfId="376"/>
    <cellStyle name="Comma 3 3 2 4" xfId="377"/>
    <cellStyle name="Comma 3 3 2 4 2" xfId="378"/>
    <cellStyle name="Comma 3 3 2 4 2 2" xfId="379"/>
    <cellStyle name="Comma 3 3 2 4 2 2 2" xfId="380"/>
    <cellStyle name="Comma 3 3 2 4 2 3" xfId="381"/>
    <cellStyle name="Comma 3 3 2 4 2 4" xfId="382"/>
    <cellStyle name="Comma 3 3 2 4 2 5" xfId="383"/>
    <cellStyle name="Comma 3 3 2 4 3" xfId="384"/>
    <cellStyle name="Comma 3 3 2 4 3 2" xfId="385"/>
    <cellStyle name="Comma 3 3 2 4 3 2 2" xfId="386"/>
    <cellStyle name="Comma 3 3 2 4 3 3" xfId="387"/>
    <cellStyle name="Comma 3 3 2 4 3 4" xfId="388"/>
    <cellStyle name="Comma 3 3 2 4 3 5" xfId="389"/>
    <cellStyle name="Comma 3 3 2 4 4" xfId="390"/>
    <cellStyle name="Comma 3 3 2 4 4 2" xfId="391"/>
    <cellStyle name="Comma 3 3 2 4 5" xfId="392"/>
    <cellStyle name="Comma 3 3 2 4 6" xfId="393"/>
    <cellStyle name="Comma 3 3 2 4 7" xfId="394"/>
    <cellStyle name="Comma 3 3 2 5" xfId="395"/>
    <cellStyle name="Comma 3 3 2 5 2" xfId="396"/>
    <cellStyle name="Comma 3 3 2 5 2 2" xfId="397"/>
    <cellStyle name="Comma 3 3 2 5 3" xfId="398"/>
    <cellStyle name="Comma 3 3 2 5 4" xfId="399"/>
    <cellStyle name="Comma 3 3 2 5 5" xfId="400"/>
    <cellStyle name="Comma 3 3 2 6" xfId="401"/>
    <cellStyle name="Comma 3 3 2 6 2" xfId="402"/>
    <cellStyle name="Comma 3 3 2 6 2 2" xfId="403"/>
    <cellStyle name="Comma 3 3 2 6 3" xfId="404"/>
    <cellStyle name="Comma 3 3 2 6 4" xfId="405"/>
    <cellStyle name="Comma 3 3 2 6 5" xfId="406"/>
    <cellStyle name="Comma 3 3 2 7" xfId="407"/>
    <cellStyle name="Comma 3 3 2 7 2" xfId="408"/>
    <cellStyle name="Comma 3 3 2 7 2 2" xfId="409"/>
    <cellStyle name="Comma 3 3 2 7 3" xfId="410"/>
    <cellStyle name="Comma 3 3 2 7 4" xfId="411"/>
    <cellStyle name="Comma 3 3 2 7 5" xfId="412"/>
    <cellStyle name="Comma 3 3 3" xfId="413"/>
    <cellStyle name="Comma 3 3 3 2" xfId="414"/>
    <cellStyle name="Comma 3 3 3 2 2" xfId="415"/>
    <cellStyle name="Comma 3 3 3 2 2 2" xfId="416"/>
    <cellStyle name="Comma 3 3 3 2 2 2 2" xfId="417"/>
    <cellStyle name="Comma 3 3 3 2 2 3" xfId="418"/>
    <cellStyle name="Comma 3 3 3 2 2 4" xfId="419"/>
    <cellStyle name="Comma 3 3 3 2 2 5" xfId="420"/>
    <cellStyle name="Comma 3 3 3 2 3" xfId="421"/>
    <cellStyle name="Comma 3 3 3 2 3 2" xfId="422"/>
    <cellStyle name="Comma 3 3 3 2 3 2 2" xfId="423"/>
    <cellStyle name="Comma 3 3 3 2 3 3" xfId="424"/>
    <cellStyle name="Comma 3 3 3 2 3 4" xfId="425"/>
    <cellStyle name="Comma 3 3 3 2 3 5" xfId="426"/>
    <cellStyle name="Comma 3 3 3 2 4" xfId="427"/>
    <cellStyle name="Comma 3 3 3 2 4 2" xfId="428"/>
    <cellStyle name="Comma 3 3 3 2 5" xfId="429"/>
    <cellStyle name="Comma 3 3 3 2 6" xfId="430"/>
    <cellStyle name="Comma 3 3 3 2 7" xfId="431"/>
    <cellStyle name="Comma 3 3 3 3" xfId="432"/>
    <cellStyle name="Comma 3 3 3 3 2" xfId="433"/>
    <cellStyle name="Comma 3 3 3 3 2 2" xfId="434"/>
    <cellStyle name="Comma 3 3 3 3 3" xfId="435"/>
    <cellStyle name="Comma 3 3 3 3 4" xfId="436"/>
    <cellStyle name="Comma 3 3 3 3 5" xfId="437"/>
    <cellStyle name="Comma 3 3 3 4" xfId="438"/>
    <cellStyle name="Comma 3 3 3 4 2" xfId="439"/>
    <cellStyle name="Comma 3 3 3 4 2 2" xfId="440"/>
    <cellStyle name="Comma 3 3 3 4 3" xfId="441"/>
    <cellStyle name="Comma 3 3 3 4 4" xfId="442"/>
    <cellStyle name="Comma 3 3 3 4 5" xfId="443"/>
    <cellStyle name="Comma 3 3 3 5" xfId="444"/>
    <cellStyle name="Comma 3 3 3 5 2" xfId="445"/>
    <cellStyle name="Comma 3 3 3 5 2 2" xfId="446"/>
    <cellStyle name="Comma 3 3 3 5 3" xfId="447"/>
    <cellStyle name="Comma 3 3 3 5 4" xfId="448"/>
    <cellStyle name="Comma 3 3 3 5 5" xfId="449"/>
    <cellStyle name="Comma 3 3 3 6" xfId="450"/>
    <cellStyle name="Comma 3 3 4" xfId="451"/>
    <cellStyle name="Comma 3 3 4 2" xfId="452"/>
    <cellStyle name="Comma 3 3 4 2 2" xfId="453"/>
    <cellStyle name="Comma 3 3 4 2 2 2" xfId="454"/>
    <cellStyle name="Comma 3 3 4 2 2 2 2" xfId="455"/>
    <cellStyle name="Comma 3 3 4 2 2 3" xfId="456"/>
    <cellStyle name="Comma 3 3 4 2 2 4" xfId="457"/>
    <cellStyle name="Comma 3 3 4 2 2 5" xfId="458"/>
    <cellStyle name="Comma 3 3 4 2 3" xfId="459"/>
    <cellStyle name="Comma 3 3 4 2 3 2" xfId="460"/>
    <cellStyle name="Comma 3 3 4 2 3 2 2" xfId="461"/>
    <cellStyle name="Comma 3 3 4 2 3 3" xfId="462"/>
    <cellStyle name="Comma 3 3 4 2 3 4" xfId="463"/>
    <cellStyle name="Comma 3 3 4 2 3 5" xfId="464"/>
    <cellStyle name="Comma 3 3 4 2 4" xfId="465"/>
    <cellStyle name="Comma 3 3 4 2 4 2" xfId="466"/>
    <cellStyle name="Comma 3 3 4 2 5" xfId="467"/>
    <cellStyle name="Comma 3 3 4 2 6" xfId="468"/>
    <cellStyle name="Comma 3 3 4 2 7" xfId="469"/>
    <cellStyle name="Comma 3 3 4 3" xfId="470"/>
    <cellStyle name="Comma 3 3 4 3 2" xfId="471"/>
    <cellStyle name="Comma 3 3 4 3 2 2" xfId="472"/>
    <cellStyle name="Comma 3 3 4 3 3" xfId="473"/>
    <cellStyle name="Comma 3 3 4 3 4" xfId="474"/>
    <cellStyle name="Comma 3 3 4 3 5" xfId="475"/>
    <cellStyle name="Comma 3 3 4 4" xfId="476"/>
    <cellStyle name="Comma 3 3 4 4 2" xfId="477"/>
    <cellStyle name="Comma 3 3 4 4 2 2" xfId="478"/>
    <cellStyle name="Comma 3 3 4 4 3" xfId="479"/>
    <cellStyle name="Comma 3 3 4 4 4" xfId="480"/>
    <cellStyle name="Comma 3 3 4 4 5" xfId="481"/>
    <cellStyle name="Comma 3 3 4 5" xfId="482"/>
    <cellStyle name="Comma 3 3 4 5 2" xfId="483"/>
    <cellStyle name="Comma 3 3 4 5 2 2" xfId="484"/>
    <cellStyle name="Comma 3 3 4 5 3" xfId="485"/>
    <cellStyle name="Comma 3 3 4 5 4" xfId="486"/>
    <cellStyle name="Comma 3 3 4 5 5" xfId="487"/>
    <cellStyle name="Comma 3 3 5" xfId="488"/>
    <cellStyle name="Comma 3 3 6" xfId="489"/>
    <cellStyle name="Comma 3 3 6 2" xfId="490"/>
    <cellStyle name="Comma 3 3 6 2 2" xfId="491"/>
    <cellStyle name="Comma 3 3 6 2 2 2" xfId="492"/>
    <cellStyle name="Comma 3 3 6 2 3" xfId="493"/>
    <cellStyle name="Comma 3 3 6 2 4" xfId="494"/>
    <cellStyle name="Comma 3 3 6 2 5" xfId="495"/>
    <cellStyle name="Comma 3 3 6 3" xfId="496"/>
    <cellStyle name="Comma 3 3 6 3 2" xfId="497"/>
    <cellStyle name="Comma 3 3 6 3 2 2" xfId="498"/>
    <cellStyle name="Comma 3 3 6 3 3" xfId="499"/>
    <cellStyle name="Comma 3 3 6 3 4" xfId="500"/>
    <cellStyle name="Comma 3 3 6 3 5" xfId="501"/>
    <cellStyle name="Comma 3 3 6 4" xfId="502"/>
    <cellStyle name="Comma 3 3 6 4 2" xfId="503"/>
    <cellStyle name="Comma 3 3 6 5" xfId="504"/>
    <cellStyle name="Comma 3 3 6 6" xfId="505"/>
    <cellStyle name="Comma 3 3 6 7" xfId="506"/>
    <cellStyle name="Comma 3 3 7" xfId="507"/>
    <cellStyle name="Comma 3 3 7 2" xfId="508"/>
    <cellStyle name="Comma 3 3 7 2 2" xfId="509"/>
    <cellStyle name="Comma 3 3 7 3" xfId="510"/>
    <cellStyle name="Comma 3 3 7 4" xfId="511"/>
    <cellStyle name="Comma 3 3 7 5" xfId="512"/>
    <cellStyle name="Comma 3 3 8" xfId="513"/>
    <cellStyle name="Comma 3 3 8 2" xfId="514"/>
    <cellStyle name="Comma 3 3 8 2 2" xfId="515"/>
    <cellStyle name="Comma 3 3 8 3" xfId="516"/>
    <cellStyle name="Comma 3 3 8 4" xfId="517"/>
    <cellStyle name="Comma 3 3 8 5" xfId="518"/>
    <cellStyle name="Comma 3 3 9" xfId="519"/>
    <cellStyle name="Comma 3 3 9 2" xfId="520"/>
    <cellStyle name="Comma 3 3 9 2 2" xfId="521"/>
    <cellStyle name="Comma 3 3 9 3" xfId="522"/>
    <cellStyle name="Comma 3 3 9 4" xfId="523"/>
    <cellStyle name="Comma 3 3 9 5" xfId="524"/>
    <cellStyle name="Comma 3 4" xfId="525"/>
    <cellStyle name="Comma 3 4 2" xfId="526"/>
    <cellStyle name="Comma 3 4 2 2" xfId="527"/>
    <cellStyle name="Comma 3 4 3" xfId="528"/>
    <cellStyle name="Comma 3 4 4" xfId="529"/>
    <cellStyle name="Comma 3 5" xfId="530"/>
    <cellStyle name="Comma 3 5 2" xfId="531"/>
    <cellStyle name="Comma 3 5 2 2" xfId="532"/>
    <cellStyle name="Comma 3 5 3" xfId="533"/>
    <cellStyle name="Comma 3 5 4" xfId="534"/>
    <cellStyle name="Comma 3 6" xfId="535"/>
    <cellStyle name="Comma 3 6 2" xfId="536"/>
    <cellStyle name="Comma 3 6 2 2" xfId="537"/>
    <cellStyle name="Comma 3 6 3" xfId="538"/>
    <cellStyle name="Comma 3 6 4" xfId="539"/>
    <cellStyle name="Comma 3 7" xfId="540"/>
    <cellStyle name="Comma 3 7 2" xfId="541"/>
    <cellStyle name="Comma 3 7 2 2" xfId="542"/>
    <cellStyle name="Comma 3 7 3" xfId="543"/>
    <cellStyle name="Comma 3 8" xfId="544"/>
    <cellStyle name="Comma 3 8 2" xfId="545"/>
    <cellStyle name="Comma 3 8 2 2" xfId="546"/>
    <cellStyle name="Comma 3 8 3" xfId="547"/>
    <cellStyle name="Comma 3 9" xfId="548"/>
    <cellStyle name="Comma 3 9 2" xfId="549"/>
    <cellStyle name="Comma 3 9 2 2" xfId="550"/>
    <cellStyle name="Comma 3 9 3" xfId="551"/>
    <cellStyle name="Comma 30" xfId="552"/>
    <cellStyle name="Comma 31" xfId="553"/>
    <cellStyle name="Comma 32" xfId="554"/>
    <cellStyle name="Comma 33" xfId="555"/>
    <cellStyle name="Comma 34" xfId="556"/>
    <cellStyle name="Comma 35" xfId="557"/>
    <cellStyle name="Comma 36" xfId="558"/>
    <cellStyle name="Comma 37" xfId="559"/>
    <cellStyle name="Comma 38" xfId="560"/>
    <cellStyle name="Comma 39" xfId="561"/>
    <cellStyle name="Comma 4" xfId="562"/>
    <cellStyle name="Comma 4 2" xfId="563"/>
    <cellStyle name="Comma 4 2 2" xfId="564"/>
    <cellStyle name="Comma 4 2 2 2" xfId="565"/>
    <cellStyle name="Comma 4 2 3" xfId="566"/>
    <cellStyle name="Comma 4 2 4" xfId="567"/>
    <cellStyle name="Comma 4 3" xfId="568"/>
    <cellStyle name="Comma 4 4" xfId="569"/>
    <cellStyle name="Comma 4 4 2" xfId="570"/>
    <cellStyle name="Comma 4 4 3" xfId="571"/>
    <cellStyle name="Comma 4 4 4" xfId="572"/>
    <cellStyle name="Comma 4 5" xfId="573"/>
    <cellStyle name="Comma 4 5 2" xfId="574"/>
    <cellStyle name="Comma 4 5 3" xfId="575"/>
    <cellStyle name="Comma 4 6" xfId="576"/>
    <cellStyle name="Comma 4 7" xfId="577"/>
    <cellStyle name="Comma 40" xfId="578"/>
    <cellStyle name="Comma 41" xfId="579"/>
    <cellStyle name="Comma 42" xfId="580"/>
    <cellStyle name="Comma 43" xfId="581"/>
    <cellStyle name="Comma 44" xfId="582"/>
    <cellStyle name="Comma 45" xfId="583"/>
    <cellStyle name="Comma 46" xfId="584"/>
    <cellStyle name="Comma 47" xfId="585"/>
    <cellStyle name="Comma 48" xfId="586"/>
    <cellStyle name="Comma 49" xfId="587"/>
    <cellStyle name="Comma 5" xfId="588"/>
    <cellStyle name="Comma 5 10" xfId="589"/>
    <cellStyle name="Comma 5 11" xfId="590"/>
    <cellStyle name="Comma 5 2" xfId="591"/>
    <cellStyle name="Comma 5 2 2" xfId="592"/>
    <cellStyle name="Comma 5 2 2 2" xfId="593"/>
    <cellStyle name="Comma 5 2 2 2 2" xfId="594"/>
    <cellStyle name="Comma 5 2 2 2 2 2" xfId="595"/>
    <cellStyle name="Comma 5 2 2 2 2 2 2" xfId="596"/>
    <cellStyle name="Comma 5 2 2 2 2 3" xfId="597"/>
    <cellStyle name="Comma 5 2 2 2 2 4" xfId="598"/>
    <cellStyle name="Comma 5 2 2 2 2 5" xfId="599"/>
    <cellStyle name="Comma 5 2 2 2 3" xfId="600"/>
    <cellStyle name="Comma 5 2 2 2 3 2" xfId="601"/>
    <cellStyle name="Comma 5 2 2 2 3 2 2" xfId="602"/>
    <cellStyle name="Comma 5 2 2 2 3 3" xfId="603"/>
    <cellStyle name="Comma 5 2 2 2 3 4" xfId="604"/>
    <cellStyle name="Comma 5 2 2 2 3 5" xfId="605"/>
    <cellStyle name="Comma 5 2 2 2 4" xfId="606"/>
    <cellStyle name="Comma 5 2 2 2 4 2" xfId="607"/>
    <cellStyle name="Comma 5 2 2 2 5" xfId="608"/>
    <cellStyle name="Comma 5 2 2 2 6" xfId="609"/>
    <cellStyle name="Comma 5 2 2 2 7" xfId="610"/>
    <cellStyle name="Comma 5 2 2 3" xfId="611"/>
    <cellStyle name="Comma 5 2 2 3 2" xfId="612"/>
    <cellStyle name="Comma 5 2 2 3 2 2" xfId="613"/>
    <cellStyle name="Comma 5 2 2 3 3" xfId="614"/>
    <cellStyle name="Comma 5 2 2 3 4" xfId="615"/>
    <cellStyle name="Comma 5 2 2 3 5" xfId="616"/>
    <cellStyle name="Comma 5 2 2 4" xfId="617"/>
    <cellStyle name="Comma 5 2 2 4 2" xfId="618"/>
    <cellStyle name="Comma 5 2 2 4 2 2" xfId="619"/>
    <cellStyle name="Comma 5 2 2 4 3" xfId="620"/>
    <cellStyle name="Comma 5 2 2 4 4" xfId="621"/>
    <cellStyle name="Comma 5 2 2 4 5" xfId="622"/>
    <cellStyle name="Comma 5 2 2 5" xfId="623"/>
    <cellStyle name="Comma 5 2 2 5 2" xfId="624"/>
    <cellStyle name="Comma 5 2 2 6" xfId="625"/>
    <cellStyle name="Comma 5 2 2 7" xfId="626"/>
    <cellStyle name="Comma 5 2 2 8" xfId="627"/>
    <cellStyle name="Comma 5 2 3" xfId="628"/>
    <cellStyle name="Comma 5 2 3 2" xfId="629"/>
    <cellStyle name="Comma 5 2 3 2 2" xfId="630"/>
    <cellStyle name="Comma 5 2 3 2 2 2" xfId="631"/>
    <cellStyle name="Comma 5 2 3 2 2 2 2" xfId="632"/>
    <cellStyle name="Comma 5 2 3 2 2 3" xfId="633"/>
    <cellStyle name="Comma 5 2 3 2 2 4" xfId="634"/>
    <cellStyle name="Comma 5 2 3 2 2 5" xfId="635"/>
    <cellStyle name="Comma 5 2 3 2 3" xfId="636"/>
    <cellStyle name="Comma 5 2 3 2 3 2" xfId="637"/>
    <cellStyle name="Comma 5 2 3 2 3 2 2" xfId="638"/>
    <cellStyle name="Comma 5 2 3 2 3 3" xfId="639"/>
    <cellStyle name="Comma 5 2 3 2 3 4" xfId="640"/>
    <cellStyle name="Comma 5 2 3 2 3 5" xfId="641"/>
    <cellStyle name="Comma 5 2 3 2 4" xfId="642"/>
    <cellStyle name="Comma 5 2 3 2 4 2" xfId="643"/>
    <cellStyle name="Comma 5 2 3 2 5" xfId="644"/>
    <cellStyle name="Comma 5 2 3 2 6" xfId="645"/>
    <cellStyle name="Comma 5 2 3 2 7" xfId="646"/>
    <cellStyle name="Comma 5 2 3 3" xfId="647"/>
    <cellStyle name="Comma 5 2 3 3 2" xfId="648"/>
    <cellStyle name="Comma 5 2 3 3 2 2" xfId="649"/>
    <cellStyle name="Comma 5 2 3 3 3" xfId="650"/>
    <cellStyle name="Comma 5 2 3 3 4" xfId="651"/>
    <cellStyle name="Comma 5 2 3 3 5" xfId="652"/>
    <cellStyle name="Comma 5 2 3 4" xfId="653"/>
    <cellStyle name="Comma 5 2 3 4 2" xfId="654"/>
    <cellStyle name="Comma 5 2 3 4 2 2" xfId="655"/>
    <cellStyle name="Comma 5 2 3 4 3" xfId="656"/>
    <cellStyle name="Comma 5 2 3 4 4" xfId="657"/>
    <cellStyle name="Comma 5 2 3 4 5" xfId="658"/>
    <cellStyle name="Comma 5 2 3 5" xfId="659"/>
    <cellStyle name="Comma 5 2 3 5 2" xfId="660"/>
    <cellStyle name="Comma 5 2 3 6" xfId="661"/>
    <cellStyle name="Comma 5 2 3 7" xfId="662"/>
    <cellStyle name="Comma 5 2 3 8" xfId="663"/>
    <cellStyle name="Comma 5 2 4" xfId="664"/>
    <cellStyle name="Comma 5 2 4 2" xfId="665"/>
    <cellStyle name="Comma 5 2 4 2 2" xfId="666"/>
    <cellStyle name="Comma 5 2 4 2 2 2" xfId="667"/>
    <cellStyle name="Comma 5 2 4 2 3" xfId="668"/>
    <cellStyle name="Comma 5 2 4 2 4" xfId="669"/>
    <cellStyle name="Comma 5 2 4 2 5" xfId="670"/>
    <cellStyle name="Comma 5 2 4 3" xfId="671"/>
    <cellStyle name="Comma 5 2 4 3 2" xfId="672"/>
    <cellStyle name="Comma 5 2 4 3 2 2" xfId="673"/>
    <cellStyle name="Comma 5 2 4 3 3" xfId="674"/>
    <cellStyle name="Comma 5 2 4 3 4" xfId="675"/>
    <cellStyle name="Comma 5 2 4 3 5" xfId="676"/>
    <cellStyle name="Comma 5 2 4 4" xfId="677"/>
    <cellStyle name="Comma 5 2 4 4 2" xfId="678"/>
    <cellStyle name="Comma 5 2 4 5" xfId="679"/>
    <cellStyle name="Comma 5 2 4 6" xfId="680"/>
    <cellStyle name="Comma 5 2 4 7" xfId="681"/>
    <cellStyle name="Comma 5 2 5" xfId="682"/>
    <cellStyle name="Comma 5 2 5 2" xfId="683"/>
    <cellStyle name="Comma 5 2 5 2 2" xfId="684"/>
    <cellStyle name="Comma 5 2 5 3" xfId="685"/>
    <cellStyle name="Comma 5 2 5 4" xfId="686"/>
    <cellStyle name="Comma 5 2 5 5" xfId="687"/>
    <cellStyle name="Comma 5 2 6" xfId="688"/>
    <cellStyle name="Comma 5 2 6 2" xfId="689"/>
    <cellStyle name="Comma 5 2 6 2 2" xfId="690"/>
    <cellStyle name="Comma 5 2 6 3" xfId="691"/>
    <cellStyle name="Comma 5 2 6 4" xfId="692"/>
    <cellStyle name="Comma 5 2 6 5" xfId="693"/>
    <cellStyle name="Comma 5 2 7" xfId="694"/>
    <cellStyle name="Comma 5 2 7 2" xfId="695"/>
    <cellStyle name="Comma 5 2 7 2 2" xfId="696"/>
    <cellStyle name="Comma 5 2 7 3" xfId="697"/>
    <cellStyle name="Comma 5 2 7 4" xfId="698"/>
    <cellStyle name="Comma 5 2 7 5" xfId="699"/>
    <cellStyle name="Comma 5 3" xfId="700"/>
    <cellStyle name="Comma 5 3 2" xfId="701"/>
    <cellStyle name="Comma 5 3 2 2" xfId="702"/>
    <cellStyle name="Comma 5 3 2 2 2" xfId="703"/>
    <cellStyle name="Comma 5 3 2 2 2 2" xfId="704"/>
    <cellStyle name="Comma 5 3 2 2 3" xfId="705"/>
    <cellStyle name="Comma 5 3 2 2 4" xfId="706"/>
    <cellStyle name="Comma 5 3 2 2 5" xfId="707"/>
    <cellStyle name="Comma 5 3 2 3" xfId="708"/>
    <cellStyle name="Comma 5 3 2 3 2" xfId="709"/>
    <cellStyle name="Comma 5 3 2 3 2 2" xfId="710"/>
    <cellStyle name="Comma 5 3 2 3 3" xfId="711"/>
    <cellStyle name="Comma 5 3 2 3 4" xfId="712"/>
    <cellStyle name="Comma 5 3 2 3 5" xfId="713"/>
    <cellStyle name="Comma 5 3 2 4" xfId="714"/>
    <cellStyle name="Comma 5 3 2 4 2" xfId="715"/>
    <cellStyle name="Comma 5 3 2 5" xfId="716"/>
    <cellStyle name="Comma 5 3 2 6" xfId="717"/>
    <cellStyle name="Comma 5 3 2 7" xfId="718"/>
    <cellStyle name="Comma 5 3 3" xfId="719"/>
    <cellStyle name="Comma 5 3 3 2" xfId="720"/>
    <cellStyle name="Comma 5 3 3 2 2" xfId="721"/>
    <cellStyle name="Comma 5 3 3 3" xfId="722"/>
    <cellStyle name="Comma 5 3 3 4" xfId="723"/>
    <cellStyle name="Comma 5 3 3 5" xfId="724"/>
    <cellStyle name="Comma 5 3 4" xfId="725"/>
    <cellStyle name="Comma 5 3 4 2" xfId="726"/>
    <cellStyle name="Comma 5 3 4 2 2" xfId="727"/>
    <cellStyle name="Comma 5 3 4 3" xfId="728"/>
    <cellStyle name="Comma 5 3 4 4" xfId="729"/>
    <cellStyle name="Comma 5 3 4 5" xfId="730"/>
    <cellStyle name="Comma 5 3 5" xfId="731"/>
    <cellStyle name="Comma 5 3 5 2" xfId="732"/>
    <cellStyle name="Comma 5 3 5 2 2" xfId="733"/>
    <cellStyle name="Comma 5 3 5 3" xfId="734"/>
    <cellStyle name="Comma 5 3 5 4" xfId="735"/>
    <cellStyle name="Comma 5 3 5 5" xfId="736"/>
    <cellStyle name="Comma 5 4" xfId="737"/>
    <cellStyle name="Comma 5 4 2" xfId="738"/>
    <cellStyle name="Comma 5 4 2 2" xfId="739"/>
    <cellStyle name="Comma 5 4 2 2 2" xfId="740"/>
    <cellStyle name="Comma 5 4 2 2 2 2" xfId="741"/>
    <cellStyle name="Comma 5 4 2 2 3" xfId="742"/>
    <cellStyle name="Comma 5 4 2 2 4" xfId="743"/>
    <cellStyle name="Comma 5 4 2 2 5" xfId="744"/>
    <cellStyle name="Comma 5 4 2 3" xfId="745"/>
    <cellStyle name="Comma 5 4 2 3 2" xfId="746"/>
    <cellStyle name="Comma 5 4 2 3 2 2" xfId="747"/>
    <cellStyle name="Comma 5 4 2 3 3" xfId="748"/>
    <cellStyle name="Comma 5 4 2 3 4" xfId="749"/>
    <cellStyle name="Comma 5 4 2 3 5" xfId="750"/>
    <cellStyle name="Comma 5 4 2 4" xfId="751"/>
    <cellStyle name="Comma 5 4 2 4 2" xfId="752"/>
    <cellStyle name="Comma 5 4 2 5" xfId="753"/>
    <cellStyle name="Comma 5 4 2 6" xfId="754"/>
    <cellStyle name="Comma 5 4 2 7" xfId="755"/>
    <cellStyle name="Comma 5 4 3" xfId="756"/>
    <cellStyle name="Comma 5 4 3 2" xfId="757"/>
    <cellStyle name="Comma 5 4 3 2 2" xfId="758"/>
    <cellStyle name="Comma 5 4 3 3" xfId="759"/>
    <cellStyle name="Comma 5 4 3 4" xfId="760"/>
    <cellStyle name="Comma 5 4 3 5" xfId="761"/>
    <cellStyle name="Comma 5 4 4" xfId="762"/>
    <cellStyle name="Comma 5 4 4 2" xfId="763"/>
    <cellStyle name="Comma 5 4 4 2 2" xfId="764"/>
    <cellStyle name="Comma 5 4 4 3" xfId="765"/>
    <cellStyle name="Comma 5 4 4 4" xfId="766"/>
    <cellStyle name="Comma 5 4 4 5" xfId="767"/>
    <cellStyle name="Comma 5 4 5" xfId="768"/>
    <cellStyle name="Comma 5 4 5 2" xfId="769"/>
    <cellStyle name="Comma 5 4 6" xfId="770"/>
    <cellStyle name="Comma 5 4 7" xfId="771"/>
    <cellStyle name="Comma 5 4 8" xfId="772"/>
    <cellStyle name="Comma 5 5" xfId="773"/>
    <cellStyle name="Comma 5 5 2" xfId="774"/>
    <cellStyle name="Comma 5 5 2 2" xfId="775"/>
    <cellStyle name="Comma 5 5 2 2 2" xfId="776"/>
    <cellStyle name="Comma 5 5 2 3" xfId="777"/>
    <cellStyle name="Comma 5 5 2 4" xfId="778"/>
    <cellStyle name="Comma 5 5 2 5" xfId="779"/>
    <cellStyle name="Comma 5 5 3" xfId="780"/>
    <cellStyle name="Comma 5 5 3 2" xfId="781"/>
    <cellStyle name="Comma 5 5 3 2 2" xfId="782"/>
    <cellStyle name="Comma 5 5 3 3" xfId="783"/>
    <cellStyle name="Comma 5 5 3 4" xfId="784"/>
    <cellStyle name="Comma 5 5 3 5" xfId="785"/>
    <cellStyle name="Comma 5 5 4" xfId="786"/>
    <cellStyle name="Comma 5 5 4 2" xfId="787"/>
    <cellStyle name="Comma 5 5 5" xfId="788"/>
    <cellStyle name="Comma 5 5 6" xfId="789"/>
    <cellStyle name="Comma 5 5 7" xfId="790"/>
    <cellStyle name="Comma 5 6" xfId="791"/>
    <cellStyle name="Comma 5 6 2" xfId="792"/>
    <cellStyle name="Comma 5 6 2 2" xfId="793"/>
    <cellStyle name="Comma 5 6 3" xfId="794"/>
    <cellStyle name="Comma 5 6 4" xfId="795"/>
    <cellStyle name="Comma 5 6 5" xfId="796"/>
    <cellStyle name="Comma 5 7" xfId="797"/>
    <cellStyle name="Comma 5 8" xfId="798"/>
    <cellStyle name="Comma 5 8 2" xfId="799"/>
    <cellStyle name="Comma 5 8 2 2" xfId="800"/>
    <cellStyle name="Comma 5 8 3" xfId="801"/>
    <cellStyle name="Comma 5 8 4" xfId="802"/>
    <cellStyle name="Comma 5 8 5" xfId="803"/>
    <cellStyle name="Comma 5 9" xfId="804"/>
    <cellStyle name="Comma 5 9 2" xfId="805"/>
    <cellStyle name="Comma 5 9 2 2" xfId="806"/>
    <cellStyle name="Comma 5 9 3" xfId="807"/>
    <cellStyle name="Comma 5 9 4" xfId="808"/>
    <cellStyle name="Comma 5 9 5" xfId="809"/>
    <cellStyle name="Comma 50" xfId="810"/>
    <cellStyle name="Comma 51" xfId="811"/>
    <cellStyle name="Comma 51 2" xfId="812"/>
    <cellStyle name="Comma 51 2 2" xfId="813"/>
    <cellStyle name="Comma 51 3" xfId="814"/>
    <cellStyle name="Comma 51 4" xfId="815"/>
    <cellStyle name="Comma 51 5" xfId="816"/>
    <cellStyle name="Comma 52" xfId="817"/>
    <cellStyle name="Comma 52 2" xfId="818"/>
    <cellStyle name="Comma 52 2 2" xfId="819"/>
    <cellStyle name="Comma 52 3" xfId="820"/>
    <cellStyle name="Comma 52 4" xfId="821"/>
    <cellStyle name="Comma 52 5" xfId="822"/>
    <cellStyle name="Comma 53" xfId="823"/>
    <cellStyle name="Comma 53 2" xfId="824"/>
    <cellStyle name="Comma 53 2 2" xfId="825"/>
    <cellStyle name="Comma 53 3" xfId="826"/>
    <cellStyle name="Comma 53 4" xfId="827"/>
    <cellStyle name="Comma 53 5" xfId="828"/>
    <cellStyle name="Comma 54" xfId="829"/>
    <cellStyle name="Comma 54 2" xfId="830"/>
    <cellStyle name="Comma 54 2 2" xfId="831"/>
    <cellStyle name="Comma 54 3" xfId="832"/>
    <cellStyle name="Comma 54 4" xfId="833"/>
    <cellStyle name="Comma 54 5" xfId="834"/>
    <cellStyle name="Comma 55" xfId="835"/>
    <cellStyle name="Comma 55 2" xfId="836"/>
    <cellStyle name="Comma 55 2 2" xfId="837"/>
    <cellStyle name="Comma 55 3" xfId="838"/>
    <cellStyle name="Comma 55 4" xfId="839"/>
    <cellStyle name="Comma 55 5" xfId="840"/>
    <cellStyle name="Comma 56" xfId="841"/>
    <cellStyle name="Comma 57" xfId="842"/>
    <cellStyle name="Comma 58" xfId="843"/>
    <cellStyle name="Comma 59" xfId="844"/>
    <cellStyle name="Comma 6" xfId="845"/>
    <cellStyle name="Comma 6 2" xfId="846"/>
    <cellStyle name="Comma 6 2 2" xfId="847"/>
    <cellStyle name="Comma 6 3" xfId="848"/>
    <cellStyle name="Comma 6 3 2" xfId="849"/>
    <cellStyle name="Comma 6 4" xfId="850"/>
    <cellStyle name="Comma 6 5" xfId="851"/>
    <cellStyle name="Comma 6 6" xfId="852"/>
    <cellStyle name="Comma 60" xfId="853"/>
    <cellStyle name="Comma 61" xfId="854"/>
    <cellStyle name="Comma 62" xfId="855"/>
    <cellStyle name="Comma 63" xfId="856"/>
    <cellStyle name="Comma 64" xfId="857"/>
    <cellStyle name="Comma 65" xfId="858"/>
    <cellStyle name="Comma 66" xfId="859"/>
    <cellStyle name="Comma 67" xfId="860"/>
    <cellStyle name="Comma 68" xfId="861"/>
    <cellStyle name="Comma 69" xfId="862"/>
    <cellStyle name="Comma 7" xfId="863"/>
    <cellStyle name="Comma 7 2" xfId="864"/>
    <cellStyle name="Comma 7 3" xfId="865"/>
    <cellStyle name="Comma 7 4" xfId="866"/>
    <cellStyle name="Comma 7 5" xfId="867"/>
    <cellStyle name="Comma 7 6" xfId="868"/>
    <cellStyle name="Comma 70" xfId="869"/>
    <cellStyle name="Comma 71" xfId="870"/>
    <cellStyle name="Comma 72" xfId="871"/>
    <cellStyle name="Comma 73" xfId="872"/>
    <cellStyle name="Comma 74" xfId="873"/>
    <cellStyle name="Comma 75" xfId="874"/>
    <cellStyle name="Comma 76" xfId="875"/>
    <cellStyle name="Comma 77" xfId="876"/>
    <cellStyle name="Comma 78" xfId="877"/>
    <cellStyle name="Comma 79" xfId="878"/>
    <cellStyle name="Comma 8" xfId="879"/>
    <cellStyle name="Comma 8 2" xfId="880"/>
    <cellStyle name="Comma 8 3" xfId="881"/>
    <cellStyle name="Comma 8 4" xfId="882"/>
    <cellStyle name="Comma 80" xfId="883"/>
    <cellStyle name="Comma 81" xfId="884"/>
    <cellStyle name="Comma 82" xfId="885"/>
    <cellStyle name="Comma 83" xfId="886"/>
    <cellStyle name="Comma 84" xfId="887"/>
    <cellStyle name="Comma 85" xfId="888"/>
    <cellStyle name="Comma 86" xfId="889"/>
    <cellStyle name="Comma 87" xfId="890"/>
    <cellStyle name="Comma 88" xfId="891"/>
    <cellStyle name="Comma 89" xfId="892"/>
    <cellStyle name="Comma 9" xfId="893"/>
    <cellStyle name="Comma 9 2" xfId="894"/>
    <cellStyle name="Comma 9 3" xfId="895"/>
    <cellStyle name="Comma 9 4" xfId="896"/>
    <cellStyle name="Comma 9 5" xfId="897"/>
    <cellStyle name="Comma 90" xfId="898"/>
    <cellStyle name="Comma 91" xfId="899"/>
    <cellStyle name="Comma 92" xfId="900"/>
    <cellStyle name="Comma 93" xfId="901"/>
    <cellStyle name="Comma 94" xfId="902"/>
    <cellStyle name="Comma 95" xfId="903"/>
    <cellStyle name="Comma 96" xfId="904"/>
    <cellStyle name="Comma 97" xfId="905"/>
    <cellStyle name="Comma 98" xfId="906"/>
    <cellStyle name="Comma 99" xfId="907"/>
    <cellStyle name="Comma0" xfId="908"/>
    <cellStyle name="Currency" xfId="2" builtinId="4"/>
    <cellStyle name="Currency 2" xfId="909"/>
    <cellStyle name="Currency 2 2" xfId="910"/>
    <cellStyle name="Currency 2 2 2" xfId="911"/>
    <cellStyle name="Currency 2 2 3" xfId="912"/>
    <cellStyle name="Currency 2 3" xfId="913"/>
    <cellStyle name="Currency 2 3 2" xfId="914"/>
    <cellStyle name="Currency 2 4" xfId="915"/>
    <cellStyle name="Currency 3" xfId="916"/>
    <cellStyle name="Currency 3 2" xfId="917"/>
    <cellStyle name="Currency 3 2 2" xfId="918"/>
    <cellStyle name="Currency 3 2 2 2" xfId="919"/>
    <cellStyle name="Currency 3 2 2 2 2" xfId="920"/>
    <cellStyle name="Currency 3 2 2 2 2 2" xfId="921"/>
    <cellStyle name="Currency 3 2 2 2 2 2 2" xfId="922"/>
    <cellStyle name="Currency 3 2 2 2 2 3" xfId="923"/>
    <cellStyle name="Currency 3 2 2 2 2 4" xfId="924"/>
    <cellStyle name="Currency 3 2 2 2 2 5" xfId="925"/>
    <cellStyle name="Currency 3 2 2 2 3" xfId="926"/>
    <cellStyle name="Currency 3 2 2 2 3 2" xfId="927"/>
    <cellStyle name="Currency 3 2 2 2 3 2 2" xfId="928"/>
    <cellStyle name="Currency 3 2 2 2 3 3" xfId="929"/>
    <cellStyle name="Currency 3 2 2 2 3 4" xfId="930"/>
    <cellStyle name="Currency 3 2 2 2 3 5" xfId="931"/>
    <cellStyle name="Currency 3 2 2 2 4" xfId="932"/>
    <cellStyle name="Currency 3 2 2 2 4 2" xfId="933"/>
    <cellStyle name="Currency 3 2 2 2 5" xfId="934"/>
    <cellStyle name="Currency 3 2 2 2 6" xfId="935"/>
    <cellStyle name="Currency 3 2 2 2 7" xfId="936"/>
    <cellStyle name="Currency 3 2 2 3" xfId="937"/>
    <cellStyle name="Currency 3 2 2 3 2" xfId="938"/>
    <cellStyle name="Currency 3 2 2 3 2 2" xfId="939"/>
    <cellStyle name="Currency 3 2 2 3 3" xfId="940"/>
    <cellStyle name="Currency 3 2 2 3 4" xfId="941"/>
    <cellStyle name="Currency 3 2 2 3 5" xfId="942"/>
    <cellStyle name="Currency 3 2 2 4" xfId="943"/>
    <cellStyle name="Currency 3 2 2 4 2" xfId="944"/>
    <cellStyle name="Currency 3 2 2 4 2 2" xfId="945"/>
    <cellStyle name="Currency 3 2 2 4 3" xfId="946"/>
    <cellStyle name="Currency 3 2 2 4 4" xfId="947"/>
    <cellStyle name="Currency 3 2 2 4 5" xfId="948"/>
    <cellStyle name="Currency 3 2 2 5" xfId="949"/>
    <cellStyle name="Currency 3 2 2 5 2" xfId="950"/>
    <cellStyle name="Currency 3 2 2 6" xfId="951"/>
    <cellStyle name="Currency 3 2 2 7" xfId="952"/>
    <cellStyle name="Currency 3 2 2 8" xfId="953"/>
    <cellStyle name="Currency 3 2 3" xfId="954"/>
    <cellStyle name="Currency 3 2 3 2" xfId="955"/>
    <cellStyle name="Currency 3 2 3 2 2" xfId="956"/>
    <cellStyle name="Currency 3 2 3 2 2 2" xfId="957"/>
    <cellStyle name="Currency 3 2 3 2 2 2 2" xfId="958"/>
    <cellStyle name="Currency 3 2 3 2 2 3" xfId="959"/>
    <cellStyle name="Currency 3 2 3 2 2 4" xfId="960"/>
    <cellStyle name="Currency 3 2 3 2 2 5" xfId="961"/>
    <cellStyle name="Currency 3 2 3 2 3" xfId="962"/>
    <cellStyle name="Currency 3 2 3 2 3 2" xfId="963"/>
    <cellStyle name="Currency 3 2 3 2 3 2 2" xfId="964"/>
    <cellStyle name="Currency 3 2 3 2 3 3" xfId="965"/>
    <cellStyle name="Currency 3 2 3 2 3 4" xfId="966"/>
    <cellStyle name="Currency 3 2 3 2 3 5" xfId="967"/>
    <cellStyle name="Currency 3 2 3 2 4" xfId="968"/>
    <cellStyle name="Currency 3 2 3 2 4 2" xfId="969"/>
    <cellStyle name="Currency 3 2 3 2 5" xfId="970"/>
    <cellStyle name="Currency 3 2 3 2 6" xfId="971"/>
    <cellStyle name="Currency 3 2 3 2 7" xfId="972"/>
    <cellStyle name="Currency 3 2 3 3" xfId="973"/>
    <cellStyle name="Currency 3 2 3 3 2" xfId="974"/>
    <cellStyle name="Currency 3 2 3 3 2 2" xfId="975"/>
    <cellStyle name="Currency 3 2 3 3 3" xfId="976"/>
    <cellStyle name="Currency 3 2 3 3 4" xfId="977"/>
    <cellStyle name="Currency 3 2 3 3 5" xfId="978"/>
    <cellStyle name="Currency 3 2 3 4" xfId="979"/>
    <cellStyle name="Currency 3 2 3 4 2" xfId="980"/>
    <cellStyle name="Currency 3 2 3 4 2 2" xfId="981"/>
    <cellStyle name="Currency 3 2 3 4 3" xfId="982"/>
    <cellStyle name="Currency 3 2 3 4 4" xfId="983"/>
    <cellStyle name="Currency 3 2 3 4 5" xfId="984"/>
    <cellStyle name="Currency 3 2 3 5" xfId="985"/>
    <cellStyle name="Currency 3 2 3 5 2" xfId="986"/>
    <cellStyle name="Currency 3 2 3 6" xfId="987"/>
    <cellStyle name="Currency 3 2 3 7" xfId="988"/>
    <cellStyle name="Currency 3 2 3 8" xfId="989"/>
    <cellStyle name="Currency 3 2 4" xfId="990"/>
    <cellStyle name="Currency 3 2 4 2" xfId="991"/>
    <cellStyle name="Currency 3 2 4 2 2" xfId="992"/>
    <cellStyle name="Currency 3 2 4 2 2 2" xfId="993"/>
    <cellStyle name="Currency 3 2 4 2 3" xfId="994"/>
    <cellStyle name="Currency 3 2 4 2 4" xfId="995"/>
    <cellStyle name="Currency 3 2 4 2 5" xfId="996"/>
    <cellStyle name="Currency 3 2 4 3" xfId="997"/>
    <cellStyle name="Currency 3 2 4 3 2" xfId="998"/>
    <cellStyle name="Currency 3 2 4 3 2 2" xfId="999"/>
    <cellStyle name="Currency 3 2 4 3 3" xfId="1000"/>
    <cellStyle name="Currency 3 2 4 3 4" xfId="1001"/>
    <cellStyle name="Currency 3 2 4 3 5" xfId="1002"/>
    <cellStyle name="Currency 3 2 4 4" xfId="1003"/>
    <cellStyle name="Currency 3 2 4 4 2" xfId="1004"/>
    <cellStyle name="Currency 3 2 4 5" xfId="1005"/>
    <cellStyle name="Currency 3 2 4 6" xfId="1006"/>
    <cellStyle name="Currency 3 2 4 7" xfId="1007"/>
    <cellStyle name="Currency 3 2 5" xfId="1008"/>
    <cellStyle name="Currency 3 2 5 2" xfId="1009"/>
    <cellStyle name="Currency 3 2 5 2 2" xfId="1010"/>
    <cellStyle name="Currency 3 2 5 3" xfId="1011"/>
    <cellStyle name="Currency 3 2 5 4" xfId="1012"/>
    <cellStyle name="Currency 3 2 5 5" xfId="1013"/>
    <cellStyle name="Currency 3 2 6" xfId="1014"/>
    <cellStyle name="Currency 3 2 7" xfId="1015"/>
    <cellStyle name="Currency 3 2 7 2" xfId="1016"/>
    <cellStyle name="Currency 3 2 7 2 2" xfId="1017"/>
    <cellStyle name="Currency 3 2 7 3" xfId="1018"/>
    <cellStyle name="Currency 3 2 7 4" xfId="1019"/>
    <cellStyle name="Currency 3 2 7 5" xfId="1020"/>
    <cellStyle name="Currency 3 2 8" xfId="1021"/>
    <cellStyle name="Currency 3 2 8 2" xfId="1022"/>
    <cellStyle name="Currency 3 2 8 2 2" xfId="1023"/>
    <cellStyle name="Currency 3 2 8 3" xfId="1024"/>
    <cellStyle name="Currency 3 2 8 4" xfId="1025"/>
    <cellStyle name="Currency 3 2 8 5" xfId="1026"/>
    <cellStyle name="Currency 3 3" xfId="1027"/>
    <cellStyle name="Currency 3 3 2" xfId="1028"/>
    <cellStyle name="Currency 3 3 2 2" xfId="1029"/>
    <cellStyle name="Currency 3 3 2 2 2" xfId="1030"/>
    <cellStyle name="Currency 3 3 2 2 2 2" xfId="1031"/>
    <cellStyle name="Currency 3 3 2 2 3" xfId="1032"/>
    <cellStyle name="Currency 3 3 2 2 4" xfId="1033"/>
    <cellStyle name="Currency 3 3 2 2 5" xfId="1034"/>
    <cellStyle name="Currency 3 3 2 3" xfId="1035"/>
    <cellStyle name="Currency 3 3 2 3 2" xfId="1036"/>
    <cellStyle name="Currency 3 3 2 3 2 2" xfId="1037"/>
    <cellStyle name="Currency 3 3 2 3 3" xfId="1038"/>
    <cellStyle name="Currency 3 3 2 3 4" xfId="1039"/>
    <cellStyle name="Currency 3 3 2 3 5" xfId="1040"/>
    <cellStyle name="Currency 3 3 2 4" xfId="1041"/>
    <cellStyle name="Currency 3 3 2 4 2" xfId="1042"/>
    <cellStyle name="Currency 3 3 2 5" xfId="1043"/>
    <cellStyle name="Currency 3 3 2 6" xfId="1044"/>
    <cellStyle name="Currency 3 3 2 7" xfId="1045"/>
    <cellStyle name="Currency 3 3 3" xfId="1046"/>
    <cellStyle name="Currency 3 3 3 2" xfId="1047"/>
    <cellStyle name="Currency 3 3 3 2 2" xfId="1048"/>
    <cellStyle name="Currency 3 3 3 3" xfId="1049"/>
    <cellStyle name="Currency 3 3 3 4" xfId="1050"/>
    <cellStyle name="Currency 3 3 3 5" xfId="1051"/>
    <cellStyle name="Currency 3 3 4" xfId="1052"/>
    <cellStyle name="Currency 3 3 4 2" xfId="1053"/>
    <cellStyle name="Currency 3 3 4 2 2" xfId="1054"/>
    <cellStyle name="Currency 3 3 4 3" xfId="1055"/>
    <cellStyle name="Currency 3 3 4 4" xfId="1056"/>
    <cellStyle name="Currency 3 3 4 5" xfId="1057"/>
    <cellStyle name="Currency 3 3 5" xfId="1058"/>
    <cellStyle name="Currency 3 3 5 2" xfId="1059"/>
    <cellStyle name="Currency 3 3 5 2 2" xfId="1060"/>
    <cellStyle name="Currency 3 3 5 3" xfId="1061"/>
    <cellStyle name="Currency 3 3 5 4" xfId="1062"/>
    <cellStyle name="Currency 3 3 5 5" xfId="1063"/>
    <cellStyle name="Currency 3 4" xfId="1064"/>
    <cellStyle name="Currency 3 4 2" xfId="1065"/>
    <cellStyle name="Currency 3 4 2 2" xfId="1066"/>
    <cellStyle name="Currency 3 4 2 2 2" xfId="1067"/>
    <cellStyle name="Currency 3 4 2 2 2 2" xfId="1068"/>
    <cellStyle name="Currency 3 4 2 2 3" xfId="1069"/>
    <cellStyle name="Currency 3 4 2 2 4" xfId="1070"/>
    <cellStyle name="Currency 3 4 2 2 5" xfId="1071"/>
    <cellStyle name="Currency 3 4 2 3" xfId="1072"/>
    <cellStyle name="Currency 3 4 2 3 2" xfId="1073"/>
    <cellStyle name="Currency 3 4 2 3 2 2" xfId="1074"/>
    <cellStyle name="Currency 3 4 2 3 3" xfId="1075"/>
    <cellStyle name="Currency 3 4 2 3 4" xfId="1076"/>
    <cellStyle name="Currency 3 4 2 3 5" xfId="1077"/>
    <cellStyle name="Currency 3 4 2 4" xfId="1078"/>
    <cellStyle name="Currency 3 4 2 4 2" xfId="1079"/>
    <cellStyle name="Currency 3 4 2 5" xfId="1080"/>
    <cellStyle name="Currency 3 4 2 6" xfId="1081"/>
    <cellStyle name="Currency 3 4 2 7" xfId="1082"/>
    <cellStyle name="Currency 3 4 3" xfId="1083"/>
    <cellStyle name="Currency 3 4 3 2" xfId="1084"/>
    <cellStyle name="Currency 3 4 3 2 2" xfId="1085"/>
    <cellStyle name="Currency 3 4 3 3" xfId="1086"/>
    <cellStyle name="Currency 3 4 3 4" xfId="1087"/>
    <cellStyle name="Currency 3 4 3 5" xfId="1088"/>
    <cellStyle name="Currency 3 4 4" xfId="1089"/>
    <cellStyle name="Currency 3 4 4 2" xfId="1090"/>
    <cellStyle name="Currency 3 4 4 2 2" xfId="1091"/>
    <cellStyle name="Currency 3 4 4 3" xfId="1092"/>
    <cellStyle name="Currency 3 4 4 4" xfId="1093"/>
    <cellStyle name="Currency 3 4 4 5" xfId="1094"/>
    <cellStyle name="Currency 3 4 5" xfId="1095"/>
    <cellStyle name="Currency 3 4 5 2" xfId="1096"/>
    <cellStyle name="Currency 3 4 6" xfId="1097"/>
    <cellStyle name="Currency 3 4 7" xfId="1098"/>
    <cellStyle name="Currency 3 4 8" xfId="1099"/>
    <cellStyle name="Currency 3 5" xfId="1100"/>
    <cellStyle name="Currency 3 5 2" xfId="1101"/>
    <cellStyle name="Currency 3 5 2 2" xfId="1102"/>
    <cellStyle name="Currency 3 5 2 2 2" xfId="1103"/>
    <cellStyle name="Currency 3 5 2 3" xfId="1104"/>
    <cellStyle name="Currency 3 5 2 4" xfId="1105"/>
    <cellStyle name="Currency 3 5 2 5" xfId="1106"/>
    <cellStyle name="Currency 3 5 3" xfId="1107"/>
    <cellStyle name="Currency 3 5 3 2" xfId="1108"/>
    <cellStyle name="Currency 3 5 3 2 2" xfId="1109"/>
    <cellStyle name="Currency 3 5 3 3" xfId="1110"/>
    <cellStyle name="Currency 3 5 3 4" xfId="1111"/>
    <cellStyle name="Currency 3 5 3 5" xfId="1112"/>
    <cellStyle name="Currency 3 5 4" xfId="1113"/>
    <cellStyle name="Currency 3 5 4 2" xfId="1114"/>
    <cellStyle name="Currency 3 5 5" xfId="1115"/>
    <cellStyle name="Currency 3 5 6" xfId="1116"/>
    <cellStyle name="Currency 3 5 7" xfId="1117"/>
    <cellStyle name="Currency 3 6" xfId="1118"/>
    <cellStyle name="Currency 3 6 2" xfId="1119"/>
    <cellStyle name="Currency 3 6 2 2" xfId="1120"/>
    <cellStyle name="Currency 3 6 3" xfId="1121"/>
    <cellStyle name="Currency 3 6 4" xfId="1122"/>
    <cellStyle name="Currency 3 6 5" xfId="1123"/>
    <cellStyle name="Currency 3 7" xfId="1124"/>
    <cellStyle name="Currency 3 8" xfId="1125"/>
    <cellStyle name="Currency 3 8 2" xfId="1126"/>
    <cellStyle name="Currency 3 8 2 2" xfId="1127"/>
    <cellStyle name="Currency 3 8 3" xfId="1128"/>
    <cellStyle name="Currency 3 8 4" xfId="1129"/>
    <cellStyle name="Currency 3 8 5" xfId="1130"/>
    <cellStyle name="Currency 3 9" xfId="1131"/>
    <cellStyle name="Currency 3 9 2" xfId="1132"/>
    <cellStyle name="Currency 3 9 2 2" xfId="1133"/>
    <cellStyle name="Currency 3 9 3" xfId="1134"/>
    <cellStyle name="Currency 3 9 4" xfId="1135"/>
    <cellStyle name="Currency 3 9 5" xfId="1136"/>
    <cellStyle name="Currency 4" xfId="1137"/>
    <cellStyle name="Currency 4 2" xfId="1138"/>
    <cellStyle name="Currency 5" xfId="1139"/>
    <cellStyle name="Currency 6" xfId="1140"/>
    <cellStyle name="Currency 6 2" xfId="1141"/>
    <cellStyle name="Currency 6 2 2" xfId="1142"/>
    <cellStyle name="Currency 6 3" xfId="1143"/>
    <cellStyle name="Currency 6 4" xfId="1144"/>
    <cellStyle name="Currency 7" xfId="1145"/>
    <cellStyle name="Currency 7 2" xfId="1146"/>
    <cellStyle name="Currency 7 3" xfId="1147"/>
    <cellStyle name="Currency 7 4" xfId="1148"/>
    <cellStyle name="Currency 8" xfId="1149"/>
    <cellStyle name="Currency 9" xfId="1150"/>
    <cellStyle name="Currency 9 2" xfId="2640"/>
    <cellStyle name="Currency 9 2 2" xfId="2654"/>
    <cellStyle name="Currency0" xfId="1151"/>
    <cellStyle name="Currency0 2" xfId="1152"/>
    <cellStyle name="Date" xfId="1153"/>
    <cellStyle name="Euro" xfId="1154"/>
    <cellStyle name="Fixed" xfId="1155"/>
    <cellStyle name="Good 2" xfId="1156"/>
    <cellStyle name="GrayCell" xfId="1157"/>
    <cellStyle name="Heading1" xfId="1158"/>
    <cellStyle name="Heading2" xfId="1159"/>
    <cellStyle name="Hyperlink 2" xfId="1160"/>
    <cellStyle name="Input 2" xfId="1161"/>
    <cellStyle name="Input 3" xfId="1162"/>
    <cellStyle name="Input 3 2" xfId="1163"/>
    <cellStyle name="Input 3 3" xfId="1164"/>
    <cellStyle name="input data" xfId="1165"/>
    <cellStyle name="input data 2" xfId="1166"/>
    <cellStyle name="input data_Ocotillo" xfId="1167"/>
    <cellStyle name="Neutral 2" xfId="1168"/>
    <cellStyle name="no dec" xfId="1169"/>
    <cellStyle name="Normal" xfId="0" builtinId="0"/>
    <cellStyle name="Normal - Style1" xfId="1170"/>
    <cellStyle name="Normal + box" xfId="1171"/>
    <cellStyle name="Normal + cyan" xfId="1172"/>
    <cellStyle name="Normal + cyan 2" xfId="1173"/>
    <cellStyle name="Normal + cyan 2 2" xfId="1174"/>
    <cellStyle name="Normal + cyan 3" xfId="1175"/>
    <cellStyle name="Normal + cyan 3 2" xfId="1176"/>
    <cellStyle name="normal + link" xfId="1177"/>
    <cellStyle name="normal + link 2" xfId="1178"/>
    <cellStyle name="normal + link2" xfId="1179"/>
    <cellStyle name="Normal + red" xfId="1180"/>
    <cellStyle name="Normal 10" xfId="1181"/>
    <cellStyle name="Normal 10 2" xfId="1182"/>
    <cellStyle name="Normal 10 2 2" xfId="1183"/>
    <cellStyle name="Normal 10 2 3" xfId="1184"/>
    <cellStyle name="Normal 10 2 4" xfId="1185"/>
    <cellStyle name="Normal 10 3" xfId="1186"/>
    <cellStyle name="Normal 10 3 2" xfId="1187"/>
    <cellStyle name="Normal 10 3 3" xfId="1188"/>
    <cellStyle name="Normal 10 3 4" xfId="1189"/>
    <cellStyle name="Normal 10 4" xfId="1190"/>
    <cellStyle name="Normal 100" xfId="1191"/>
    <cellStyle name="Normal 101" xfId="1192"/>
    <cellStyle name="Normal 102" xfId="1193"/>
    <cellStyle name="Normal 103" xfId="1194"/>
    <cellStyle name="Normal 104" xfId="1195"/>
    <cellStyle name="Normal 105" xfId="1196"/>
    <cellStyle name="Normal 106" xfId="1197"/>
    <cellStyle name="Normal 107" xfId="1198"/>
    <cellStyle name="Normal 107 2" xfId="2655"/>
    <cellStyle name="Normal 107 3" xfId="2656"/>
    <cellStyle name="Normal 108" xfId="1199"/>
    <cellStyle name="Normal 108 2" xfId="2642"/>
    <cellStyle name="Normal 108 2 2" xfId="2657"/>
    <cellStyle name="Normal 109" xfId="1200"/>
    <cellStyle name="Normal 11" xfId="1201"/>
    <cellStyle name="Normal 11 2" xfId="1202"/>
    <cellStyle name="Normal 11 2 2" xfId="1203"/>
    <cellStyle name="Normal 11 2 2 2" xfId="1204"/>
    <cellStyle name="Normal 11 2 3" xfId="1205"/>
    <cellStyle name="Normal 11 3" xfId="1206"/>
    <cellStyle name="Normal 11 3 2" xfId="1207"/>
    <cellStyle name="Normal 11 3 2 2" xfId="1208"/>
    <cellStyle name="Normal 11 3 3" xfId="1209"/>
    <cellStyle name="Normal 11 4" xfId="1210"/>
    <cellStyle name="Normal 11 4 2" xfId="1211"/>
    <cellStyle name="Normal 11 4 2 2" xfId="1212"/>
    <cellStyle name="Normal 11 4 3" xfId="1213"/>
    <cellStyle name="Normal 11 5" xfId="1214"/>
    <cellStyle name="Normal 11 5 2" xfId="1215"/>
    <cellStyle name="Normal 11 6" xfId="1216"/>
    <cellStyle name="Normal 11 7" xfId="1217"/>
    <cellStyle name="Normal 110" xfId="1218"/>
    <cellStyle name="Normal 111" xfId="1219"/>
    <cellStyle name="Normal 112" xfId="1220"/>
    <cellStyle name="Normal 113" xfId="1221"/>
    <cellStyle name="Normal 114" xfId="1222"/>
    <cellStyle name="Normal 115" xfId="1223"/>
    <cellStyle name="Normal 116" xfId="1224"/>
    <cellStyle name="Normal 117" xfId="1225"/>
    <cellStyle name="Normal 118" xfId="1226"/>
    <cellStyle name="Normal 119" xfId="1227"/>
    <cellStyle name="Normal 12" xfId="8"/>
    <cellStyle name="Normal 12 2" xfId="1228"/>
    <cellStyle name="Normal 12 3" xfId="1229"/>
    <cellStyle name="Normal 12 4" xfId="1230"/>
    <cellStyle name="Normal 12 5" xfId="1231"/>
    <cellStyle name="Normal 120" xfId="1232"/>
    <cellStyle name="Normal 121" xfId="1233"/>
    <cellStyle name="Normal 122" xfId="1234"/>
    <cellStyle name="Normal 123" xfId="1235"/>
    <cellStyle name="Normal 124" xfId="1236"/>
    <cellStyle name="Normal 125" xfId="1237"/>
    <cellStyle name="Normal 126" xfId="1238"/>
    <cellStyle name="Normal 127" xfId="1239"/>
    <cellStyle name="Normal 128" xfId="1240"/>
    <cellStyle name="Normal 129" xfId="1241"/>
    <cellStyle name="Normal 13" xfId="1242"/>
    <cellStyle name="Normal 13 2" xfId="1243"/>
    <cellStyle name="Normal 13 3" xfId="1244"/>
    <cellStyle name="Normal 130" xfId="1245"/>
    <cellStyle name="Normal 131" xfId="1246"/>
    <cellStyle name="Normal 132" xfId="1247"/>
    <cellStyle name="Normal 133" xfId="1248"/>
    <cellStyle name="Normal 133 2" xfId="2658"/>
    <cellStyle name="Normal 134" xfId="1249"/>
    <cellStyle name="Normal 134 2" xfId="2659"/>
    <cellStyle name="Normal 135" xfId="1250"/>
    <cellStyle name="Normal 135 2" xfId="2660"/>
    <cellStyle name="Normal 136" xfId="1251"/>
    <cellStyle name="Normal 136 2" xfId="2661"/>
    <cellStyle name="Normal 137" xfId="1252"/>
    <cellStyle name="Normal 137 2" xfId="2662"/>
    <cellStyle name="Normal 138" xfId="1253"/>
    <cellStyle name="Normal 139" xfId="1254"/>
    <cellStyle name="Normal 14" xfId="1255"/>
    <cellStyle name="Normal 14 2" xfId="1256"/>
    <cellStyle name="Normal 14 2 10" xfId="1257"/>
    <cellStyle name="Normal 14 2 2" xfId="1258"/>
    <cellStyle name="Normal 14 2 2 2" xfId="1259"/>
    <cellStyle name="Normal 14 2 2 2 2" xfId="1260"/>
    <cellStyle name="Normal 14 2 2 2 2 2" xfId="1261"/>
    <cellStyle name="Normal 14 2 2 2 2 2 2" xfId="1262"/>
    <cellStyle name="Normal 14 2 2 2 2 3" xfId="1263"/>
    <cellStyle name="Normal 14 2 2 2 2 4" xfId="1264"/>
    <cellStyle name="Normal 14 2 2 2 2 5" xfId="1265"/>
    <cellStyle name="Normal 14 2 2 2 3" xfId="1266"/>
    <cellStyle name="Normal 14 2 2 2 3 2" xfId="1267"/>
    <cellStyle name="Normal 14 2 2 2 3 2 2" xfId="1268"/>
    <cellStyle name="Normal 14 2 2 2 3 3" xfId="1269"/>
    <cellStyle name="Normal 14 2 2 2 3 4" xfId="1270"/>
    <cellStyle name="Normal 14 2 2 2 3 5" xfId="1271"/>
    <cellStyle name="Normal 14 2 2 2 4" xfId="1272"/>
    <cellStyle name="Normal 14 2 2 2 4 2" xfId="1273"/>
    <cellStyle name="Normal 14 2 2 2 5" xfId="1274"/>
    <cellStyle name="Normal 14 2 2 2 6" xfId="1275"/>
    <cellStyle name="Normal 14 2 2 2 7" xfId="1276"/>
    <cellStyle name="Normal 14 2 2 3" xfId="1277"/>
    <cellStyle name="Normal 14 2 2 3 2" xfId="1278"/>
    <cellStyle name="Normal 14 2 2 3 2 2" xfId="1279"/>
    <cellStyle name="Normal 14 2 2 3 3" xfId="1280"/>
    <cellStyle name="Normal 14 2 2 3 4" xfId="1281"/>
    <cellStyle name="Normal 14 2 2 3 5" xfId="1282"/>
    <cellStyle name="Normal 14 2 2 4" xfId="1283"/>
    <cellStyle name="Normal 14 2 2 4 2" xfId="1284"/>
    <cellStyle name="Normal 14 2 2 4 2 2" xfId="1285"/>
    <cellStyle name="Normal 14 2 2 4 3" xfId="1286"/>
    <cellStyle name="Normal 14 2 2 4 4" xfId="1287"/>
    <cellStyle name="Normal 14 2 2 4 5" xfId="1288"/>
    <cellStyle name="Normal 14 2 2 5" xfId="1289"/>
    <cellStyle name="Normal 14 2 2 5 2" xfId="1290"/>
    <cellStyle name="Normal 14 2 2 6" xfId="1291"/>
    <cellStyle name="Normal 14 2 2 7" xfId="1292"/>
    <cellStyle name="Normal 14 2 2 8" xfId="1293"/>
    <cellStyle name="Normal 14 2 3" xfId="1294"/>
    <cellStyle name="Normal 14 2 3 2" xfId="1295"/>
    <cellStyle name="Normal 14 2 3 2 2" xfId="1296"/>
    <cellStyle name="Normal 14 2 3 2 2 2" xfId="1297"/>
    <cellStyle name="Normal 14 2 3 2 2 2 2" xfId="1298"/>
    <cellStyle name="Normal 14 2 3 2 2 3" xfId="1299"/>
    <cellStyle name="Normal 14 2 3 2 2 4" xfId="1300"/>
    <cellStyle name="Normal 14 2 3 2 2 5" xfId="1301"/>
    <cellStyle name="Normal 14 2 3 2 3" xfId="1302"/>
    <cellStyle name="Normal 14 2 3 2 3 2" xfId="1303"/>
    <cellStyle name="Normal 14 2 3 2 3 2 2" xfId="1304"/>
    <cellStyle name="Normal 14 2 3 2 3 3" xfId="1305"/>
    <cellStyle name="Normal 14 2 3 2 3 4" xfId="1306"/>
    <cellStyle name="Normal 14 2 3 2 3 5" xfId="1307"/>
    <cellStyle name="Normal 14 2 3 2 4" xfId="1308"/>
    <cellStyle name="Normal 14 2 3 2 4 2" xfId="1309"/>
    <cellStyle name="Normal 14 2 3 2 5" xfId="1310"/>
    <cellStyle name="Normal 14 2 3 2 6" xfId="1311"/>
    <cellStyle name="Normal 14 2 3 2 7" xfId="1312"/>
    <cellStyle name="Normal 14 2 3 3" xfId="1313"/>
    <cellStyle name="Normal 14 2 3 3 2" xfId="1314"/>
    <cellStyle name="Normal 14 2 3 3 2 2" xfId="1315"/>
    <cellStyle name="Normal 14 2 3 3 3" xfId="1316"/>
    <cellStyle name="Normal 14 2 3 3 4" xfId="1317"/>
    <cellStyle name="Normal 14 2 3 3 5" xfId="1318"/>
    <cellStyle name="Normal 14 2 3 4" xfId="1319"/>
    <cellStyle name="Normal 14 2 3 4 2" xfId="1320"/>
    <cellStyle name="Normal 14 2 3 4 2 2" xfId="1321"/>
    <cellStyle name="Normal 14 2 3 4 3" xfId="1322"/>
    <cellStyle name="Normal 14 2 3 4 4" xfId="1323"/>
    <cellStyle name="Normal 14 2 3 4 5" xfId="1324"/>
    <cellStyle name="Normal 14 2 3 5" xfId="1325"/>
    <cellStyle name="Normal 14 2 3 5 2" xfId="1326"/>
    <cellStyle name="Normal 14 2 3 6" xfId="1327"/>
    <cellStyle name="Normal 14 2 3 7" xfId="1328"/>
    <cellStyle name="Normal 14 2 3 8" xfId="1329"/>
    <cellStyle name="Normal 14 2 4" xfId="1330"/>
    <cellStyle name="Normal 14 2 4 2" xfId="1331"/>
    <cellStyle name="Normal 14 2 4 2 2" xfId="1332"/>
    <cellStyle name="Normal 14 2 4 2 2 2" xfId="1333"/>
    <cellStyle name="Normal 14 2 4 2 3" xfId="1334"/>
    <cellStyle name="Normal 14 2 4 2 4" xfId="1335"/>
    <cellStyle name="Normal 14 2 4 2 5" xfId="1336"/>
    <cellStyle name="Normal 14 2 4 3" xfId="1337"/>
    <cellStyle name="Normal 14 2 4 3 2" xfId="1338"/>
    <cellStyle name="Normal 14 2 4 3 2 2" xfId="1339"/>
    <cellStyle name="Normal 14 2 4 3 3" xfId="1340"/>
    <cellStyle name="Normal 14 2 4 3 4" xfId="1341"/>
    <cellStyle name="Normal 14 2 4 3 5" xfId="1342"/>
    <cellStyle name="Normal 14 2 4 4" xfId="1343"/>
    <cellStyle name="Normal 14 2 4 4 2" xfId="1344"/>
    <cellStyle name="Normal 14 2 4 5" xfId="1345"/>
    <cellStyle name="Normal 14 2 4 6" xfId="1346"/>
    <cellStyle name="Normal 14 2 4 7" xfId="1347"/>
    <cellStyle name="Normal 14 2 5" xfId="1348"/>
    <cellStyle name="Normal 14 2 5 2" xfId="1349"/>
    <cellStyle name="Normal 14 2 5 2 2" xfId="1350"/>
    <cellStyle name="Normal 14 2 5 3" xfId="1351"/>
    <cellStyle name="Normal 14 2 5 4" xfId="1352"/>
    <cellStyle name="Normal 14 2 5 5" xfId="1353"/>
    <cellStyle name="Normal 14 2 6" xfId="1354"/>
    <cellStyle name="Normal 14 2 6 2" xfId="1355"/>
    <cellStyle name="Normal 14 2 6 2 2" xfId="1356"/>
    <cellStyle name="Normal 14 2 6 3" xfId="1357"/>
    <cellStyle name="Normal 14 2 6 4" xfId="1358"/>
    <cellStyle name="Normal 14 2 6 5" xfId="1359"/>
    <cellStyle name="Normal 14 2 7" xfId="1360"/>
    <cellStyle name="Normal 14 2 7 2" xfId="1361"/>
    <cellStyle name="Normal 14 2 8" xfId="1362"/>
    <cellStyle name="Normal 14 2 9" xfId="1363"/>
    <cellStyle name="Normal 14 3" xfId="1364"/>
    <cellStyle name="Normal 14 3 2" xfId="1365"/>
    <cellStyle name="Normal 14 3 2 2" xfId="1366"/>
    <cellStyle name="Normal 14 3 2 2 2" xfId="1367"/>
    <cellStyle name="Normal 14 3 2 2 2 2" xfId="1368"/>
    <cellStyle name="Normal 14 3 2 2 3" xfId="1369"/>
    <cellStyle name="Normal 14 3 2 2 4" xfId="1370"/>
    <cellStyle name="Normal 14 3 2 2 5" xfId="1371"/>
    <cellStyle name="Normal 14 3 2 3" xfId="1372"/>
    <cellStyle name="Normal 14 3 2 3 2" xfId="1373"/>
    <cellStyle name="Normal 14 3 2 3 2 2" xfId="1374"/>
    <cellStyle name="Normal 14 3 2 3 3" xfId="1375"/>
    <cellStyle name="Normal 14 3 2 3 4" xfId="1376"/>
    <cellStyle name="Normal 14 3 2 3 5" xfId="1377"/>
    <cellStyle name="Normal 14 3 2 4" xfId="1378"/>
    <cellStyle name="Normal 14 3 2 4 2" xfId="1379"/>
    <cellStyle name="Normal 14 3 2 5" xfId="1380"/>
    <cellStyle name="Normal 14 3 2 6" xfId="1381"/>
    <cellStyle name="Normal 14 3 2 7" xfId="1382"/>
    <cellStyle name="Normal 14 3 3" xfId="1383"/>
    <cellStyle name="Normal 14 3 3 2" xfId="1384"/>
    <cellStyle name="Normal 14 3 3 2 2" xfId="1385"/>
    <cellStyle name="Normal 14 3 3 3" xfId="1386"/>
    <cellStyle name="Normal 14 3 3 4" xfId="1387"/>
    <cellStyle name="Normal 14 3 3 5" xfId="1388"/>
    <cellStyle name="Normal 14 3 4" xfId="1389"/>
    <cellStyle name="Normal 14 3 4 2" xfId="1390"/>
    <cellStyle name="Normal 14 3 4 2 2" xfId="1391"/>
    <cellStyle name="Normal 14 3 4 3" xfId="1392"/>
    <cellStyle name="Normal 14 3 4 4" xfId="1393"/>
    <cellStyle name="Normal 14 3 4 5" xfId="1394"/>
    <cellStyle name="Normal 14 3 5" xfId="1395"/>
    <cellStyle name="Normal 14 3 5 2" xfId="1396"/>
    <cellStyle name="Normal 14 3 6" xfId="1397"/>
    <cellStyle name="Normal 14 3 7" xfId="1398"/>
    <cellStyle name="Normal 14 3 8" xfId="1399"/>
    <cellStyle name="Normal 14 4" xfId="1400"/>
    <cellStyle name="Normal 14 4 2" xfId="1401"/>
    <cellStyle name="Normal 14 4 2 2" xfId="1402"/>
    <cellStyle name="Normal 14 4 2 2 2" xfId="1403"/>
    <cellStyle name="Normal 14 4 2 2 2 2" xfId="1404"/>
    <cellStyle name="Normal 14 4 2 2 3" xfId="1405"/>
    <cellStyle name="Normal 14 4 2 2 4" xfId="1406"/>
    <cellStyle name="Normal 14 4 2 2 5" xfId="1407"/>
    <cellStyle name="Normal 14 4 2 3" xfId="1408"/>
    <cellStyle name="Normal 14 4 2 3 2" xfId="1409"/>
    <cellStyle name="Normal 14 4 2 3 2 2" xfId="1410"/>
    <cellStyle name="Normal 14 4 2 3 3" xfId="1411"/>
    <cellStyle name="Normal 14 4 2 3 4" xfId="1412"/>
    <cellStyle name="Normal 14 4 2 3 5" xfId="1413"/>
    <cellStyle name="Normal 14 4 2 4" xfId="1414"/>
    <cellStyle name="Normal 14 4 2 4 2" xfId="1415"/>
    <cellStyle name="Normal 14 4 2 5" xfId="1416"/>
    <cellStyle name="Normal 14 4 2 6" xfId="1417"/>
    <cellStyle name="Normal 14 4 2 7" xfId="1418"/>
    <cellStyle name="Normal 14 4 3" xfId="1419"/>
    <cellStyle name="Normal 14 4 3 2" xfId="1420"/>
    <cellStyle name="Normal 14 4 3 2 2" xfId="1421"/>
    <cellStyle name="Normal 14 4 3 3" xfId="1422"/>
    <cellStyle name="Normal 14 4 3 4" xfId="1423"/>
    <cellStyle name="Normal 14 4 3 5" xfId="1424"/>
    <cellStyle name="Normal 14 4 4" xfId="1425"/>
    <cellStyle name="Normal 14 4 4 2" xfId="1426"/>
    <cellStyle name="Normal 14 4 4 2 2" xfId="1427"/>
    <cellStyle name="Normal 14 4 4 3" xfId="1428"/>
    <cellStyle name="Normal 14 4 4 4" xfId="1429"/>
    <cellStyle name="Normal 14 4 4 5" xfId="1430"/>
    <cellStyle name="Normal 14 4 5" xfId="1431"/>
    <cellStyle name="Normal 14 4 5 2" xfId="1432"/>
    <cellStyle name="Normal 14 4 6" xfId="1433"/>
    <cellStyle name="Normal 14 4 7" xfId="1434"/>
    <cellStyle name="Normal 14 4 8" xfId="1435"/>
    <cellStyle name="Normal 14 5" xfId="1436"/>
    <cellStyle name="Normal 14 6" xfId="1437"/>
    <cellStyle name="Normal 14 6 2" xfId="1438"/>
    <cellStyle name="Normal 14 6 2 2" xfId="1439"/>
    <cellStyle name="Normal 14 6 2 2 2" xfId="1440"/>
    <cellStyle name="Normal 14 6 2 3" xfId="1441"/>
    <cellStyle name="Normal 14 6 2 4" xfId="1442"/>
    <cellStyle name="Normal 14 6 2 5" xfId="1443"/>
    <cellStyle name="Normal 14 6 3" xfId="1444"/>
    <cellStyle name="Normal 14 6 3 2" xfId="1445"/>
    <cellStyle name="Normal 14 6 3 2 2" xfId="1446"/>
    <cellStyle name="Normal 14 6 3 3" xfId="1447"/>
    <cellStyle name="Normal 14 6 3 4" xfId="1448"/>
    <cellStyle name="Normal 14 6 3 5" xfId="1449"/>
    <cellStyle name="Normal 14 6 4" xfId="1450"/>
    <cellStyle name="Normal 14 6 4 2" xfId="1451"/>
    <cellStyle name="Normal 14 6 5" xfId="1452"/>
    <cellStyle name="Normal 14 6 6" xfId="1453"/>
    <cellStyle name="Normal 14 6 7" xfId="1454"/>
    <cellStyle name="Normal 14 7" xfId="1455"/>
    <cellStyle name="Normal 14 7 2" xfId="1456"/>
    <cellStyle name="Normal 14 7 2 2" xfId="1457"/>
    <cellStyle name="Normal 14 7 2 2 2" xfId="1458"/>
    <cellStyle name="Normal 14 7 2 3" xfId="1459"/>
    <cellStyle name="Normal 14 7 2 4" xfId="1460"/>
    <cellStyle name="Normal 14 7 2 5" xfId="1461"/>
    <cellStyle name="Normal 14 7 3" xfId="1462"/>
    <cellStyle name="Normal 14 7 3 2" xfId="1463"/>
    <cellStyle name="Normal 14 7 3 2 2" xfId="1464"/>
    <cellStyle name="Normal 14 7 3 3" xfId="1465"/>
    <cellStyle name="Normal 14 7 3 4" xfId="1466"/>
    <cellStyle name="Normal 14 7 3 5" xfId="1467"/>
    <cellStyle name="Normal 14 7 4" xfId="1468"/>
    <cellStyle name="Normal 14 7 4 2" xfId="1469"/>
    <cellStyle name="Normal 14 7 5" xfId="1470"/>
    <cellStyle name="Normal 14 7 6" xfId="1471"/>
    <cellStyle name="Normal 14 7 7" xfId="1472"/>
    <cellStyle name="Normal 14 8" xfId="1473"/>
    <cellStyle name="Normal 14 8 2" xfId="1474"/>
    <cellStyle name="Normal 14 8 2 2" xfId="1475"/>
    <cellStyle name="Normal 14 8 3" xfId="1476"/>
    <cellStyle name="Normal 14 8 4" xfId="1477"/>
    <cellStyle name="Normal 14 8 5" xfId="1478"/>
    <cellStyle name="Normal 14 9" xfId="1479"/>
    <cellStyle name="Normal 14 9 2" xfId="1480"/>
    <cellStyle name="Normal 14 9 2 2" xfId="1481"/>
    <cellStyle name="Normal 14 9 3" xfId="1482"/>
    <cellStyle name="Normal 14 9 4" xfId="1483"/>
    <cellStyle name="Normal 14 9 5" xfId="1484"/>
    <cellStyle name="Normal 140" xfId="1485"/>
    <cellStyle name="Normal 141" xfId="1486"/>
    <cellStyle name="Normal 15" xfId="1487"/>
    <cellStyle name="Normal 15 2" xfId="1488"/>
    <cellStyle name="Normal 15 3" xfId="1489"/>
    <cellStyle name="Normal 16" xfId="1490"/>
    <cellStyle name="Normal 16 2" xfId="1491"/>
    <cellStyle name="Normal 16 2 2" xfId="1492"/>
    <cellStyle name="Normal 16 3" xfId="1493"/>
    <cellStyle name="Normal 16 3 2" xfId="1494"/>
    <cellStyle name="Normal 16 4" xfId="1495"/>
    <cellStyle name="Normal 17" xfId="1496"/>
    <cellStyle name="Normal 17 2" xfId="1497"/>
    <cellStyle name="Normal 18" xfId="1498"/>
    <cellStyle name="Normal 18 2" xfId="1499"/>
    <cellStyle name="Normal 18 2 2" xfId="1500"/>
    <cellStyle name="Normal 18 3" xfId="1501"/>
    <cellStyle name="Normal 18 4" xfId="1502"/>
    <cellStyle name="Normal 19" xfId="1503"/>
    <cellStyle name="Normal 19 2" xfId="1504"/>
    <cellStyle name="Normal 19 2 2" xfId="1505"/>
    <cellStyle name="Normal 19 2 2 2" xfId="1506"/>
    <cellStyle name="Normal 19 2 2 2 2" xfId="1507"/>
    <cellStyle name="Normal 19 2 2 3" xfId="1508"/>
    <cellStyle name="Normal 19 2 2 4" xfId="1509"/>
    <cellStyle name="Normal 19 2 2 5" xfId="1510"/>
    <cellStyle name="Normal 19 2 3" xfId="1511"/>
    <cellStyle name="Normal 19 2 3 2" xfId="1512"/>
    <cellStyle name="Normal 19 2 3 2 2" xfId="1513"/>
    <cellStyle name="Normal 19 2 3 3" xfId="1514"/>
    <cellStyle name="Normal 19 2 3 4" xfId="1515"/>
    <cellStyle name="Normal 19 2 3 5" xfId="1516"/>
    <cellStyle name="Normal 19 2 4" xfId="1517"/>
    <cellStyle name="Normal 19 2 4 2" xfId="1518"/>
    <cellStyle name="Normal 19 2 5" xfId="1519"/>
    <cellStyle name="Normal 19 2 6" xfId="1520"/>
    <cellStyle name="Normal 19 2 7" xfId="1521"/>
    <cellStyle name="Normal 19 3" xfId="1522"/>
    <cellStyle name="Normal 19 3 2" xfId="1523"/>
    <cellStyle name="Normal 19 3 2 2" xfId="1524"/>
    <cellStyle name="Normal 19 3 3" xfId="1525"/>
    <cellStyle name="Normal 19 3 4" xfId="1526"/>
    <cellStyle name="Normal 19 3 5" xfId="1527"/>
    <cellStyle name="Normal 19 4" xfId="1528"/>
    <cellStyle name="Normal 19 4 2" xfId="1529"/>
    <cellStyle name="Normal 19 4 2 2" xfId="1530"/>
    <cellStyle name="Normal 19 4 3" xfId="1531"/>
    <cellStyle name="Normal 19 4 4" xfId="1532"/>
    <cellStyle name="Normal 19 4 5" xfId="1533"/>
    <cellStyle name="Normal 19 5" xfId="1534"/>
    <cellStyle name="Normal 19 5 2" xfId="1535"/>
    <cellStyle name="Normal 19 5 2 2" xfId="1536"/>
    <cellStyle name="Normal 19 5 3" xfId="1537"/>
    <cellStyle name="Normal 19 5 4" xfId="1538"/>
    <cellStyle name="Normal 19 5 5" xfId="1539"/>
    <cellStyle name="Normal 2" xfId="1540"/>
    <cellStyle name="Normal 2 2" xfId="1541"/>
    <cellStyle name="Normal 2 2 2" xfId="1542"/>
    <cellStyle name="Normal 2 2 2 2" xfId="1543"/>
    <cellStyle name="Normal 2 2 2 2 2" xfId="1544"/>
    <cellStyle name="Normal 2 2 2 3" xfId="1545"/>
    <cellStyle name="Normal 2 2 2 4" xfId="1546"/>
    <cellStyle name="Normal 2 2 3" xfId="1547"/>
    <cellStyle name="Normal 2 2 3 2" xfId="20"/>
    <cellStyle name="Normal 2 2 4" xfId="1548"/>
    <cellStyle name="Normal 2 2 4 2" xfId="1549"/>
    <cellStyle name="Normal 2 3" xfId="1550"/>
    <cellStyle name="Normal 2 3 2" xfId="1551"/>
    <cellStyle name="Normal 2 3 3" xfId="1552"/>
    <cellStyle name="Normal 2 3 4" xfId="1553"/>
    <cellStyle name="Normal 2 3 4 2" xfId="1554"/>
    <cellStyle name="Normal 2 4" xfId="1555"/>
    <cellStyle name="Normal 2 4 2" xfId="1556"/>
    <cellStyle name="Normal 2 4 3" xfId="1557"/>
    <cellStyle name="Normal 2 4 4" xfId="1558"/>
    <cellStyle name="Normal 2 4 5" xfId="1559"/>
    <cellStyle name="Normal 2 5" xfId="1560"/>
    <cellStyle name="Normal 2 6" xfId="1561"/>
    <cellStyle name="Normal 2 7" xfId="1562"/>
    <cellStyle name="Normal 2 8" xfId="1563"/>
    <cellStyle name="Normal 2 9" xfId="1564"/>
    <cellStyle name="Normal 2_Ocotillo" xfId="1565"/>
    <cellStyle name="Normal 20" xfId="1566"/>
    <cellStyle name="Normal 20 2" xfId="1567"/>
    <cellStyle name="Normal 21" xfId="1568"/>
    <cellStyle name="Normal 21 2" xfId="1569"/>
    <cellStyle name="Normal 21 2 2" xfId="1570"/>
    <cellStyle name="Normal 21 2 2 2" xfId="1571"/>
    <cellStyle name="Normal 21 2 3" xfId="1572"/>
    <cellStyle name="Normal 21 2 4" xfId="1573"/>
    <cellStyle name="Normal 21 2 5" xfId="1574"/>
    <cellStyle name="Normal 22" xfId="1575"/>
    <cellStyle name="Normal 22 2" xfId="1576"/>
    <cellStyle name="Normal 22 2 2" xfId="1577"/>
    <cellStyle name="Normal 22 3" xfId="1578"/>
    <cellStyle name="Normal 22 4" xfId="1579"/>
    <cellStyle name="Normal 22 5" xfId="1580"/>
    <cellStyle name="Normal 23" xfId="1581"/>
    <cellStyle name="Normal 23 2" xfId="1582"/>
    <cellStyle name="Normal 23 2 2" xfId="1583"/>
    <cellStyle name="Normal 23 2 2 2" xfId="1584"/>
    <cellStyle name="Normal 23 2 3" xfId="1585"/>
    <cellStyle name="Normal 23 2 4" xfId="1586"/>
    <cellStyle name="Normal 23 2 5" xfId="1587"/>
    <cellStyle name="Normal 23 3" xfId="1588"/>
    <cellStyle name="Normal 24" xfId="18"/>
    <cellStyle name="Normal 24 2" xfId="1589"/>
    <cellStyle name="Normal 24 2 2" xfId="1590"/>
    <cellStyle name="Normal 24 2 2 2" xfId="1591"/>
    <cellStyle name="Normal 24 2 3" xfId="1592"/>
    <cellStyle name="Normal 24 2 4" xfId="1593"/>
    <cellStyle name="Normal 24 2 5" xfId="1594"/>
    <cellStyle name="Normal 24 3" xfId="1595"/>
    <cellStyle name="Normal 25" xfId="1596"/>
    <cellStyle name="Normal 25 2" xfId="1597"/>
    <cellStyle name="Normal 25 2 2" xfId="1598"/>
    <cellStyle name="Normal 25 3" xfId="1599"/>
    <cellStyle name="Normal 25 4" xfId="1600"/>
    <cellStyle name="Normal 25 5" xfId="1601"/>
    <cellStyle name="Normal 26" xfId="1602"/>
    <cellStyle name="Normal 27" xfId="1603"/>
    <cellStyle name="Normal 27 2" xfId="1604"/>
    <cellStyle name="Normal 28" xfId="1605"/>
    <cellStyle name="Normal 29" xfId="1606"/>
    <cellStyle name="Normal 3" xfId="1607"/>
    <cellStyle name="Normal 3 2" xfId="1608"/>
    <cellStyle name="Normal 3 2 2" xfId="1609"/>
    <cellStyle name="Normal 3 2 2 2" xfId="1610"/>
    <cellStyle name="Normal 3 2 2 2 2" xfId="1611"/>
    <cellStyle name="Normal 3 2 2 3" xfId="1612"/>
    <cellStyle name="Normal 3 2 2 4" xfId="17"/>
    <cellStyle name="Normal 3 2 3" xfId="1613"/>
    <cellStyle name="Normal 3 2 3 2" xfId="1614"/>
    <cellStyle name="Normal 3 2 3 2 2" xfId="1615"/>
    <cellStyle name="Normal 3 2 3 2 2 2" xfId="1616"/>
    <cellStyle name="Normal 3 2 3 2 2 2 2" xfId="1617"/>
    <cellStyle name="Normal 3 2 3 2 2 2 2 2" xfId="1618"/>
    <cellStyle name="Normal 3 2 3 2 2 2 3" xfId="1619"/>
    <cellStyle name="Normal 3 2 3 2 2 2 4" xfId="1620"/>
    <cellStyle name="Normal 3 2 3 2 2 2 5" xfId="1621"/>
    <cellStyle name="Normal 3 2 3 2 2 3" xfId="1622"/>
    <cellStyle name="Normal 3 2 3 2 2 3 2" xfId="1623"/>
    <cellStyle name="Normal 3 2 3 2 2 3 2 2" xfId="1624"/>
    <cellStyle name="Normal 3 2 3 2 2 3 3" xfId="1625"/>
    <cellStyle name="Normal 3 2 3 2 2 3 4" xfId="1626"/>
    <cellStyle name="Normal 3 2 3 2 2 3 5" xfId="1627"/>
    <cellStyle name="Normal 3 2 3 2 2 4" xfId="1628"/>
    <cellStyle name="Normal 3 2 3 2 2 4 2" xfId="1629"/>
    <cellStyle name="Normal 3 2 3 2 2 5" xfId="1630"/>
    <cellStyle name="Normal 3 2 3 2 2 6" xfId="1631"/>
    <cellStyle name="Normal 3 2 3 2 2 7" xfId="1632"/>
    <cellStyle name="Normal 3 2 3 2 3" xfId="1633"/>
    <cellStyle name="Normal 3 2 3 2 3 2" xfId="1634"/>
    <cellStyle name="Normal 3 2 3 2 3 2 2" xfId="1635"/>
    <cellStyle name="Normal 3 2 3 2 3 3" xfId="1636"/>
    <cellStyle name="Normal 3 2 3 2 3 4" xfId="1637"/>
    <cellStyle name="Normal 3 2 3 2 3 5" xfId="1638"/>
    <cellStyle name="Normal 3 2 3 2 4" xfId="1639"/>
    <cellStyle name="Normal 3 2 3 2 4 2" xfId="1640"/>
    <cellStyle name="Normal 3 2 3 2 4 2 2" xfId="1641"/>
    <cellStyle name="Normal 3 2 3 2 4 3" xfId="1642"/>
    <cellStyle name="Normal 3 2 3 2 4 4" xfId="1643"/>
    <cellStyle name="Normal 3 2 3 2 4 5" xfId="1644"/>
    <cellStyle name="Normal 3 2 3 2 5" xfId="1645"/>
    <cellStyle name="Normal 3 2 3 2 5 2" xfId="1646"/>
    <cellStyle name="Normal 3 2 3 2 5 2 2" xfId="1647"/>
    <cellStyle name="Normal 3 2 3 2 5 3" xfId="1648"/>
    <cellStyle name="Normal 3 2 3 2 5 4" xfId="1649"/>
    <cellStyle name="Normal 3 2 3 2 5 5" xfId="1650"/>
    <cellStyle name="Normal 3 2 3 2 6" xfId="1651"/>
    <cellStyle name="Normal 3 2 3 3" xfId="1652"/>
    <cellStyle name="Normal 3 2 3 3 2" xfId="1653"/>
    <cellStyle name="Normal 3 2 3 3 2 2" xfId="1654"/>
    <cellStyle name="Normal 3 2 3 3 2 2 2" xfId="1655"/>
    <cellStyle name="Normal 3 2 3 3 2 2 2 2" xfId="1656"/>
    <cellStyle name="Normal 3 2 3 3 2 2 3" xfId="1657"/>
    <cellStyle name="Normal 3 2 3 3 2 2 4" xfId="1658"/>
    <cellStyle name="Normal 3 2 3 3 2 2 5" xfId="1659"/>
    <cellStyle name="Normal 3 2 3 3 2 3" xfId="1660"/>
    <cellStyle name="Normal 3 2 3 3 2 3 2" xfId="1661"/>
    <cellStyle name="Normal 3 2 3 3 2 3 2 2" xfId="1662"/>
    <cellStyle name="Normal 3 2 3 3 2 3 3" xfId="1663"/>
    <cellStyle name="Normal 3 2 3 3 2 3 4" xfId="1664"/>
    <cellStyle name="Normal 3 2 3 3 2 3 5" xfId="1665"/>
    <cellStyle name="Normal 3 2 3 3 2 4" xfId="1666"/>
    <cellStyle name="Normal 3 2 3 3 2 4 2" xfId="1667"/>
    <cellStyle name="Normal 3 2 3 3 2 5" xfId="1668"/>
    <cellStyle name="Normal 3 2 3 3 2 6" xfId="1669"/>
    <cellStyle name="Normal 3 2 3 3 2 7" xfId="1670"/>
    <cellStyle name="Normal 3 2 3 3 3" xfId="1671"/>
    <cellStyle name="Normal 3 2 3 3 3 2" xfId="1672"/>
    <cellStyle name="Normal 3 2 3 3 3 2 2" xfId="1673"/>
    <cellStyle name="Normal 3 2 3 3 3 3" xfId="1674"/>
    <cellStyle name="Normal 3 2 3 3 3 4" xfId="1675"/>
    <cellStyle name="Normal 3 2 3 3 3 5" xfId="1676"/>
    <cellStyle name="Normal 3 2 3 3 4" xfId="1677"/>
    <cellStyle name="Normal 3 2 3 3 4 2" xfId="1678"/>
    <cellStyle name="Normal 3 2 3 3 4 2 2" xfId="1679"/>
    <cellStyle name="Normal 3 2 3 3 4 3" xfId="1680"/>
    <cellStyle name="Normal 3 2 3 3 4 4" xfId="1681"/>
    <cellStyle name="Normal 3 2 3 3 4 5" xfId="1682"/>
    <cellStyle name="Normal 3 2 3 3 5" xfId="1683"/>
    <cellStyle name="Normal 3 2 3 3 5 2" xfId="1684"/>
    <cellStyle name="Normal 3 2 3 3 5 2 2" xfId="1685"/>
    <cellStyle name="Normal 3 2 3 3 5 3" xfId="1686"/>
    <cellStyle name="Normal 3 2 3 3 5 4" xfId="1687"/>
    <cellStyle name="Normal 3 2 3 3 5 5" xfId="1688"/>
    <cellStyle name="Normal 3 2 3 4" xfId="1689"/>
    <cellStyle name="Normal 3 2 3 5" xfId="1690"/>
    <cellStyle name="Normal 3 2 3 5 2" xfId="1691"/>
    <cellStyle name="Normal 3 2 3 5 2 2" xfId="1692"/>
    <cellStyle name="Normal 3 2 3 5 2 2 2" xfId="1693"/>
    <cellStyle name="Normal 3 2 3 5 2 3" xfId="1694"/>
    <cellStyle name="Normal 3 2 3 5 2 4" xfId="1695"/>
    <cellStyle name="Normal 3 2 3 5 2 5" xfId="1696"/>
    <cellStyle name="Normal 3 2 3 5 3" xfId="1697"/>
    <cellStyle name="Normal 3 2 3 5 3 2" xfId="1698"/>
    <cellStyle name="Normal 3 2 3 5 3 2 2" xfId="1699"/>
    <cellStyle name="Normal 3 2 3 5 3 3" xfId="1700"/>
    <cellStyle name="Normal 3 2 3 5 3 4" xfId="1701"/>
    <cellStyle name="Normal 3 2 3 5 3 5" xfId="1702"/>
    <cellStyle name="Normal 3 2 3 5 4" xfId="1703"/>
    <cellStyle name="Normal 3 2 3 5 4 2" xfId="1704"/>
    <cellStyle name="Normal 3 2 3 5 5" xfId="1705"/>
    <cellStyle name="Normal 3 2 3 5 6" xfId="1706"/>
    <cellStyle name="Normal 3 2 3 5 7" xfId="1707"/>
    <cellStyle name="Normal 3 2 3 6" xfId="1708"/>
    <cellStyle name="Normal 3 2 3 6 2" xfId="1709"/>
    <cellStyle name="Normal 3 2 3 6 2 2" xfId="1710"/>
    <cellStyle name="Normal 3 2 3 6 3" xfId="1711"/>
    <cellStyle name="Normal 3 2 3 6 4" xfId="1712"/>
    <cellStyle name="Normal 3 2 3 6 5" xfId="1713"/>
    <cellStyle name="Normal 3 2 3 7" xfId="1714"/>
    <cellStyle name="Normal 3 2 3 7 2" xfId="1715"/>
    <cellStyle name="Normal 3 2 3 7 2 2" xfId="1716"/>
    <cellStyle name="Normal 3 2 3 7 3" xfId="1717"/>
    <cellStyle name="Normal 3 2 3 7 4" xfId="1718"/>
    <cellStyle name="Normal 3 2 3 7 5" xfId="1719"/>
    <cellStyle name="Normal 3 2 3 8" xfId="1720"/>
    <cellStyle name="Normal 3 2 3 8 2" xfId="1721"/>
    <cellStyle name="Normal 3 2 3 8 2 2" xfId="1722"/>
    <cellStyle name="Normal 3 2 3 8 3" xfId="1723"/>
    <cellStyle name="Normal 3 2 3 8 4" xfId="1724"/>
    <cellStyle name="Normal 3 2 3 8 5" xfId="1725"/>
    <cellStyle name="Normal 3 2 4" xfId="1726"/>
    <cellStyle name="Normal 3 2 4 2" xfId="1727"/>
    <cellStyle name="Normal 3 2 4 2 2" xfId="1728"/>
    <cellStyle name="Normal 3 2 4 2 2 2" xfId="1729"/>
    <cellStyle name="Normal 3 2 4 2 2 2 2" xfId="1730"/>
    <cellStyle name="Normal 3 2 4 2 2 3" xfId="1731"/>
    <cellStyle name="Normal 3 2 4 2 2 4" xfId="1732"/>
    <cellStyle name="Normal 3 2 4 2 2 5" xfId="1733"/>
    <cellStyle name="Normal 3 2 4 2 3" xfId="1734"/>
    <cellStyle name="Normal 3 2 4 2 3 2" xfId="1735"/>
    <cellStyle name="Normal 3 2 4 2 3 2 2" xfId="1736"/>
    <cellStyle name="Normal 3 2 4 2 3 3" xfId="1737"/>
    <cellStyle name="Normal 3 2 4 2 3 4" xfId="1738"/>
    <cellStyle name="Normal 3 2 4 2 3 5" xfId="1739"/>
    <cellStyle name="Normal 3 2 4 2 4" xfId="1740"/>
    <cellStyle name="Normal 3 2 4 2 4 2" xfId="1741"/>
    <cellStyle name="Normal 3 2 4 2 5" xfId="1742"/>
    <cellStyle name="Normal 3 2 4 2 6" xfId="1743"/>
    <cellStyle name="Normal 3 2 4 2 7" xfId="1744"/>
    <cellStyle name="Normal 3 2 4 3" xfId="1745"/>
    <cellStyle name="Normal 3 2 4 3 2" xfId="1746"/>
    <cellStyle name="Normal 3 2 4 3 2 2" xfId="1747"/>
    <cellStyle name="Normal 3 2 4 3 3" xfId="1748"/>
    <cellStyle name="Normal 3 2 4 3 4" xfId="1749"/>
    <cellStyle name="Normal 3 2 4 3 5" xfId="1750"/>
    <cellStyle name="Normal 3 2 4 4" xfId="1751"/>
    <cellStyle name="Normal 3 2 4 4 2" xfId="1752"/>
    <cellStyle name="Normal 3 2 4 4 2 2" xfId="1753"/>
    <cellStyle name="Normal 3 2 4 4 3" xfId="1754"/>
    <cellStyle name="Normal 3 2 4 4 4" xfId="1755"/>
    <cellStyle name="Normal 3 2 4 4 5" xfId="1756"/>
    <cellStyle name="Normal 3 2 4 5" xfId="1757"/>
    <cellStyle name="Normal 3 2 4 5 2" xfId="1758"/>
    <cellStyle name="Normal 3 2 4 5 2 2" xfId="1759"/>
    <cellStyle name="Normal 3 2 4 5 3" xfId="1760"/>
    <cellStyle name="Normal 3 2 4 5 4" xfId="1761"/>
    <cellStyle name="Normal 3 2 4 5 5" xfId="1762"/>
    <cellStyle name="Normal 3 2 5" xfId="1763"/>
    <cellStyle name="Normal 3 2 5 2" xfId="1764"/>
    <cellStyle name="Normal 3 2 6" xfId="1765"/>
    <cellStyle name="Normal 3 2 6 2" xfId="1766"/>
    <cellStyle name="Normal 3 2 6 2 2" xfId="1767"/>
    <cellStyle name="Normal 3 2 6 2 2 2" xfId="1768"/>
    <cellStyle name="Normal 3 2 6 2 3" xfId="1769"/>
    <cellStyle name="Normal 3 2 6 2 4" xfId="1770"/>
    <cellStyle name="Normal 3 2 6 2 5" xfId="1771"/>
    <cellStyle name="Normal 3 2 6 3" xfId="1772"/>
    <cellStyle name="Normal 3 2 6 3 2" xfId="1773"/>
    <cellStyle name="Normal 3 2 6 3 2 2" xfId="1774"/>
    <cellStyle name="Normal 3 2 6 3 3" xfId="1775"/>
    <cellStyle name="Normal 3 2 6 3 4" xfId="1776"/>
    <cellStyle name="Normal 3 2 6 3 5" xfId="1777"/>
    <cellStyle name="Normal 3 2 6 4" xfId="1778"/>
    <cellStyle name="Normal 3 2 6 4 2" xfId="1779"/>
    <cellStyle name="Normal 3 2 6 4 2 2" xfId="1780"/>
    <cellStyle name="Normal 3 2 6 4 3" xfId="1781"/>
    <cellStyle name="Normal 3 2 6 4 4" xfId="1782"/>
    <cellStyle name="Normal 3 2 6 4 5" xfId="1783"/>
    <cellStyle name="Normal 3 2 7" xfId="1784"/>
    <cellStyle name="Normal 3 2 7 2" xfId="1785"/>
    <cellStyle name="Normal 3 2 7 2 2" xfId="1786"/>
    <cellStyle name="Normal 3 2 7 3" xfId="1787"/>
    <cellStyle name="Normal 3 2 7 4" xfId="1788"/>
    <cellStyle name="Normal 3 2 7 5" xfId="1789"/>
    <cellStyle name="Normal 3 2 8" xfId="1790"/>
    <cellStyle name="Normal 3 2 8 2" xfId="1791"/>
    <cellStyle name="Normal 3 2 8 2 2" xfId="1792"/>
    <cellStyle name="Normal 3 2 8 3" xfId="1793"/>
    <cellStyle name="Normal 3 2 8 4" xfId="1794"/>
    <cellStyle name="Normal 3 2 8 5" xfId="1795"/>
    <cellStyle name="Normal 3 2 9" xfId="1796"/>
    <cellStyle name="Normal 3 2 9 2" xfId="1797"/>
    <cellStyle name="Normal 3 2 9 2 2" xfId="1798"/>
    <cellStyle name="Normal 3 2 9 3" xfId="1799"/>
    <cellStyle name="Normal 3 2 9 4" xfId="1800"/>
    <cellStyle name="Normal 3 2 9 5" xfId="1801"/>
    <cellStyle name="Normal 3 3" xfId="1802"/>
    <cellStyle name="Normal 3 3 2" xfId="1803"/>
    <cellStyle name="Normal 3 3 2 2" xfId="1804"/>
    <cellStyle name="Normal 3 3 3" xfId="1805"/>
    <cellStyle name="Normal 3 3 3 2" xfId="1806"/>
    <cellStyle name="Normal 3 3 4" xfId="1807"/>
    <cellStyle name="Normal 3 3 5" xfId="1808"/>
    <cellStyle name="Normal 3 4" xfId="1809"/>
    <cellStyle name="Normal 3 4 2" xfId="1810"/>
    <cellStyle name="Normal 3 4 2 2" xfId="1811"/>
    <cellStyle name="Normal 3 4 3" xfId="1812"/>
    <cellStyle name="Normal 3 4 4" xfId="1813"/>
    <cellStyle name="Normal 3 5" xfId="1814"/>
    <cellStyle name="Normal 3 5 2" xfId="1815"/>
    <cellStyle name="Normal 3 5 3" xfId="1816"/>
    <cellStyle name="Normal 3 6" xfId="1817"/>
    <cellStyle name="Normal 3 6 2" xfId="1818"/>
    <cellStyle name="Normal 3 7" xfId="1819"/>
    <cellStyle name="Normal 3 8" xfId="1820"/>
    <cellStyle name="Normal 3 9" xfId="19"/>
    <cellStyle name="Normal 3_Ocotillo" xfId="1821"/>
    <cellStyle name="Normal 30" xfId="1822"/>
    <cellStyle name="Normal 31" xfId="1823"/>
    <cellStyle name="Normal 32" xfId="1824"/>
    <cellStyle name="Normal 33" xfId="1825"/>
    <cellStyle name="Normal 34" xfId="1826"/>
    <cellStyle name="Normal 35" xfId="1827"/>
    <cellStyle name="Normal 36" xfId="1828"/>
    <cellStyle name="Normal 37" xfId="1829"/>
    <cellStyle name="Normal 38" xfId="1830"/>
    <cellStyle name="Normal 39" xfId="1831"/>
    <cellStyle name="Normal 4" xfId="1832"/>
    <cellStyle name="Normal 4 10" xfId="5"/>
    <cellStyle name="Normal 4 2" xfId="1833"/>
    <cellStyle name="Normal 4 2 2" xfId="1834"/>
    <cellStyle name="Normal 4 2 2 2" xfId="1835"/>
    <cellStyle name="Normal 4 2 3" xfId="1836"/>
    <cellStyle name="Normal 4 3" xfId="1837"/>
    <cellStyle name="Normal 4 3 2" xfId="1838"/>
    <cellStyle name="Normal 4 3 2 2" xfId="1839"/>
    <cellStyle name="Normal 4 3 2 2 2" xfId="6"/>
    <cellStyle name="Normal 4 3 2 3" xfId="1840"/>
    <cellStyle name="Normal 4 3 3" xfId="1841"/>
    <cellStyle name="Normal 4 3 3 2" xfId="1842"/>
    <cellStyle name="Normal 4 3 4" xfId="1843"/>
    <cellStyle name="Normal 4 3 4 2" xfId="1844"/>
    <cellStyle name="Normal 4 3 5" xfId="1845"/>
    <cellStyle name="Normal 4 3 6" xfId="1846"/>
    <cellStyle name="Normal 4 4" xfId="1847"/>
    <cellStyle name="Normal 4 4 2" xfId="1848"/>
    <cellStyle name="Normal 4 4 2 2" xfId="1849"/>
    <cellStyle name="Normal 4 4 2 2 2" xfId="1850"/>
    <cellStyle name="Normal 4 4 2 3" xfId="1851"/>
    <cellStyle name="Normal 4 4 3" xfId="1852"/>
    <cellStyle name="Normal 4 4 3 2" xfId="1853"/>
    <cellStyle name="Normal 4 4 4" xfId="1854"/>
    <cellStyle name="Normal 4 4 5" xfId="1855"/>
    <cellStyle name="Normal 4 5" xfId="1856"/>
    <cellStyle name="Normal 4 5 2" xfId="1857"/>
    <cellStyle name="Normal 4 5 2 2" xfId="1858"/>
    <cellStyle name="Normal 4 5 3" xfId="1859"/>
    <cellStyle name="Normal 4 5 4" xfId="1860"/>
    <cellStyle name="Normal 4 6" xfId="1861"/>
    <cellStyle name="Normal 4 6 2" xfId="1862"/>
    <cellStyle name="Normal 4 6 2 2" xfId="1863"/>
    <cellStyle name="Normal 4 6 3" xfId="1864"/>
    <cellStyle name="Normal 4 6 4" xfId="1865"/>
    <cellStyle name="Normal 4 7" xfId="1866"/>
    <cellStyle name="Normal 4 7 2" xfId="1867"/>
    <cellStyle name="Normal 4 7 2 2" xfId="1868"/>
    <cellStyle name="Normal 4 7 3" xfId="1869"/>
    <cellStyle name="Normal 4 8" xfId="1870"/>
    <cellStyle name="Normal 4 8 2" xfId="1871"/>
    <cellStyle name="Normal 4 8 2 2" xfId="1872"/>
    <cellStyle name="Normal 4 8 2 2 2" xfId="1873"/>
    <cellStyle name="Normal 4 8 2 3" xfId="1874"/>
    <cellStyle name="Normal 4 8 3" xfId="1875"/>
    <cellStyle name="Normal 4 8 3 2" xfId="1876"/>
    <cellStyle name="Normal 4 8 4" xfId="1877"/>
    <cellStyle name="Normal 4 9" xfId="1878"/>
    <cellStyle name="Normal 4 9 2" xfId="1879"/>
    <cellStyle name="Normal 4 9 3" xfId="1880"/>
    <cellStyle name="Normal 4 9 3 2" xfId="1881"/>
    <cellStyle name="Normal 4 9 4" xfId="1882"/>
    <cellStyle name="Normal 4 9 5" xfId="1883"/>
    <cellStyle name="Normal 4 9 6" xfId="1884"/>
    <cellStyle name="Normal 4_Ocotillo" xfId="1885"/>
    <cellStyle name="Normal 40" xfId="1886"/>
    <cellStyle name="Normal 41" xfId="1887"/>
    <cellStyle name="Normal 42" xfId="1888"/>
    <cellStyle name="Normal 43" xfId="1889"/>
    <cellStyle name="Normal 44" xfId="1890"/>
    <cellStyle name="Normal 45" xfId="1891"/>
    <cellStyle name="Normal 46" xfId="1892"/>
    <cellStyle name="Normal 47" xfId="1893"/>
    <cellStyle name="Normal 48" xfId="1894"/>
    <cellStyle name="Normal 49" xfId="1895"/>
    <cellStyle name="Normal 5" xfId="1896"/>
    <cellStyle name="Normal 5 2" xfId="1897"/>
    <cellStyle name="Normal 5 2 2" xfId="1898"/>
    <cellStyle name="Normal 5 2 2 2" xfId="1899"/>
    <cellStyle name="Normal 5 2 3" xfId="1900"/>
    <cellStyle name="Normal 5 3" xfId="1901"/>
    <cellStyle name="Normal 5 4" xfId="1902"/>
    <cellStyle name="Normal 5 5" xfId="1903"/>
    <cellStyle name="Normal 5_Ocotillo" xfId="1904"/>
    <cellStyle name="Normal 50" xfId="1905"/>
    <cellStyle name="Normal 51" xfId="1906"/>
    <cellStyle name="Normal 52" xfId="1907"/>
    <cellStyle name="Normal 53" xfId="1908"/>
    <cellStyle name="Normal 54" xfId="1909"/>
    <cellStyle name="Normal 55" xfId="1910"/>
    <cellStyle name="Normal 56" xfId="1911"/>
    <cellStyle name="Normal 57" xfId="1912"/>
    <cellStyle name="Normal 58" xfId="1913"/>
    <cellStyle name="Normal 59" xfId="1914"/>
    <cellStyle name="Normal 6" xfId="1915"/>
    <cellStyle name="Normal 6 10" xfId="1916"/>
    <cellStyle name="Normal 6 10 2" xfId="1917"/>
    <cellStyle name="Normal 6 10 2 2" xfId="1918"/>
    <cellStyle name="Normal 6 10 3" xfId="1919"/>
    <cellStyle name="Normal 6 11" xfId="1920"/>
    <cellStyle name="Normal 6 11 2" xfId="1921"/>
    <cellStyle name="Normal 6 11 2 2" xfId="1922"/>
    <cellStyle name="Normal 6 11 3" xfId="1923"/>
    <cellStyle name="Normal 6 12" xfId="1924"/>
    <cellStyle name="Normal 6 12 2" xfId="1925"/>
    <cellStyle name="Normal 6 13" xfId="1926"/>
    <cellStyle name="Normal 6 13 2" xfId="1927"/>
    <cellStyle name="Normal 6 14" xfId="1928"/>
    <cellStyle name="Normal 6 15" xfId="1929"/>
    <cellStyle name="Normal 6 2" xfId="1930"/>
    <cellStyle name="Normal 6 2 2" xfId="1931"/>
    <cellStyle name="Normal 6 2 2 2" xfId="1932"/>
    <cellStyle name="Normal 6 2 2 2 2" xfId="1933"/>
    <cellStyle name="Normal 6 2 2 2 2 2" xfId="1934"/>
    <cellStyle name="Normal 6 2 2 2 3" xfId="1935"/>
    <cellStyle name="Normal 6 2 2 3" xfId="1936"/>
    <cellStyle name="Normal 6 2 2 3 2" xfId="1937"/>
    <cellStyle name="Normal 6 2 2 3 2 2" xfId="1938"/>
    <cellStyle name="Normal 6 2 2 3 3" xfId="1939"/>
    <cellStyle name="Normal 6 2 2 4" xfId="1940"/>
    <cellStyle name="Normal 6 2 2 5" xfId="1941"/>
    <cellStyle name="Normal 6 2 2 5 2" xfId="1942"/>
    <cellStyle name="Normal 6 2 2 6" xfId="1943"/>
    <cellStyle name="Normal 6 2 3" xfId="1944"/>
    <cellStyle name="Normal 6 2 3 2" xfId="1945"/>
    <cellStyle name="Normal 6 2 3 2 2" xfId="1946"/>
    <cellStyle name="Normal 6 2 3 3" xfId="1947"/>
    <cellStyle name="Normal 6 2 4" xfId="1948"/>
    <cellStyle name="Normal 6 2 4 2" xfId="1949"/>
    <cellStyle name="Normal 6 2 4 2 2" xfId="1950"/>
    <cellStyle name="Normal 6 2 4 3" xfId="1951"/>
    <cellStyle name="Normal 6 2 5" xfId="1952"/>
    <cellStyle name="Normal 6 2 5 2" xfId="1953"/>
    <cellStyle name="Normal 6 2 6" xfId="1954"/>
    <cellStyle name="Normal 6 2 6 2" xfId="1955"/>
    <cellStyle name="Normal 6 2 7" xfId="1956"/>
    <cellStyle name="Normal 6 2 8" xfId="1957"/>
    <cellStyle name="Normal 6 2_Ocotillo" xfId="1958"/>
    <cellStyle name="Normal 6 3" xfId="1959"/>
    <cellStyle name="Normal 6 3 2" xfId="1960"/>
    <cellStyle name="Normal 6 3 2 2" xfId="1961"/>
    <cellStyle name="Normal 6 3 2 2 2" xfId="1962"/>
    <cellStyle name="Normal 6 3 2 2 2 2" xfId="1963"/>
    <cellStyle name="Normal 6 3 2 2 3" xfId="1964"/>
    <cellStyle name="Normal 6 3 2 3" xfId="1965"/>
    <cellStyle name="Normal 6 3 2 3 2" xfId="1966"/>
    <cellStyle name="Normal 6 3 2 3 2 2" xfId="1967"/>
    <cellStyle name="Normal 6 3 2 3 3" xfId="1968"/>
    <cellStyle name="Normal 6 3 2 4" xfId="1969"/>
    <cellStyle name="Normal 6 3 2 4 2" xfId="1970"/>
    <cellStyle name="Normal 6 3 2 5" xfId="1971"/>
    <cellStyle name="Normal 6 3 3" xfId="1972"/>
    <cellStyle name="Normal 6 3 3 2" xfId="1973"/>
    <cellStyle name="Normal 6 3 3 2 2" xfId="1974"/>
    <cellStyle name="Normal 6 3 3 3" xfId="1975"/>
    <cellStyle name="Normal 6 3 4" xfId="1976"/>
    <cellStyle name="Normal 6 3 4 2" xfId="1977"/>
    <cellStyle name="Normal 6 3 4 2 2" xfId="1978"/>
    <cellStyle name="Normal 6 3 4 3" xfId="1979"/>
    <cellStyle name="Normal 6 3 5" xfId="1980"/>
    <cellStyle name="Normal 6 3 5 2" xfId="1981"/>
    <cellStyle name="Normal 6 3 6" xfId="1982"/>
    <cellStyle name="Normal 6 3 7" xfId="1983"/>
    <cellStyle name="Normal 6 3_Ocotillo" xfId="1984"/>
    <cellStyle name="Normal 6 4" xfId="1985"/>
    <cellStyle name="Normal 6 4 2" xfId="1986"/>
    <cellStyle name="Normal 6 4 2 2" xfId="1987"/>
    <cellStyle name="Normal 6 4 2 2 2" xfId="1988"/>
    <cellStyle name="Normal 6 4 2 2 2 2" xfId="1989"/>
    <cellStyle name="Normal 6 4 2 2 3" xfId="1990"/>
    <cellStyle name="Normal 6 4 2 3" xfId="1991"/>
    <cellStyle name="Normal 6 4 2 3 2" xfId="1992"/>
    <cellStyle name="Normal 6 4 2 3 2 2" xfId="1993"/>
    <cellStyle name="Normal 6 4 2 3 3" xfId="1994"/>
    <cellStyle name="Normal 6 4 2 4" xfId="1995"/>
    <cellStyle name="Normal 6 4 2 4 2" xfId="1996"/>
    <cellStyle name="Normal 6 4 2 5" xfId="1997"/>
    <cellStyle name="Normal 6 4 2 6" xfId="1998"/>
    <cellStyle name="Normal 6 4 3" xfId="1999"/>
    <cellStyle name="Normal 6 4 3 2" xfId="2000"/>
    <cellStyle name="Normal 6 4 3 2 2" xfId="2001"/>
    <cellStyle name="Normal 6 4 3 2 3" xfId="2002"/>
    <cellStyle name="Normal 6 4 3 2 4" xfId="2003"/>
    <cellStyle name="Normal 6 4 3 3" xfId="2004"/>
    <cellStyle name="Normal 6 4 3 4" xfId="2005"/>
    <cellStyle name="Normal 6 4 4" xfId="2006"/>
    <cellStyle name="Normal 6 4 4 2" xfId="2007"/>
    <cellStyle name="Normal 6 4 4 2 2" xfId="2008"/>
    <cellStyle name="Normal 6 4 4 3" xfId="2009"/>
    <cellStyle name="Normal 6 4 5" xfId="2010"/>
    <cellStyle name="Normal 6 4 5 2" xfId="2011"/>
    <cellStyle name="Normal 6 4 6" xfId="2012"/>
    <cellStyle name="Normal 6 4 7" xfId="2013"/>
    <cellStyle name="Normal 6 4_Ocotillo" xfId="2014"/>
    <cellStyle name="Normal 6 5" xfId="2015"/>
    <cellStyle name="Normal 6 5 2" xfId="2016"/>
    <cellStyle name="Normal 6 5 2 2" xfId="2017"/>
    <cellStyle name="Normal 6 5 2 2 2" xfId="2018"/>
    <cellStyle name="Normal 6 5 2 2 2 2" xfId="2019"/>
    <cellStyle name="Normal 6 5 2 2 3" xfId="2020"/>
    <cellStyle name="Normal 6 5 2 3" xfId="2021"/>
    <cellStyle name="Normal 6 5 2 3 2" xfId="2022"/>
    <cellStyle name="Normal 6 5 2 3 2 2" xfId="2023"/>
    <cellStyle name="Normal 6 5 2 3 3" xfId="2024"/>
    <cellStyle name="Normal 6 5 2 4" xfId="2025"/>
    <cellStyle name="Normal 6 5 2 4 2" xfId="2026"/>
    <cellStyle name="Normal 6 5 2 5" xfId="2027"/>
    <cellStyle name="Normal 6 5 3" xfId="2028"/>
    <cellStyle name="Normal 6 5 3 2" xfId="2029"/>
    <cellStyle name="Normal 6 5 3 2 2" xfId="2030"/>
    <cellStyle name="Normal 6 5 3 2 2 2" xfId="2031"/>
    <cellStyle name="Normal 6 5 3 2 3" xfId="2032"/>
    <cellStyle name="Normal 6 5 3 3" xfId="2033"/>
    <cellStyle name="Normal 6 5 3 3 2" xfId="2034"/>
    <cellStyle name="Normal 6 5 3 3 2 2" xfId="2035"/>
    <cellStyle name="Normal 6 5 3 3 3" xfId="2036"/>
    <cellStyle name="Normal 6 5 3 4" xfId="2037"/>
    <cellStyle name="Normal 6 5 3 4 2" xfId="2038"/>
    <cellStyle name="Normal 6 5 3 5" xfId="2039"/>
    <cellStyle name="Normal 6 5 4" xfId="2040"/>
    <cellStyle name="Normal 6 5 4 2" xfId="2041"/>
    <cellStyle name="Normal 6 5 4 2 2" xfId="2042"/>
    <cellStyle name="Normal 6 5 4 3" xfId="2043"/>
    <cellStyle name="Normal 6 5 5" xfId="2044"/>
    <cellStyle name="Normal 6 5 5 2" xfId="2045"/>
    <cellStyle name="Normal 6 5 5 2 2" xfId="2046"/>
    <cellStyle name="Normal 6 5 5 3" xfId="2047"/>
    <cellStyle name="Normal 6 5 6" xfId="2048"/>
    <cellStyle name="Normal 6 5 6 2" xfId="2049"/>
    <cellStyle name="Normal 6 5 7" xfId="2050"/>
    <cellStyle name="Normal 6 5 8" xfId="2051"/>
    <cellStyle name="Normal 6 5_Ocotillo" xfId="2052"/>
    <cellStyle name="Normal 6 6" xfId="2053"/>
    <cellStyle name="Normal 6 6 2" xfId="2054"/>
    <cellStyle name="Normal 6 6 2 2" xfId="2055"/>
    <cellStyle name="Normal 6 6 2 2 2" xfId="2056"/>
    <cellStyle name="Normal 6 6 2 3" xfId="2057"/>
    <cellStyle name="Normal 6 6 2 4" xfId="2058"/>
    <cellStyle name="Normal 6 6 3" xfId="2059"/>
    <cellStyle name="Normal 6 6 3 2" xfId="2060"/>
    <cellStyle name="Normal 6 6 3 2 2" xfId="2061"/>
    <cellStyle name="Normal 6 6 3 3" xfId="2062"/>
    <cellStyle name="Normal 6 6 4" xfId="2063"/>
    <cellStyle name="Normal 6 6 4 2" xfId="2064"/>
    <cellStyle name="Normal 6 6 5" xfId="2065"/>
    <cellStyle name="Normal 6 6 6" xfId="2066"/>
    <cellStyle name="Normal 6 7" xfId="2067"/>
    <cellStyle name="Normal 6 7 2" xfId="2068"/>
    <cellStyle name="Normal 6 7 2 2" xfId="2069"/>
    <cellStyle name="Normal 6 7 2 2 2" xfId="2070"/>
    <cellStyle name="Normal 6 7 2 3" xfId="2071"/>
    <cellStyle name="Normal 6 7 3" xfId="2072"/>
    <cellStyle name="Normal 6 7 3 2" xfId="2073"/>
    <cellStyle name="Normal 6 7 3 2 2" xfId="2074"/>
    <cellStyle name="Normal 6 7 3 3" xfId="2075"/>
    <cellStyle name="Normal 6 7 4" xfId="2076"/>
    <cellStyle name="Normal 6 7 4 2" xfId="2077"/>
    <cellStyle name="Normal 6 7 5" xfId="2078"/>
    <cellStyle name="Normal 6 8" xfId="2079"/>
    <cellStyle name="Normal 6 8 2" xfId="2080"/>
    <cellStyle name="Normal 6 8 2 2" xfId="2081"/>
    <cellStyle name="Normal 6 8 2 2 2" xfId="2082"/>
    <cellStyle name="Normal 6 8 2 3" xfId="2083"/>
    <cellStyle name="Normal 6 8 3" xfId="2084"/>
    <cellStyle name="Normal 6 8 3 2" xfId="2085"/>
    <cellStyle name="Normal 6 8 3 2 2" xfId="2086"/>
    <cellStyle name="Normal 6 8 3 3" xfId="2087"/>
    <cellStyle name="Normal 6 8 4" xfId="2088"/>
    <cellStyle name="Normal 6 8 4 2" xfId="2089"/>
    <cellStyle name="Normal 6 8 5" xfId="2090"/>
    <cellStyle name="Normal 6 9" xfId="2091"/>
    <cellStyle name="Normal 6 9 2" xfId="2092"/>
    <cellStyle name="Normal 6 9 2 2" xfId="2093"/>
    <cellStyle name="Normal 6 9 2 2 2" xfId="2094"/>
    <cellStyle name="Normal 6 9 2 3" xfId="2095"/>
    <cellStyle name="Normal 6 9 3" xfId="2096"/>
    <cellStyle name="Normal 6 9 3 2" xfId="2097"/>
    <cellStyle name="Normal 6 9 3 2 2" xfId="2098"/>
    <cellStyle name="Normal 6 9 3 3" xfId="2099"/>
    <cellStyle name="Normal 6 9 4" xfId="2100"/>
    <cellStyle name="Normal 6 9 4 2" xfId="2101"/>
    <cellStyle name="Normal 6 9 4 2 2" xfId="2102"/>
    <cellStyle name="Normal 6 9 4 3" xfId="2103"/>
    <cellStyle name="Normal 6 9 5" xfId="2104"/>
    <cellStyle name="Normal 6 9 5 2" xfId="2105"/>
    <cellStyle name="Normal 6 9 6" xfId="2106"/>
    <cellStyle name="Normal 6_Ocotillo" xfId="2107"/>
    <cellStyle name="Normal 60" xfId="11"/>
    <cellStyle name="Normal 61" xfId="12"/>
    <cellStyle name="Normal 62" xfId="2108"/>
    <cellStyle name="Normal 63" xfId="2109"/>
    <cellStyle name="Normal 64" xfId="13"/>
    <cellStyle name="Normal 65" xfId="2110"/>
    <cellStyle name="Normal 66" xfId="2111"/>
    <cellStyle name="Normal 67" xfId="14"/>
    <cellStyle name="Normal 68" xfId="15"/>
    <cellStyle name="Normal 69" xfId="2112"/>
    <cellStyle name="Normal 7" xfId="2113"/>
    <cellStyle name="Normal 7 2" xfId="2114"/>
    <cellStyle name="Normal 7 2 2" xfId="2115"/>
    <cellStyle name="Normal 7 2 2 2" xfId="2116"/>
    <cellStyle name="Normal 7 2 3" xfId="2117"/>
    <cellStyle name="Normal 7 3" xfId="2118"/>
    <cellStyle name="Normal 7 3 2" xfId="2119"/>
    <cellStyle name="Normal 7 4" xfId="2120"/>
    <cellStyle name="Normal 7 5" xfId="2121"/>
    <cellStyle name="Normal 7_Ocotillo" xfId="2122"/>
    <cellStyle name="Normal 70" xfId="16"/>
    <cellStyle name="Normal 71" xfId="2123"/>
    <cellStyle name="Normal 72" xfId="2124"/>
    <cellStyle name="Normal 73" xfId="2125"/>
    <cellStyle name="Normal 74" xfId="2126"/>
    <cellStyle name="Normal 75" xfId="2127"/>
    <cellStyle name="Normal 75 2" xfId="2128"/>
    <cellStyle name="Normal 75 3" xfId="2129"/>
    <cellStyle name="Normal 75 3 2" xfId="2130"/>
    <cellStyle name="Normal 75 4" xfId="2131"/>
    <cellStyle name="Normal 75 5" xfId="2132"/>
    <cellStyle name="Normal 76" xfId="2133"/>
    <cellStyle name="Normal 76 2" xfId="2134"/>
    <cellStyle name="Normal 76 3" xfId="2135"/>
    <cellStyle name="Normal 76 4" xfId="2136"/>
    <cellStyle name="Normal 77" xfId="2137"/>
    <cellStyle name="Normal 77 2" xfId="2138"/>
    <cellStyle name="Normal 77 3" xfId="2139"/>
    <cellStyle name="Normal 77 4" xfId="2140"/>
    <cellStyle name="Normal 78" xfId="2141"/>
    <cellStyle name="Normal 78 2" xfId="2142"/>
    <cellStyle name="Normal 78 3" xfId="2143"/>
    <cellStyle name="Normal 78 4" xfId="2144"/>
    <cellStyle name="Normal 79" xfId="2145"/>
    <cellStyle name="Normal 79 2" xfId="2146"/>
    <cellStyle name="Normal 8" xfId="2147"/>
    <cellStyle name="Normal 8 2" xfId="2148"/>
    <cellStyle name="Normal 8 2 2" xfId="2149"/>
    <cellStyle name="Normal 8 2 3" xfId="2150"/>
    <cellStyle name="Normal 8 3" xfId="2151"/>
    <cellStyle name="Normal 8 3 2" xfId="2152"/>
    <cellStyle name="Normal 8 3 3" xfId="2153"/>
    <cellStyle name="Normal 8 4" xfId="2154"/>
    <cellStyle name="Normal 8 4 2" xfId="2155"/>
    <cellStyle name="Normal 8_Ocotillo" xfId="2156"/>
    <cellStyle name="Normal 80" xfId="2157"/>
    <cellStyle name="Normal 80 2" xfId="2158"/>
    <cellStyle name="Normal 81" xfId="2159"/>
    <cellStyle name="Normal 81 2" xfId="2160"/>
    <cellStyle name="Normal 82" xfId="2161"/>
    <cellStyle name="Normal 82 2" xfId="2162"/>
    <cellStyle name="Normal 83" xfId="2163"/>
    <cellStyle name="Normal 83 2" xfId="2164"/>
    <cellStyle name="Normal 83 2 2" xfId="2165"/>
    <cellStyle name="Normal 83 3" xfId="2166"/>
    <cellStyle name="Normal 84" xfId="2167"/>
    <cellStyle name="Normal 84 2" xfId="2168"/>
    <cellStyle name="Normal 84 2 2" xfId="2169"/>
    <cellStyle name="Normal 84 3" xfId="2170"/>
    <cellStyle name="Normal 85" xfId="2171"/>
    <cellStyle name="Normal 85 2" xfId="2172"/>
    <cellStyle name="Normal 85 2 2" xfId="2173"/>
    <cellStyle name="Normal 85 3" xfId="2174"/>
    <cellStyle name="Normal 86" xfId="2175"/>
    <cellStyle name="Normal 86 2" xfId="2176"/>
    <cellStyle name="Normal 86 2 2" xfId="2177"/>
    <cellStyle name="Normal 86 3" xfId="2178"/>
    <cellStyle name="Normal 87" xfId="2179"/>
    <cellStyle name="Normal 88" xfId="2180"/>
    <cellStyle name="Normal 89" xfId="2181"/>
    <cellStyle name="Normal 9" xfId="2182"/>
    <cellStyle name="Normal 9 2" xfId="2183"/>
    <cellStyle name="Normal 9 2 2" xfId="2184"/>
    <cellStyle name="Normal 9 2 3" xfId="2185"/>
    <cellStyle name="Normal 9 2 4" xfId="2186"/>
    <cellStyle name="Normal 9 2 5" xfId="2187"/>
    <cellStyle name="Normal 9 3" xfId="2188"/>
    <cellStyle name="Normal 9 3 2" xfId="2189"/>
    <cellStyle name="Normal 9 3 3" xfId="2190"/>
    <cellStyle name="Normal 9 3 4" xfId="2191"/>
    <cellStyle name="Normal 9 3 5" xfId="2192"/>
    <cellStyle name="Normal 9 4" xfId="2193"/>
    <cellStyle name="Normal 9 5" xfId="2194"/>
    <cellStyle name="Normal 90" xfId="2195"/>
    <cellStyle name="Normal 91" xfId="2196"/>
    <cellStyle name="Normal 92" xfId="2197"/>
    <cellStyle name="Normal 93" xfId="2198"/>
    <cellStyle name="Normal 94" xfId="2199"/>
    <cellStyle name="Normal 95" xfId="2200"/>
    <cellStyle name="Normal 96" xfId="2201"/>
    <cellStyle name="Normal 97" xfId="2202"/>
    <cellStyle name="Normal 98" xfId="2203"/>
    <cellStyle name="Normal 99" xfId="2204"/>
    <cellStyle name="Normal_FPL 155724 - Dismtl3_FEB_09GI_Revised_X 2" xfId="4"/>
    <cellStyle name="Normal+border" xfId="2205"/>
    <cellStyle name="Normal+border 2" xfId="2206"/>
    <cellStyle name="Normal+border 2 2" xfId="2207"/>
    <cellStyle name="Normal+border 3" xfId="2208"/>
    <cellStyle name="Normal+border 3 2" xfId="2209"/>
    <cellStyle name="Normal+shade" xfId="2210"/>
    <cellStyle name="Percent" xfId="3" builtinId="5"/>
    <cellStyle name="Percent 10" xfId="2211"/>
    <cellStyle name="Percent 10 2" xfId="2212"/>
    <cellStyle name="Percent 10 2 2" xfId="2213"/>
    <cellStyle name="Percent 10 3" xfId="2214"/>
    <cellStyle name="Percent 10 4" xfId="2215"/>
    <cellStyle name="Percent 11" xfId="2216"/>
    <cellStyle name="Percent 11 2" xfId="2217"/>
    <cellStyle name="Percent 12" xfId="2218"/>
    <cellStyle name="Percent 12 2" xfId="2219"/>
    <cellStyle name="Percent 12 2 2" xfId="2220"/>
    <cellStyle name="Percent 12 3" xfId="2221"/>
    <cellStyle name="Percent 13" xfId="2222"/>
    <cellStyle name="Percent 14" xfId="2223"/>
    <cellStyle name="Percent 2" xfId="2224"/>
    <cellStyle name="Percent 2 2" xfId="2225"/>
    <cellStyle name="Percent 2 2 2" xfId="2226"/>
    <cellStyle name="Percent 2 2 3" xfId="2227"/>
    <cellStyle name="Percent 2 3" xfId="2228"/>
    <cellStyle name="Percent 2 3 2" xfId="2229"/>
    <cellStyle name="Percent 2 3 2 2" xfId="2230"/>
    <cellStyle name="Percent 2 3 2 2 2" xfId="2231"/>
    <cellStyle name="Percent 2 3 2 3" xfId="2232"/>
    <cellStyle name="Percent 2 3 3" xfId="2233"/>
    <cellStyle name="Percent 2 3 3 2" xfId="2234"/>
    <cellStyle name="Percent 2 3 3 2 2" xfId="2235"/>
    <cellStyle name="Percent 2 3 3 3" xfId="2236"/>
    <cellStyle name="Percent 2 3 4" xfId="2237"/>
    <cellStyle name="Percent 2 3 4 2" xfId="2238"/>
    <cellStyle name="Percent 2 3 5" xfId="2239"/>
    <cellStyle name="Percent 2 3 6" xfId="2240"/>
    <cellStyle name="Percent 2 4" xfId="2241"/>
    <cellStyle name="Percent 2 4 2" xfId="2242"/>
    <cellStyle name="Percent 2 4 2 2" xfId="2243"/>
    <cellStyle name="Percent 2 4 2 3" xfId="2244"/>
    <cellStyle name="Percent 2 4 3" xfId="2245"/>
    <cellStyle name="Percent 2 4 4" xfId="2246"/>
    <cellStyle name="Percent 2 5" xfId="2247"/>
    <cellStyle name="Percent 2 5 2" xfId="2248"/>
    <cellStyle name="Percent 2 5 2 2" xfId="2249"/>
    <cellStyle name="Percent 2 5 3" xfId="2250"/>
    <cellStyle name="Percent 2 5 4" xfId="2251"/>
    <cellStyle name="Percent 2 6" xfId="2252"/>
    <cellStyle name="Percent 2 6 2" xfId="2253"/>
    <cellStyle name="Percent 2 7" xfId="2254"/>
    <cellStyle name="Percent 3" xfId="2255"/>
    <cellStyle name="Percent 3 10" xfId="2256"/>
    <cellStyle name="Percent 3 2" xfId="2257"/>
    <cellStyle name="Percent 3 2 2" xfId="2258"/>
    <cellStyle name="Percent 3 2 2 2" xfId="2259"/>
    <cellStyle name="Percent 3 2 2 2 2" xfId="2260"/>
    <cellStyle name="Percent 3 2 2 2 2 2" xfId="2261"/>
    <cellStyle name="Percent 3 2 2 2 3" xfId="2262"/>
    <cellStyle name="Percent 3 2 2 2 3 2" xfId="2263"/>
    <cellStyle name="Percent 3 2 2 2 3 2 2" xfId="2264"/>
    <cellStyle name="Percent 3 2 2 2 3 2 2 2" xfId="2265"/>
    <cellStyle name="Percent 3 2 2 2 3 2 3" xfId="2266"/>
    <cellStyle name="Percent 3 2 2 2 3 2 4" xfId="2267"/>
    <cellStyle name="Percent 3 2 2 2 3 2 5" xfId="2268"/>
    <cellStyle name="Percent 3 2 2 2 3 3" xfId="2269"/>
    <cellStyle name="Percent 3 2 2 2 3 3 2" xfId="2270"/>
    <cellStyle name="Percent 3 2 2 2 3 3 2 2" xfId="2271"/>
    <cellStyle name="Percent 3 2 2 2 3 3 3" xfId="2272"/>
    <cellStyle name="Percent 3 2 2 2 3 3 4" xfId="2273"/>
    <cellStyle name="Percent 3 2 2 2 3 3 5" xfId="2274"/>
    <cellStyle name="Percent 3 2 2 2 3 4" xfId="2275"/>
    <cellStyle name="Percent 3 2 2 2 3 4 2" xfId="2276"/>
    <cellStyle name="Percent 3 2 2 2 3 4 2 2" xfId="2277"/>
    <cellStyle name="Percent 3 2 2 2 3 4 3" xfId="2278"/>
    <cellStyle name="Percent 3 2 2 2 3 4 4" xfId="2279"/>
    <cellStyle name="Percent 3 2 2 2 3 4 5" xfId="2280"/>
    <cellStyle name="Percent 3 2 2 2 4" xfId="2281"/>
    <cellStyle name="Percent 3 2 2 2 4 2" xfId="2282"/>
    <cellStyle name="Percent 3 2 2 2 4 2 2" xfId="2283"/>
    <cellStyle name="Percent 3 2 2 2 4 3" xfId="2284"/>
    <cellStyle name="Percent 3 2 2 2 4 4" xfId="2285"/>
    <cellStyle name="Percent 3 2 2 2 4 5" xfId="2286"/>
    <cellStyle name="Percent 3 2 2 2 5" xfId="2287"/>
    <cellStyle name="Percent 3 2 2 2 5 2" xfId="2288"/>
    <cellStyle name="Percent 3 2 2 2 5 2 2" xfId="2289"/>
    <cellStyle name="Percent 3 2 2 2 5 3" xfId="2290"/>
    <cellStyle name="Percent 3 2 2 2 5 4" xfId="2291"/>
    <cellStyle name="Percent 3 2 2 2 5 5" xfId="2292"/>
    <cellStyle name="Percent 3 2 2 2 6" xfId="2293"/>
    <cellStyle name="Percent 3 2 2 2 6 2" xfId="2294"/>
    <cellStyle name="Percent 3 2 2 2 6 2 2" xfId="2295"/>
    <cellStyle name="Percent 3 2 2 2 6 3" xfId="2296"/>
    <cellStyle name="Percent 3 2 2 2 6 4" xfId="2297"/>
    <cellStyle name="Percent 3 2 2 2 6 5" xfId="2298"/>
    <cellStyle name="Percent 3 2 2 3" xfId="2299"/>
    <cellStyle name="Percent 3 2 2 3 2" xfId="2300"/>
    <cellStyle name="Percent 3 2 2 3 2 2" xfId="2301"/>
    <cellStyle name="Percent 3 2 2 3 3" xfId="2302"/>
    <cellStyle name="Percent 3 2 2 3 3 2" xfId="2303"/>
    <cellStyle name="Percent 3 2 2 3 3 2 2" xfId="2304"/>
    <cellStyle name="Percent 3 2 2 3 3 2 2 2" xfId="2305"/>
    <cellStyle name="Percent 3 2 2 3 3 2 3" xfId="2306"/>
    <cellStyle name="Percent 3 2 2 3 3 2 4" xfId="2307"/>
    <cellStyle name="Percent 3 2 2 3 3 2 5" xfId="2308"/>
    <cellStyle name="Percent 3 2 2 3 3 3" xfId="2309"/>
    <cellStyle name="Percent 3 2 2 3 3 3 2" xfId="2310"/>
    <cellStyle name="Percent 3 2 2 3 3 3 2 2" xfId="2311"/>
    <cellStyle name="Percent 3 2 2 3 3 3 3" xfId="2312"/>
    <cellStyle name="Percent 3 2 2 3 3 3 4" xfId="2313"/>
    <cellStyle name="Percent 3 2 2 3 3 3 5" xfId="2314"/>
    <cellStyle name="Percent 3 2 2 3 3 4" xfId="2315"/>
    <cellStyle name="Percent 3 2 2 3 3 4 2" xfId="2316"/>
    <cellStyle name="Percent 3 2 2 3 3 4 2 2" xfId="2317"/>
    <cellStyle name="Percent 3 2 2 3 3 4 3" xfId="2318"/>
    <cellStyle name="Percent 3 2 2 3 3 4 4" xfId="2319"/>
    <cellStyle name="Percent 3 2 2 3 3 4 5" xfId="2320"/>
    <cellStyle name="Percent 3 2 2 3 4" xfId="2321"/>
    <cellStyle name="Percent 3 2 2 3 4 2" xfId="2322"/>
    <cellStyle name="Percent 3 2 2 3 4 2 2" xfId="2323"/>
    <cellStyle name="Percent 3 2 2 3 4 3" xfId="2324"/>
    <cellStyle name="Percent 3 2 2 3 4 4" xfId="2325"/>
    <cellStyle name="Percent 3 2 2 3 4 5" xfId="2326"/>
    <cellStyle name="Percent 3 2 2 3 5" xfId="2327"/>
    <cellStyle name="Percent 3 2 2 3 5 2" xfId="2328"/>
    <cellStyle name="Percent 3 2 2 3 5 2 2" xfId="2329"/>
    <cellStyle name="Percent 3 2 2 3 5 3" xfId="2330"/>
    <cellStyle name="Percent 3 2 2 3 5 4" xfId="2331"/>
    <cellStyle name="Percent 3 2 2 3 5 5" xfId="2332"/>
    <cellStyle name="Percent 3 2 2 3 6" xfId="2333"/>
    <cellStyle name="Percent 3 2 2 3 6 2" xfId="2334"/>
    <cellStyle name="Percent 3 2 2 3 6 2 2" xfId="2335"/>
    <cellStyle name="Percent 3 2 2 3 6 3" xfId="2336"/>
    <cellStyle name="Percent 3 2 2 3 6 4" xfId="2337"/>
    <cellStyle name="Percent 3 2 2 3 6 5" xfId="2338"/>
    <cellStyle name="Percent 3 2 2 4" xfId="2339"/>
    <cellStyle name="Percent 3 2 2 4 2" xfId="2340"/>
    <cellStyle name="Percent 3 2 2 5" xfId="2341"/>
    <cellStyle name="Percent 3 2 2 5 2" xfId="2342"/>
    <cellStyle name="Percent 3 2 2 5 2 2" xfId="2343"/>
    <cellStyle name="Percent 3 2 2 5 2 2 2" xfId="2344"/>
    <cellStyle name="Percent 3 2 2 5 2 3" xfId="2345"/>
    <cellStyle name="Percent 3 2 2 5 2 4" xfId="2346"/>
    <cellStyle name="Percent 3 2 2 5 2 5" xfId="2347"/>
    <cellStyle name="Percent 3 2 2 5 3" xfId="2348"/>
    <cellStyle name="Percent 3 2 2 5 3 2" xfId="2349"/>
    <cellStyle name="Percent 3 2 2 5 3 2 2" xfId="2350"/>
    <cellStyle name="Percent 3 2 2 5 3 3" xfId="2351"/>
    <cellStyle name="Percent 3 2 2 5 3 4" xfId="2352"/>
    <cellStyle name="Percent 3 2 2 5 3 5" xfId="2353"/>
    <cellStyle name="Percent 3 2 2 5 4" xfId="2354"/>
    <cellStyle name="Percent 3 2 2 5 4 2" xfId="2355"/>
    <cellStyle name="Percent 3 2 2 5 4 2 2" xfId="2356"/>
    <cellStyle name="Percent 3 2 2 5 4 3" xfId="2357"/>
    <cellStyle name="Percent 3 2 2 5 4 4" xfId="2358"/>
    <cellStyle name="Percent 3 2 2 5 4 5" xfId="2359"/>
    <cellStyle name="Percent 3 2 2 6" xfId="2360"/>
    <cellStyle name="Percent 3 2 2 6 2" xfId="2361"/>
    <cellStyle name="Percent 3 2 2 6 2 2" xfId="2362"/>
    <cellStyle name="Percent 3 2 2 6 3" xfId="2363"/>
    <cellStyle name="Percent 3 2 2 6 4" xfId="2364"/>
    <cellStyle name="Percent 3 2 2 6 5" xfId="2365"/>
    <cellStyle name="Percent 3 2 2 7" xfId="2366"/>
    <cellStyle name="Percent 3 2 2 7 2" xfId="2367"/>
    <cellStyle name="Percent 3 2 2 7 2 2" xfId="2368"/>
    <cellStyle name="Percent 3 2 2 7 3" xfId="2369"/>
    <cellStyle name="Percent 3 2 2 7 4" xfId="2370"/>
    <cellStyle name="Percent 3 2 2 7 5" xfId="2371"/>
    <cellStyle name="Percent 3 2 2 8" xfId="2372"/>
    <cellStyle name="Percent 3 2 2 8 2" xfId="2373"/>
    <cellStyle name="Percent 3 2 2 8 2 2" xfId="2374"/>
    <cellStyle name="Percent 3 2 2 8 3" xfId="2375"/>
    <cellStyle name="Percent 3 2 2 8 4" xfId="2376"/>
    <cellStyle name="Percent 3 2 2 8 5" xfId="2377"/>
    <cellStyle name="Percent 3 2 3" xfId="2378"/>
    <cellStyle name="Percent 3 2 3 2" xfId="2379"/>
    <cellStyle name="Percent 3 2 3 2 2" xfId="2380"/>
    <cellStyle name="Percent 3 2 3 3" xfId="2381"/>
    <cellStyle name="Percent 3 2 3 3 2" xfId="2382"/>
    <cellStyle name="Percent 3 2 3 3 2 2" xfId="2383"/>
    <cellStyle name="Percent 3 2 3 3 2 2 2" xfId="2384"/>
    <cellStyle name="Percent 3 2 3 3 2 3" xfId="2385"/>
    <cellStyle name="Percent 3 2 3 3 2 4" xfId="2386"/>
    <cellStyle name="Percent 3 2 3 3 2 5" xfId="2387"/>
    <cellStyle name="Percent 3 2 3 3 3" xfId="2388"/>
    <cellStyle name="Percent 3 2 3 3 3 2" xfId="2389"/>
    <cellStyle name="Percent 3 2 3 3 3 2 2" xfId="2390"/>
    <cellStyle name="Percent 3 2 3 3 3 3" xfId="2391"/>
    <cellStyle name="Percent 3 2 3 3 3 4" xfId="2392"/>
    <cellStyle name="Percent 3 2 3 3 3 5" xfId="2393"/>
    <cellStyle name="Percent 3 2 3 3 4" xfId="2394"/>
    <cellStyle name="Percent 3 2 3 3 4 2" xfId="2395"/>
    <cellStyle name="Percent 3 2 3 3 4 2 2" xfId="2396"/>
    <cellStyle name="Percent 3 2 3 3 4 3" xfId="2397"/>
    <cellStyle name="Percent 3 2 3 3 4 4" xfId="2398"/>
    <cellStyle name="Percent 3 2 3 3 4 5" xfId="2399"/>
    <cellStyle name="Percent 3 2 3 4" xfId="2400"/>
    <cellStyle name="Percent 3 2 3 4 2" xfId="2401"/>
    <cellStyle name="Percent 3 2 3 4 2 2" xfId="2402"/>
    <cellStyle name="Percent 3 2 3 4 3" xfId="2403"/>
    <cellStyle name="Percent 3 2 3 4 4" xfId="2404"/>
    <cellStyle name="Percent 3 2 3 4 5" xfId="2405"/>
    <cellStyle name="Percent 3 2 3 5" xfId="2406"/>
    <cellStyle name="Percent 3 2 3 5 2" xfId="2407"/>
    <cellStyle name="Percent 3 2 3 5 2 2" xfId="2408"/>
    <cellStyle name="Percent 3 2 3 5 3" xfId="2409"/>
    <cellStyle name="Percent 3 2 3 5 4" xfId="2410"/>
    <cellStyle name="Percent 3 2 3 5 5" xfId="2411"/>
    <cellStyle name="Percent 3 2 3 6" xfId="2412"/>
    <cellStyle name="Percent 3 2 3 6 2" xfId="2413"/>
    <cellStyle name="Percent 3 2 3 6 2 2" xfId="2414"/>
    <cellStyle name="Percent 3 2 3 6 3" xfId="2415"/>
    <cellStyle name="Percent 3 2 3 6 4" xfId="2416"/>
    <cellStyle name="Percent 3 2 3 6 5" xfId="2417"/>
    <cellStyle name="Percent 3 2 4" xfId="2418"/>
    <cellStyle name="Percent 3 2 4 2" xfId="2419"/>
    <cellStyle name="Percent 3 2 4 2 2" xfId="2420"/>
    <cellStyle name="Percent 3 2 4 3" xfId="2421"/>
    <cellStyle name="Percent 3 2 4 3 2" xfId="2422"/>
    <cellStyle name="Percent 3 2 4 3 2 2" xfId="2423"/>
    <cellStyle name="Percent 3 2 4 3 2 2 2" xfId="2424"/>
    <cellStyle name="Percent 3 2 4 3 2 3" xfId="2425"/>
    <cellStyle name="Percent 3 2 4 3 2 4" xfId="2426"/>
    <cellStyle name="Percent 3 2 4 3 2 5" xfId="2427"/>
    <cellStyle name="Percent 3 2 4 3 3" xfId="2428"/>
    <cellStyle name="Percent 3 2 4 3 3 2" xfId="2429"/>
    <cellStyle name="Percent 3 2 4 3 3 2 2" xfId="2430"/>
    <cellStyle name="Percent 3 2 4 3 3 3" xfId="2431"/>
    <cellStyle name="Percent 3 2 4 3 3 4" xfId="2432"/>
    <cellStyle name="Percent 3 2 4 3 3 5" xfId="2433"/>
    <cellStyle name="Percent 3 2 4 3 4" xfId="2434"/>
    <cellStyle name="Percent 3 2 4 3 4 2" xfId="2435"/>
    <cellStyle name="Percent 3 2 4 3 4 2 2" xfId="2436"/>
    <cellStyle name="Percent 3 2 4 3 4 3" xfId="2437"/>
    <cellStyle name="Percent 3 2 4 3 4 4" xfId="2438"/>
    <cellStyle name="Percent 3 2 4 3 4 5" xfId="2439"/>
    <cellStyle name="Percent 3 2 4 4" xfId="2440"/>
    <cellStyle name="Percent 3 2 4 4 2" xfId="2441"/>
    <cellStyle name="Percent 3 2 4 4 2 2" xfId="2442"/>
    <cellStyle name="Percent 3 2 4 4 3" xfId="2443"/>
    <cellStyle name="Percent 3 2 4 4 4" xfId="2444"/>
    <cellStyle name="Percent 3 2 4 4 5" xfId="2445"/>
    <cellStyle name="Percent 3 2 4 5" xfId="2446"/>
    <cellStyle name="Percent 3 2 4 5 2" xfId="2447"/>
    <cellStyle name="Percent 3 2 4 5 2 2" xfId="2448"/>
    <cellStyle name="Percent 3 2 4 5 3" xfId="2449"/>
    <cellStyle name="Percent 3 2 4 5 4" xfId="2450"/>
    <cellStyle name="Percent 3 2 4 5 5" xfId="2451"/>
    <cellStyle name="Percent 3 2 4 6" xfId="2452"/>
    <cellStyle name="Percent 3 2 4 6 2" xfId="2453"/>
    <cellStyle name="Percent 3 2 4 6 2 2" xfId="2454"/>
    <cellStyle name="Percent 3 2 4 6 3" xfId="2455"/>
    <cellStyle name="Percent 3 2 4 6 4" xfId="2456"/>
    <cellStyle name="Percent 3 2 4 6 5" xfId="2457"/>
    <cellStyle name="Percent 3 2 5" xfId="2458"/>
    <cellStyle name="Percent 3 2 5 2" xfId="2459"/>
    <cellStyle name="Percent 3 2 6" xfId="2460"/>
    <cellStyle name="Percent 3 2 6 2" xfId="2461"/>
    <cellStyle name="Percent 3 2 6 2 2" xfId="2462"/>
    <cellStyle name="Percent 3 2 6 2 2 2" xfId="2463"/>
    <cellStyle name="Percent 3 2 6 2 3" xfId="2464"/>
    <cellStyle name="Percent 3 2 6 2 4" xfId="2465"/>
    <cellStyle name="Percent 3 2 6 2 5" xfId="2466"/>
    <cellStyle name="Percent 3 2 6 3" xfId="2467"/>
    <cellStyle name="Percent 3 2 6 3 2" xfId="2468"/>
    <cellStyle name="Percent 3 2 6 3 2 2" xfId="2469"/>
    <cellStyle name="Percent 3 2 6 3 3" xfId="2470"/>
    <cellStyle name="Percent 3 2 6 3 4" xfId="2471"/>
    <cellStyle name="Percent 3 2 6 3 5" xfId="2472"/>
    <cellStyle name="Percent 3 2 6 4" xfId="2473"/>
    <cellStyle name="Percent 3 2 6 4 2" xfId="2474"/>
    <cellStyle name="Percent 3 2 6 4 2 2" xfId="2475"/>
    <cellStyle name="Percent 3 2 6 4 3" xfId="2476"/>
    <cellStyle name="Percent 3 2 6 4 4" xfId="2477"/>
    <cellStyle name="Percent 3 2 6 4 5" xfId="2478"/>
    <cellStyle name="Percent 3 2 6 5" xfId="2479"/>
    <cellStyle name="Percent 3 2 7" xfId="2480"/>
    <cellStyle name="Percent 3 2 7 2" xfId="2481"/>
    <cellStyle name="Percent 3 2 7 2 2" xfId="2482"/>
    <cellStyle name="Percent 3 2 7 2 2 2" xfId="2483"/>
    <cellStyle name="Percent 3 2 7 2 3" xfId="2484"/>
    <cellStyle name="Percent 3 2 7 2 4" xfId="2485"/>
    <cellStyle name="Percent 3 2 7 2 5" xfId="2486"/>
    <cellStyle name="Percent 3 2 8" xfId="2487"/>
    <cellStyle name="Percent 3 2 8 2" xfId="2488"/>
    <cellStyle name="Percent 3 2 8 2 2" xfId="2489"/>
    <cellStyle name="Percent 3 2 8 3" xfId="2490"/>
    <cellStyle name="Percent 3 2 8 4" xfId="2491"/>
    <cellStyle name="Percent 3 2 8 5" xfId="2492"/>
    <cellStyle name="Percent 3 2 9" xfId="2493"/>
    <cellStyle name="Percent 3 2 9 2" xfId="2494"/>
    <cellStyle name="Percent 3 2 9 2 2" xfId="2495"/>
    <cellStyle name="Percent 3 2 9 3" xfId="2496"/>
    <cellStyle name="Percent 3 2 9 4" xfId="2497"/>
    <cellStyle name="Percent 3 2 9 5" xfId="2498"/>
    <cellStyle name="Percent 3 3" xfId="2499"/>
    <cellStyle name="Percent 3 3 2" xfId="2500"/>
    <cellStyle name="Percent 3 3 2 2" xfId="2501"/>
    <cellStyle name="Percent 3 3 2 2 2" xfId="2502"/>
    <cellStyle name="Percent 3 3 2 3" xfId="2503"/>
    <cellStyle name="Percent 3 3 3" xfId="2504"/>
    <cellStyle name="Percent 3 3 3 2" xfId="2505"/>
    <cellStyle name="Percent 3 3 3 2 2" xfId="2506"/>
    <cellStyle name="Percent 3 3 3 3" xfId="2507"/>
    <cellStyle name="Percent 3 3 4" xfId="2508"/>
    <cellStyle name="Percent 3 3 4 2" xfId="2509"/>
    <cellStyle name="Percent 3 3 5" xfId="2510"/>
    <cellStyle name="Percent 3 3 6" xfId="2511"/>
    <cellStyle name="Percent 3 4" xfId="2512"/>
    <cellStyle name="Percent 3 4 2" xfId="2513"/>
    <cellStyle name="Percent 3 4 2 2" xfId="2514"/>
    <cellStyle name="Percent 3 4 2 2 2" xfId="2515"/>
    <cellStyle name="Percent 3 4 2 3" xfId="2516"/>
    <cellStyle name="Percent 3 4 3" xfId="2517"/>
    <cellStyle name="Percent 3 4 3 2" xfId="2518"/>
    <cellStyle name="Percent 3 4 3 2 2" xfId="2519"/>
    <cellStyle name="Percent 3 4 3 3" xfId="2520"/>
    <cellStyle name="Percent 3 4 4" xfId="2521"/>
    <cellStyle name="Percent 3 4 4 2" xfId="2522"/>
    <cellStyle name="Percent 3 4 5" xfId="2523"/>
    <cellStyle name="Percent 3 5" xfId="2524"/>
    <cellStyle name="Percent 3 5 2" xfId="2525"/>
    <cellStyle name="Percent 3 5 2 2" xfId="2526"/>
    <cellStyle name="Percent 3 5 3" xfId="2527"/>
    <cellStyle name="Percent 3 6" xfId="2528"/>
    <cellStyle name="Percent 3 6 2" xfId="2529"/>
    <cellStyle name="Percent 3 6 2 2" xfId="2530"/>
    <cellStyle name="Percent 3 6 3" xfId="2531"/>
    <cellStyle name="Percent 3 7" xfId="2532"/>
    <cellStyle name="Percent 3 7 2" xfId="2533"/>
    <cellStyle name="Percent 3 8" xfId="2534"/>
    <cellStyle name="Percent 3 8 2" xfId="2535"/>
    <cellStyle name="Percent 3 9" xfId="2536"/>
    <cellStyle name="Percent 4" xfId="2537"/>
    <cellStyle name="Percent 4 2" xfId="2538"/>
    <cellStyle name="Percent 4 2 2" xfId="2539"/>
    <cellStyle name="Percent 4 2 2 2" xfId="2540"/>
    <cellStyle name="Percent 4 2 3" xfId="2541"/>
    <cellStyle name="Percent 4 2 3 2" xfId="2542"/>
    <cellStyle name="Percent 4 2 4" xfId="2543"/>
    <cellStyle name="Percent 4 3" xfId="2544"/>
    <cellStyle name="Percent 4 3 2" xfId="2545"/>
    <cellStyle name="Percent 4 4" xfId="2546"/>
    <cellStyle name="Percent 4 5" xfId="2547"/>
    <cellStyle name="Percent 4 5 2" xfId="2548"/>
    <cellStyle name="Percent 4 6" xfId="2549"/>
    <cellStyle name="Percent 5" xfId="2550"/>
    <cellStyle name="Percent 5 2" xfId="2551"/>
    <cellStyle name="Percent 5 2 2" xfId="2552"/>
    <cellStyle name="Percent 5 3" xfId="2553"/>
    <cellStyle name="Percent 5 3 2" xfId="2554"/>
    <cellStyle name="Percent 5 4" xfId="2555"/>
    <cellStyle name="Percent 5 5" xfId="2556"/>
    <cellStyle name="Percent 5 6" xfId="2557"/>
    <cellStyle name="Percent 6" xfId="2558"/>
    <cellStyle name="Percent 6 2" xfId="2559"/>
    <cellStyle name="Percent 6 3" xfId="2560"/>
    <cellStyle name="Percent 7" xfId="2561"/>
    <cellStyle name="Percent 8" xfId="2562"/>
    <cellStyle name="Percent 8 2" xfId="2563"/>
    <cellStyle name="Percent 8 3" xfId="2564"/>
    <cellStyle name="Percent 8 3 2" xfId="2565"/>
    <cellStyle name="Percent 8 4" xfId="2566"/>
    <cellStyle name="Percent 8 5" xfId="2567"/>
    <cellStyle name="Percent 8 6" xfId="2568"/>
    <cellStyle name="Percent 9" xfId="2569"/>
    <cellStyle name="Percent 9 2" xfId="2570"/>
    <cellStyle name="Percent 9 2 2" xfId="2571"/>
    <cellStyle name="Percent 9 3" xfId="2572"/>
    <cellStyle name="Percent 9 4" xfId="2573"/>
    <cellStyle name="Percent 9 5" xfId="2574"/>
    <cellStyle name="Regular" xfId="2575"/>
    <cellStyle name="SAPBEXaggData" xfId="2576"/>
    <cellStyle name="SAPBEXaggDataEmph" xfId="2577"/>
    <cellStyle name="SAPBEXaggItem" xfId="2578"/>
    <cellStyle name="SAPBEXaggItemX" xfId="2579"/>
    <cellStyle name="SAPBEXchaText" xfId="2580"/>
    <cellStyle name="SAPBEXexcBad7" xfId="2581"/>
    <cellStyle name="SAPBEXexcBad8" xfId="2582"/>
    <cellStyle name="SAPBEXexcBad9" xfId="2583"/>
    <cellStyle name="SAPBEXexcCritical4" xfId="2584"/>
    <cellStyle name="SAPBEXexcCritical5" xfId="2585"/>
    <cellStyle name="SAPBEXexcCritical6" xfId="2586"/>
    <cellStyle name="SAPBEXexcGood1" xfId="2587"/>
    <cellStyle name="SAPBEXexcGood2" xfId="2588"/>
    <cellStyle name="SAPBEXexcGood3" xfId="2589"/>
    <cellStyle name="SAPBEXfilterDrill" xfId="2590"/>
    <cellStyle name="SAPBEXfilterItem" xfId="2591"/>
    <cellStyle name="SAPBEXfilterText" xfId="2592"/>
    <cellStyle name="SAPBEXformats" xfId="2593"/>
    <cellStyle name="SAPBEXheaderItem" xfId="2594"/>
    <cellStyle name="SAPBEXheaderText" xfId="2595"/>
    <cellStyle name="SAPBEXHLevel0" xfId="2596"/>
    <cellStyle name="SAPBEXHLevel0X" xfId="2597"/>
    <cellStyle name="SAPBEXHLevel1" xfId="2598"/>
    <cellStyle name="SAPBEXHLevel1X" xfId="2599"/>
    <cellStyle name="SAPBEXHLevel2" xfId="2600"/>
    <cellStyle name="SAPBEXHLevel2 2" xfId="2601"/>
    <cellStyle name="SAPBEXHLevel2 3" xfId="2602"/>
    <cellStyle name="SAPBEXHLevel2 4" xfId="2603"/>
    <cellStyle name="SAPBEXHLevel2 5" xfId="2604"/>
    <cellStyle name="SAPBEXHLevel2X" xfId="2605"/>
    <cellStyle name="SAPBEXHLevel3" xfId="2606"/>
    <cellStyle name="SAPBEXHLevel3X" xfId="2607"/>
    <cellStyle name="SAPBEXresData" xfId="2608"/>
    <cellStyle name="SAPBEXresDataEmph" xfId="2609"/>
    <cellStyle name="SAPBEXresItem" xfId="2610"/>
    <cellStyle name="SAPBEXresItemX" xfId="2611"/>
    <cellStyle name="SAPBEXstdData" xfId="2612"/>
    <cellStyle name="SAPBEXstdDataEmph" xfId="2613"/>
    <cellStyle name="SAPBEXstdItem" xfId="2614"/>
    <cellStyle name="SAPBEXstdItemX" xfId="2615"/>
    <cellStyle name="SAPBEXtitle" xfId="2616"/>
    <cellStyle name="SAPBEXundefined" xfId="2617"/>
    <cellStyle name="Style 1" xfId="2618"/>
    <cellStyle name="Style 1 2" xfId="2619"/>
    <cellStyle name="table lookup" xfId="2620"/>
    <cellStyle name="table lookup 2" xfId="2621"/>
    <cellStyle name="table lookup_Ocotillo" xfId="2622"/>
    <cellStyle name="Test" xfId="2623"/>
    <cellStyle name="Test 2" xfId="2624"/>
    <cellStyle name="Test 2 2" xfId="2625"/>
    <cellStyle name="Test 2 2 2" xfId="2626"/>
    <cellStyle name="Test 2 2 2 2" xfId="2627"/>
    <cellStyle name="Test 2 2 3" xfId="2628"/>
    <cellStyle name="Test 2 3" xfId="2629"/>
    <cellStyle name="Test 2 3 2" xfId="2630"/>
    <cellStyle name="Test 2 3 2 2" xfId="2631"/>
    <cellStyle name="Test 2 3 3" xfId="2632"/>
    <cellStyle name="Test 2 4" xfId="2633"/>
    <cellStyle name="Test 3" xfId="2634"/>
    <cellStyle name="Test 3 2" xfId="2635"/>
    <cellStyle name="Test 3 2 2" xfId="2636"/>
    <cellStyle name="Test 3 3" xfId="2637"/>
    <cellStyle name="Test 4" xfId="2638"/>
    <cellStyle name="標準_HB_diagram-HHH" xfId="26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9" Type="http://schemas.openxmlformats.org/officeDocument/2006/relationships/styles" Target="styles.xml" />
  <Relationship Id="rId1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externalLink" Target="externalLinks/externalLink1.xml" />
  <Relationship Id="rId11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ARA\Dismantlement\2012%20Dismantlement%20Study\Inflation%20Rates%20+%20Monthly%20Accr\2012%20Monthly%20Accrual%20(Updated)%2010-25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/>
  </sheetViews>
  <sheetFormatPr defaultColWidth="8.85546875" defaultRowHeight="11.25"/>
  <cols>
    <col min="1" max="1" width="8.85546875" style="201"/>
    <col min="2" max="2" width="15.42578125" style="201" customWidth="1"/>
    <col min="3" max="3" width="14.28515625" style="201" customWidth="1"/>
    <col min="4" max="4" width="4.5703125" style="201" customWidth="1"/>
    <col min="5" max="5" width="11.7109375" style="201" bestFit="1" customWidth="1"/>
    <col min="6" max="16384" width="8.85546875" style="201"/>
  </cols>
  <sheetData>
    <row r="1" spans="1:5" ht="15">
      <c r="A1" s="298" t="s">
        <v>171</v>
      </c>
    </row>
    <row r="2" spans="1:5" ht="15">
      <c r="A2" s="298" t="s">
        <v>172</v>
      </c>
    </row>
    <row r="3" spans="1:5" ht="15">
      <c r="A3" s="298" t="s">
        <v>173</v>
      </c>
    </row>
    <row r="4" spans="1:5" ht="15">
      <c r="A4" s="298" t="s">
        <v>174</v>
      </c>
    </row>
    <row r="5" spans="1:5" ht="15">
      <c r="A5" s="298" t="s">
        <v>175</v>
      </c>
    </row>
    <row r="6" spans="1:5" ht="15">
      <c r="A6" s="298" t="s">
        <v>176</v>
      </c>
    </row>
    <row r="10" spans="1:5" ht="15">
      <c r="A10" s="296" t="s">
        <v>168</v>
      </c>
    </row>
    <row r="12" spans="1:5" ht="24">
      <c r="B12" s="202" t="s">
        <v>133</v>
      </c>
      <c r="C12" s="203" t="s">
        <v>157</v>
      </c>
      <c r="E12" s="204" t="s">
        <v>134</v>
      </c>
    </row>
    <row r="13" spans="1:5">
      <c r="A13" s="205" t="s">
        <v>135</v>
      </c>
      <c r="B13" s="287">
        <v>453816.53</v>
      </c>
      <c r="C13" s="288">
        <v>453816.53</v>
      </c>
      <c r="D13" s="289"/>
      <c r="E13" s="289">
        <f>B13-C13</f>
        <v>0</v>
      </c>
    </row>
    <row r="14" spans="1:5">
      <c r="A14" s="205" t="s">
        <v>136</v>
      </c>
      <c r="B14" s="290">
        <v>9711696</v>
      </c>
      <c r="C14" s="288">
        <v>6453610.79</v>
      </c>
      <c r="D14" s="289"/>
      <c r="E14" s="289">
        <f t="shared" ref="E14:E16" si="0">B14-C14</f>
        <v>3258085.21</v>
      </c>
    </row>
    <row r="15" spans="1:5">
      <c r="A15" s="205" t="s">
        <v>137</v>
      </c>
      <c r="B15" s="290">
        <v>8302875</v>
      </c>
      <c r="C15" s="288">
        <v>7533738.6900000004</v>
      </c>
      <c r="D15" s="289"/>
      <c r="E15" s="289">
        <f t="shared" si="0"/>
        <v>769136.30999999959</v>
      </c>
    </row>
    <row r="16" spans="1:5" ht="12" thickBot="1">
      <c r="B16" s="291">
        <v>18468387</v>
      </c>
      <c r="C16" s="292">
        <v>14441165.48</v>
      </c>
      <c r="D16" s="289"/>
      <c r="E16" s="292">
        <f t="shared" si="0"/>
        <v>4027221.5199999996</v>
      </c>
    </row>
    <row r="17" spans="1:1" ht="12" thickTop="1"/>
    <row r="18" spans="1:1">
      <c r="A18" s="206" t="s">
        <v>138</v>
      </c>
    </row>
    <row r="19" spans="1:1" ht="12.75">
      <c r="A19" s="207" t="s">
        <v>139</v>
      </c>
    </row>
    <row r="20" spans="1:1" ht="12.75">
      <c r="A20" s="207" t="s">
        <v>161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1"/>
  <sheetViews>
    <sheetView zoomScaleNormal="100" workbookViewId="0">
      <pane xSplit="1" ySplit="13" topLeftCell="Y14" activePane="bottomRight" state="frozen"/>
      <selection activeCell="A7" sqref="A7"/>
      <selection pane="topRight" activeCell="A7" sqref="A7"/>
      <selection pane="bottomLeft" activeCell="A7" sqref="A7"/>
      <selection pane="bottomRight" activeCell="A7" sqref="A7"/>
    </sheetView>
  </sheetViews>
  <sheetFormatPr defaultColWidth="9.140625" defaultRowHeight="12"/>
  <cols>
    <col min="1" max="1" width="40.5703125" style="2" customWidth="1"/>
    <col min="2" max="2" width="11.85546875" style="2" bestFit="1" customWidth="1"/>
    <col min="3" max="3" width="16" style="2" customWidth="1"/>
    <col min="4" max="4" width="10.42578125" style="2" customWidth="1"/>
    <col min="5" max="5" width="11.7109375" style="2" customWidth="1"/>
    <col min="6" max="6" width="16.85546875" style="2" customWidth="1"/>
    <col min="7" max="7" width="16.7109375" style="2" customWidth="1"/>
    <col min="8" max="8" width="16" style="2" customWidth="1"/>
    <col min="9" max="9" width="17.28515625" style="2" customWidth="1"/>
    <col min="10" max="10" width="12" style="2" customWidth="1"/>
    <col min="11" max="11" width="11.28515625" style="2" customWidth="1"/>
    <col min="12" max="12" width="12.42578125" style="4" bestFit="1" customWidth="1"/>
    <col min="13" max="13" width="13.28515625" style="2" customWidth="1"/>
    <col min="14" max="15" width="12.28515625" style="4" customWidth="1"/>
    <col min="16" max="16" width="16.140625" style="4" customWidth="1"/>
    <col min="17" max="17" width="16.7109375" style="4" customWidth="1"/>
    <col min="18" max="22" width="12.28515625" style="4" customWidth="1"/>
    <col min="23" max="23" width="10.85546875" style="5" customWidth="1"/>
    <col min="24" max="24" width="11.140625" style="2" customWidth="1"/>
    <col min="25" max="25" width="11.140625" style="6" customWidth="1"/>
    <col min="26" max="26" width="9.85546875" style="2" customWidth="1"/>
    <col min="27" max="27" width="12.5703125" style="2" bestFit="1" customWidth="1"/>
    <col min="28" max="28" width="8.7109375" style="2" bestFit="1" customWidth="1"/>
    <col min="29" max="29" width="9.28515625" style="2" bestFit="1" customWidth="1"/>
    <col min="30" max="30" width="12.5703125" style="2" customWidth="1"/>
    <col min="31" max="31" width="13.140625" style="2" customWidth="1"/>
    <col min="32" max="33" width="18" style="2" bestFit="1" customWidth="1"/>
    <col min="34" max="34" width="10.5703125" style="2" customWidth="1"/>
    <col min="35" max="35" width="12.85546875" style="2" customWidth="1"/>
    <col min="36" max="36" width="2.28515625" style="2" customWidth="1"/>
    <col min="37" max="37" width="11.7109375" style="2" bestFit="1" customWidth="1"/>
    <col min="38" max="38" width="15.7109375" style="2" bestFit="1" customWidth="1"/>
    <col min="39" max="39" width="16.85546875" style="2" bestFit="1" customWidth="1"/>
    <col min="40" max="40" width="11.85546875" style="2" bestFit="1" customWidth="1"/>
    <col min="41" max="41" width="13" style="2" customWidth="1"/>
    <col min="42" max="16384" width="9.140625" style="2"/>
  </cols>
  <sheetData>
    <row r="1" spans="1:41" ht="15">
      <c r="A1" s="298" t="s">
        <v>171</v>
      </c>
    </row>
    <row r="2" spans="1:41" ht="15">
      <c r="A2" s="298" t="s">
        <v>172</v>
      </c>
    </row>
    <row r="3" spans="1:41" ht="15">
      <c r="A3" s="298" t="s">
        <v>173</v>
      </c>
    </row>
    <row r="4" spans="1:41" ht="15">
      <c r="A4" s="298" t="s">
        <v>174</v>
      </c>
    </row>
    <row r="5" spans="1:41" ht="15">
      <c r="A5" s="298" t="s">
        <v>175</v>
      </c>
    </row>
    <row r="6" spans="1:41" ht="15">
      <c r="A6" s="298" t="s">
        <v>177</v>
      </c>
    </row>
    <row r="9" spans="1:41" ht="15">
      <c r="A9" s="294" t="s">
        <v>169</v>
      </c>
      <c r="I9" s="3">
        <v>2016</v>
      </c>
      <c r="N9" s="308"/>
      <c r="O9" s="308"/>
      <c r="Z9" s="299" t="s">
        <v>0</v>
      </c>
      <c r="AA9" s="300"/>
      <c r="AB9" s="300"/>
      <c r="AC9" s="301"/>
      <c r="AD9" s="302" t="s">
        <v>1</v>
      </c>
      <c r="AE9" s="302"/>
      <c r="AF9" s="302"/>
      <c r="AG9" s="302"/>
    </row>
    <row r="10" spans="1:41">
      <c r="A10" s="274" t="s">
        <v>158</v>
      </c>
      <c r="N10" s="308"/>
      <c r="O10" s="308"/>
      <c r="Z10" s="7"/>
      <c r="AA10" s="7"/>
      <c r="AB10" s="7"/>
      <c r="AC10" s="7"/>
      <c r="AD10" s="8">
        <v>0.3</v>
      </c>
      <c r="AE10" s="8">
        <v>0.7</v>
      </c>
      <c r="AF10" s="7"/>
    </row>
    <row r="11" spans="1:41" s="9" customFormat="1" ht="11.25">
      <c r="A11" s="1"/>
      <c r="B11" s="303" t="s">
        <v>2</v>
      </c>
      <c r="C11" s="303"/>
      <c r="D11" s="303"/>
      <c r="E11" s="303"/>
      <c r="F11" s="303"/>
      <c r="K11" s="10"/>
      <c r="L11" s="11"/>
      <c r="M11" s="10"/>
      <c r="N11" s="308"/>
      <c r="O11" s="308"/>
      <c r="P11" s="11"/>
      <c r="Q11" s="11"/>
      <c r="R11" s="11"/>
      <c r="S11" s="11"/>
      <c r="T11" s="11"/>
      <c r="U11" s="11"/>
      <c r="V11" s="11"/>
      <c r="W11" s="12"/>
      <c r="X11" s="10"/>
      <c r="Y11" s="13"/>
      <c r="Z11" s="14"/>
      <c r="AA11" s="14"/>
      <c r="AB11" s="14"/>
      <c r="AC11" s="14"/>
      <c r="AD11" s="15" t="s">
        <v>3</v>
      </c>
      <c r="AE11" s="15" t="s">
        <v>4</v>
      </c>
      <c r="AF11" s="14"/>
      <c r="AL11" s="16"/>
    </row>
    <row r="12" spans="1:41" s="9" customFormat="1" ht="11.25">
      <c r="B12" s="304" t="s">
        <v>5</v>
      </c>
      <c r="C12" s="304"/>
      <c r="D12" s="304"/>
      <c r="E12" s="304"/>
      <c r="F12" s="304"/>
      <c r="G12" s="17"/>
      <c r="H12" s="17"/>
      <c r="I12" s="17"/>
      <c r="K12" s="10"/>
      <c r="L12" s="11"/>
      <c r="M12" s="10"/>
      <c r="N12" s="18"/>
      <c r="O12" s="18"/>
      <c r="P12" s="10"/>
      <c r="Q12" s="11"/>
      <c r="R12" s="11"/>
      <c r="S12" s="11"/>
      <c r="T12" s="11"/>
      <c r="U12" s="11"/>
      <c r="V12" s="11"/>
      <c r="W12" s="12"/>
      <c r="X12" s="10"/>
      <c r="Y12" s="13"/>
      <c r="Z12" s="14"/>
      <c r="AA12" s="14"/>
      <c r="AB12" s="14"/>
      <c r="AC12" s="14"/>
      <c r="AD12" s="15"/>
      <c r="AE12" s="15"/>
      <c r="AF12" s="14"/>
      <c r="AI12" s="19"/>
      <c r="AK12" s="305" t="s">
        <v>6</v>
      </c>
      <c r="AL12" s="306"/>
      <c r="AM12" s="306"/>
      <c r="AN12" s="306"/>
      <c r="AO12" s="307"/>
    </row>
    <row r="13" spans="1:41" s="34" customFormat="1" ht="33.75">
      <c r="A13" s="20" t="s">
        <v>7</v>
      </c>
      <c r="B13" s="21" t="s">
        <v>8</v>
      </c>
      <c r="C13" s="21" t="s">
        <v>9</v>
      </c>
      <c r="D13" s="21" t="s">
        <v>10</v>
      </c>
      <c r="E13" s="22" t="s">
        <v>11</v>
      </c>
      <c r="F13" s="23" t="s">
        <v>12</v>
      </c>
      <c r="G13" s="23" t="s">
        <v>13</v>
      </c>
      <c r="H13" s="24" t="s">
        <v>14</v>
      </c>
      <c r="I13" s="25" t="s">
        <v>15</v>
      </c>
      <c r="J13" s="26" t="s">
        <v>16</v>
      </c>
      <c r="K13" s="26" t="s">
        <v>17</v>
      </c>
      <c r="L13" s="27" t="s">
        <v>18</v>
      </c>
      <c r="M13" s="28" t="s">
        <v>19</v>
      </c>
      <c r="N13" s="28" t="s">
        <v>163</v>
      </c>
      <c r="O13" s="275" t="s">
        <v>21</v>
      </c>
      <c r="P13" s="29" t="s">
        <v>22</v>
      </c>
      <c r="Q13" s="29" t="s">
        <v>23</v>
      </c>
      <c r="R13" s="29" t="s">
        <v>24</v>
      </c>
      <c r="S13" s="29" t="s">
        <v>25</v>
      </c>
      <c r="T13" s="29" t="s">
        <v>26</v>
      </c>
      <c r="U13" s="29" t="s">
        <v>27</v>
      </c>
      <c r="V13" s="29"/>
      <c r="W13" s="30" t="s">
        <v>28</v>
      </c>
      <c r="X13" s="31" t="s">
        <v>29</v>
      </c>
      <c r="Y13" s="32" t="s">
        <v>30</v>
      </c>
      <c r="Z13" s="33" t="s">
        <v>31</v>
      </c>
      <c r="AA13" s="33" t="s">
        <v>32</v>
      </c>
      <c r="AB13" s="34" t="s">
        <v>33</v>
      </c>
      <c r="AC13" s="34" t="s">
        <v>34</v>
      </c>
      <c r="AD13" s="33" t="s">
        <v>35</v>
      </c>
      <c r="AE13" s="33" t="s">
        <v>36</v>
      </c>
      <c r="AF13" s="34" t="s">
        <v>37</v>
      </c>
      <c r="AG13" s="33" t="s">
        <v>38</v>
      </c>
      <c r="AH13" s="33" t="s">
        <v>39</v>
      </c>
      <c r="AI13" s="33" t="s">
        <v>40</v>
      </c>
      <c r="AK13" s="35">
        <v>2017</v>
      </c>
      <c r="AL13" s="35">
        <v>2018</v>
      </c>
      <c r="AM13" s="35">
        <v>2019</v>
      </c>
      <c r="AN13" s="35">
        <v>2020</v>
      </c>
      <c r="AO13" s="36" t="s">
        <v>41</v>
      </c>
    </row>
    <row r="14" spans="1:41" s="56" customFormat="1" ht="11.25">
      <c r="A14" s="37" t="s">
        <v>42</v>
      </c>
      <c r="B14" s="38">
        <v>3044964</v>
      </c>
      <c r="C14" s="38">
        <v>3859696</v>
      </c>
      <c r="D14" s="38">
        <v>1662840</v>
      </c>
      <c r="E14" s="39">
        <v>-2151560</v>
      </c>
      <c r="F14" s="40">
        <v>6415940</v>
      </c>
      <c r="G14" s="40"/>
      <c r="H14" s="40">
        <f t="shared" ref="H14:H59" si="0">F14</f>
        <v>6415940</v>
      </c>
      <c r="I14" s="41">
        <f>B14*VLOOKUP(I$9,'GI Factors'!A:M,4,FALSE)+C14*VLOOKUP(I$9,'GI Factors'!A:M,7,FALSE)+D14*VLOOKUP(I$9,'GI Factors'!A:M,10,FALSE)+E14*VLOOKUP(I$9,'GI Factors'!A:M,13,FALSE)</f>
        <v>6445248.9221260464</v>
      </c>
      <c r="J14" s="42">
        <v>0</v>
      </c>
      <c r="K14" s="41">
        <v>0</v>
      </c>
      <c r="L14" s="43"/>
      <c r="M14" s="42">
        <f t="shared" ref="M14:M45" si="1">J14+K14+L14</f>
        <v>0</v>
      </c>
      <c r="N14" s="44"/>
      <c r="O14" s="45"/>
      <c r="P14" s="44">
        <f t="shared" ref="P14:P40" si="2">AF14-((AA14/W14)*AF14)</f>
        <v>594224.43542699516</v>
      </c>
      <c r="Q14" s="45">
        <f t="shared" ref="Q14:Q45" si="3">X14-P14</f>
        <v>-594224.43542699516</v>
      </c>
      <c r="R14" s="45">
        <f t="shared" ref="R14:R45" si="4">IF(Q14&lt;0,0,+Q14)</f>
        <v>0</v>
      </c>
      <c r="S14" s="42">
        <f t="shared" ref="S14:S45" si="5">+IF(Q14&gt;0,0,+Q14)</f>
        <v>-594224.43542699516</v>
      </c>
      <c r="T14" s="46">
        <f t="shared" ref="T14:T45" si="6">+$R$68*(S14/$S$68)</f>
        <v>1.3530848937843125E-11</v>
      </c>
      <c r="U14" s="46">
        <f t="shared" ref="U14:U45" si="7">-$T$68*(R14/$R$68)</f>
        <v>0</v>
      </c>
      <c r="V14" s="46">
        <f t="shared" ref="V14:V45" si="8">T14+U14</f>
        <v>1.3530848937843125E-11</v>
      </c>
      <c r="W14" s="47">
        <f t="shared" ref="W14:W45" si="9">Z14-Y14</f>
        <v>30</v>
      </c>
      <c r="X14" s="41">
        <f t="shared" ref="X14:X45" si="10">M14+N14+O14</f>
        <v>0</v>
      </c>
      <c r="Y14" s="48">
        <v>2016</v>
      </c>
      <c r="Z14" s="49">
        <v>2046</v>
      </c>
      <c r="AA14" s="50">
        <f t="shared" ref="AA14:AA40" si="11">Z14-2017</f>
        <v>29</v>
      </c>
      <c r="AB14" s="50">
        <f t="shared" ref="AB14:AB43" si="12">Z14+5</f>
        <v>2051</v>
      </c>
      <c r="AC14" s="51">
        <f t="shared" ref="AC14:AC43" si="13">Z14+6</f>
        <v>2052</v>
      </c>
      <c r="AD14" s="52">
        <f>(B14*$AD$10)*VLOOKUP(AB14,'GI Factors'!A:M,4,FALSE)+(C14*$AD$10)*VLOOKUP(AB14,'GI Factors'!A:M,7,FALSE)+(D14*$AD$10)*VLOOKUP(AB14,'GI Factors'!A:M,10,FALSE)+(E14*$AD$10)*VLOOKUP(AB14,'GI Factors'!A:M,13,FALSE)</f>
        <v>5233642.9176673973</v>
      </c>
      <c r="AE14" s="52">
        <f>(B14*$AE$10)*VLOOKUP(AC14,'GI Factors'!A:M,4,FALSE)+(C14*$AE$10)*VLOOKUP(AC14,'GI Factors'!A:M,7,FALSE)+(D14*$AE$10)*VLOOKUP(AC14,'GI Factors'!A:M,10,FALSE)+(E14*$AE$10)*VLOOKUP(AC14,'GI Factors'!A:M,13,FALSE)</f>
        <v>12593090.145142481</v>
      </c>
      <c r="AF14" s="53">
        <f t="shared" ref="AF14:AF45" si="14">SUM(AD14:AE14)</f>
        <v>17826733.062809877</v>
      </c>
      <c r="AG14" s="53">
        <f t="shared" ref="AG14:AG45" si="15">AF14-X14</f>
        <v>17826733.062809877</v>
      </c>
      <c r="AH14" s="54">
        <f t="shared" ref="AH14:AH19" si="16">RATE(AA14,,-F14,AF14)</f>
        <v>3.5866632441817599E-2</v>
      </c>
      <c r="AI14" s="53">
        <f t="shared" ref="AI14:AI45" si="17">PV(AH14,AA14,,-AG14)</f>
        <v>6415939.9999999925</v>
      </c>
      <c r="AJ14" s="53"/>
      <c r="AK14" s="55">
        <f t="shared" ref="AK14:AK40" si="18">PMT(AH14,AA14,-AI14)</f>
        <v>359506.56714384258</v>
      </c>
      <c r="AL14" s="55">
        <f t="shared" ref="AL14:AN40" si="19">IF(AL$13&lt;$Z14,AK14*(1+$AH14),0)</f>
        <v>372400.8570480104</v>
      </c>
      <c r="AM14" s="55">
        <f t="shared" si="19"/>
        <v>385757.62170876923</v>
      </c>
      <c r="AN14" s="55">
        <f t="shared" si="19"/>
        <v>399593.44853822736</v>
      </c>
      <c r="AO14" s="55">
        <f t="shared" ref="AO14:AO45" si="20">AVERAGE(AK14:AN14)</f>
        <v>379314.62360971246</v>
      </c>
    </row>
    <row r="15" spans="1:41" s="56" customFormat="1" ht="11.25">
      <c r="A15" s="57" t="s">
        <v>43</v>
      </c>
      <c r="B15" s="38">
        <v>3963283.137849912</v>
      </c>
      <c r="C15" s="38">
        <v>4657780.0246843081</v>
      </c>
      <c r="D15" s="38">
        <v>334053.39374473761</v>
      </c>
      <c r="E15" s="39">
        <v>-398357.96311416931</v>
      </c>
      <c r="F15" s="58">
        <v>8556758.5931647886</v>
      </c>
      <c r="G15" s="58"/>
      <c r="H15" s="58">
        <f t="shared" si="0"/>
        <v>8556758.5931647886</v>
      </c>
      <c r="I15" s="59">
        <f>B15*VLOOKUP(I$9,'GI Factors'!A:M,4,FALSE)+C15*VLOOKUP(I$9,'GI Factors'!A:M,7,FALSE)+D15*VLOOKUP(I$9,'GI Factors'!A:M,10,FALSE)+E15*VLOOKUP(I$9,'GI Factors'!A:M,13,FALSE)</f>
        <v>8482683.9857742395</v>
      </c>
      <c r="J15" s="60">
        <v>0</v>
      </c>
      <c r="K15" s="59">
        <v>0</v>
      </c>
      <c r="L15" s="61"/>
      <c r="M15" s="59">
        <f t="shared" si="1"/>
        <v>0</v>
      </c>
      <c r="N15" s="62"/>
      <c r="O15" s="63"/>
      <c r="P15" s="62">
        <f t="shared" si="2"/>
        <v>2727330.1412896812</v>
      </c>
      <c r="Q15" s="63">
        <f t="shared" si="3"/>
        <v>-2727330.1412896812</v>
      </c>
      <c r="R15" s="63">
        <f t="shared" si="4"/>
        <v>0</v>
      </c>
      <c r="S15" s="60">
        <f t="shared" si="5"/>
        <v>-2727330.1412896812</v>
      </c>
      <c r="T15" s="46">
        <f t="shared" si="6"/>
        <v>6.2102952933767121E-11</v>
      </c>
      <c r="U15" s="46">
        <f t="shared" si="7"/>
        <v>0</v>
      </c>
      <c r="V15" s="46">
        <f t="shared" si="8"/>
        <v>6.2102952933767121E-11</v>
      </c>
      <c r="W15" s="64">
        <f t="shared" si="9"/>
        <v>40</v>
      </c>
      <c r="X15" s="59">
        <f t="shared" si="10"/>
        <v>0</v>
      </c>
      <c r="Y15" s="65">
        <v>2013</v>
      </c>
      <c r="Z15" s="66">
        <v>2053</v>
      </c>
      <c r="AA15" s="50">
        <f t="shared" si="11"/>
        <v>36</v>
      </c>
      <c r="AB15" s="50">
        <f t="shared" si="12"/>
        <v>2058</v>
      </c>
      <c r="AC15" s="51">
        <f t="shared" si="13"/>
        <v>2059</v>
      </c>
      <c r="AD15" s="52">
        <f>(B15*$AD$10)*VLOOKUP(AB15,'GI Factors'!A:M,4,FALSE)+(C15*$AD$10)*VLOOKUP(AB15,'GI Factors'!A:M,7,FALSE)+(D15*$AD$10)*VLOOKUP(AB15,'GI Factors'!A:M,10,FALSE)+(E15*$AD$10)*VLOOKUP(AB15,'GI Factors'!A:M,13,FALSE)</f>
        <v>8008856.0717993286</v>
      </c>
      <c r="AE15" s="52">
        <f>(B15*$AE$10)*VLOOKUP(AC15,'GI Factors'!A:M,4,FALSE)+(C15*$AE$10)*VLOOKUP(AC15,'GI Factors'!A:M,7,FALSE)+(D15*$AE$10)*VLOOKUP(AC15,'GI Factors'!A:M,10,FALSE)+(E15*$AE$10)*VLOOKUP(AC15,'GI Factors'!A:M,13,FALSE)</f>
        <v>19264445.341097504</v>
      </c>
      <c r="AF15" s="53">
        <f t="shared" si="14"/>
        <v>27273301.412896834</v>
      </c>
      <c r="AG15" s="53">
        <f t="shared" si="15"/>
        <v>27273301.412896834</v>
      </c>
      <c r="AH15" s="54">
        <f t="shared" si="16"/>
        <v>3.2723650907957876E-2</v>
      </c>
      <c r="AI15" s="53">
        <f t="shared" si="17"/>
        <v>8556758.593164796</v>
      </c>
      <c r="AJ15" s="53"/>
      <c r="AK15" s="55">
        <f t="shared" si="18"/>
        <v>408021.55876783206</v>
      </c>
      <c r="AL15" s="55">
        <f t="shared" si="19"/>
        <v>421373.51381987141</v>
      </c>
      <c r="AM15" s="55">
        <f t="shared" si="19"/>
        <v>435162.39358797244</v>
      </c>
      <c r="AN15" s="55">
        <f t="shared" si="19"/>
        <v>449402.49584401661</v>
      </c>
      <c r="AO15" s="55">
        <f t="shared" si="20"/>
        <v>428489.9905049231</v>
      </c>
    </row>
    <row r="16" spans="1:41" s="56" customFormat="1" ht="11.25">
      <c r="A16" s="57" t="s">
        <v>44</v>
      </c>
      <c r="B16" s="38">
        <v>5159805.4786179485</v>
      </c>
      <c r="C16" s="38">
        <v>5637771.4381366847</v>
      </c>
      <c r="D16" s="38">
        <v>283942.02426468255</v>
      </c>
      <c r="E16" s="39">
        <v>-4218239.1345979208</v>
      </c>
      <c r="F16" s="58">
        <v>6863279.8064213945</v>
      </c>
      <c r="G16" s="58"/>
      <c r="H16" s="58">
        <f t="shared" si="0"/>
        <v>6863279.8064213945</v>
      </c>
      <c r="I16" s="59">
        <f>B16*VLOOKUP(I$9,'GI Factors'!A:M,4,FALSE)+C16*VLOOKUP(I$9,'GI Factors'!A:M,7,FALSE)+D16*VLOOKUP(I$9,'GI Factors'!A:M,10,FALSE)+E16*VLOOKUP(I$9,'GI Factors'!A:M,13,FALSE)</f>
        <v>6942881.8808789607</v>
      </c>
      <c r="J16" s="60">
        <v>0</v>
      </c>
      <c r="K16" s="59">
        <v>0</v>
      </c>
      <c r="L16" s="61"/>
      <c r="M16" s="59">
        <f t="shared" si="1"/>
        <v>0</v>
      </c>
      <c r="N16" s="62"/>
      <c r="O16" s="63"/>
      <c r="P16" s="62">
        <f t="shared" si="2"/>
        <v>2902128.1321946681</v>
      </c>
      <c r="Q16" s="63">
        <f t="shared" si="3"/>
        <v>-2902128.1321946681</v>
      </c>
      <c r="R16" s="63">
        <f t="shared" si="4"/>
        <v>0</v>
      </c>
      <c r="S16" s="60">
        <f t="shared" si="5"/>
        <v>-2902128.1321946681</v>
      </c>
      <c r="T16" s="46">
        <f t="shared" si="6"/>
        <v>6.6083208656294426E-11</v>
      </c>
      <c r="U16" s="46">
        <f t="shared" si="7"/>
        <v>0</v>
      </c>
      <c r="V16" s="46">
        <f t="shared" si="8"/>
        <v>6.6083208656294426E-11</v>
      </c>
      <c r="W16" s="64">
        <f t="shared" si="9"/>
        <v>40</v>
      </c>
      <c r="X16" s="59">
        <f t="shared" si="10"/>
        <v>0</v>
      </c>
      <c r="Y16" s="65">
        <v>2013</v>
      </c>
      <c r="Z16" s="66">
        <v>2053</v>
      </c>
      <c r="AA16" s="50">
        <f t="shared" si="11"/>
        <v>36</v>
      </c>
      <c r="AB16" s="50">
        <f t="shared" si="12"/>
        <v>2058</v>
      </c>
      <c r="AC16" s="51">
        <f t="shared" si="13"/>
        <v>2059</v>
      </c>
      <c r="AD16" s="52">
        <f>(B16*$AD$10)*VLOOKUP(AB16,'GI Factors'!A:M,4,FALSE)+(C16*$AD$10)*VLOOKUP(AB16,'GI Factors'!A:M,7,FALSE)+(D16*$AD$10)*VLOOKUP(AB16,'GI Factors'!A:M,10,FALSE)+(E16*$AD$10)*VLOOKUP(AB16,'GI Factors'!A:M,13,FALSE)</f>
        <v>8492962.2754825745</v>
      </c>
      <c r="AE16" s="52">
        <f>(B16*$AE$10)*VLOOKUP(AC16,'GI Factors'!A:M,4,FALSE)+(C16*$AE$10)*VLOOKUP(AC16,'GI Factors'!A:M,7,FALSE)+(D16*$AE$10)*VLOOKUP(AC16,'GI Factors'!A:M,10,FALSE)+(E16*$AE$10)*VLOOKUP(AC16,'GI Factors'!A:M,13,FALSE)</f>
        <v>20528319.046464097</v>
      </c>
      <c r="AF16" s="53">
        <f t="shared" si="14"/>
        <v>29021281.321946673</v>
      </c>
      <c r="AG16" s="53">
        <f t="shared" si="15"/>
        <v>29021281.321946673</v>
      </c>
      <c r="AH16" s="54">
        <f t="shared" si="16"/>
        <v>4.0864087220521178E-2</v>
      </c>
      <c r="AI16" s="53">
        <f t="shared" si="17"/>
        <v>6863279.8064213907</v>
      </c>
      <c r="AJ16" s="53"/>
      <c r="AK16" s="55">
        <f t="shared" si="18"/>
        <v>367332.62534983753</v>
      </c>
      <c r="AL16" s="55">
        <f t="shared" si="19"/>
        <v>382343.33779107634</v>
      </c>
      <c r="AM16" s="55">
        <f t="shared" si="19"/>
        <v>397967.44929475611</v>
      </c>
      <c r="AN16" s="55">
        <f t="shared" si="19"/>
        <v>414230.02585366537</v>
      </c>
      <c r="AO16" s="55">
        <f t="shared" si="20"/>
        <v>390468.35957233381</v>
      </c>
    </row>
    <row r="17" spans="1:41" s="56" customFormat="1" ht="11.25">
      <c r="A17" s="57" t="s">
        <v>45</v>
      </c>
      <c r="B17" s="38">
        <v>3044964</v>
      </c>
      <c r="C17" s="38">
        <v>3859696</v>
      </c>
      <c r="D17" s="38">
        <v>1662840</v>
      </c>
      <c r="E17" s="39">
        <v>-2151560</v>
      </c>
      <c r="F17" s="58">
        <v>6415940</v>
      </c>
      <c r="G17" s="58"/>
      <c r="H17" s="58">
        <f t="shared" si="0"/>
        <v>6415940</v>
      </c>
      <c r="I17" s="59">
        <f>B17*VLOOKUP(I$9,'GI Factors'!A:M,4,FALSE)+C17*VLOOKUP(I$9,'GI Factors'!A:M,7,FALSE)+D17*VLOOKUP(I$9,'GI Factors'!A:M,10,FALSE)+E17*VLOOKUP(I$9,'GI Factors'!A:M,13,FALSE)</f>
        <v>6445248.9221260464</v>
      </c>
      <c r="J17" s="60">
        <v>0</v>
      </c>
      <c r="K17" s="59"/>
      <c r="L17" s="61"/>
      <c r="M17" s="59">
        <f t="shared" si="1"/>
        <v>0</v>
      </c>
      <c r="N17" s="62"/>
      <c r="O17" s="63"/>
      <c r="P17" s="62">
        <f t="shared" si="2"/>
        <v>594224.43542699516</v>
      </c>
      <c r="Q17" s="63">
        <f t="shared" si="3"/>
        <v>-594224.43542699516</v>
      </c>
      <c r="R17" s="63">
        <f t="shared" si="4"/>
        <v>0</v>
      </c>
      <c r="S17" s="60">
        <f t="shared" si="5"/>
        <v>-594224.43542699516</v>
      </c>
      <c r="T17" s="46">
        <f t="shared" si="6"/>
        <v>1.3530848937843125E-11</v>
      </c>
      <c r="U17" s="46">
        <f t="shared" si="7"/>
        <v>0</v>
      </c>
      <c r="V17" s="46">
        <f t="shared" si="8"/>
        <v>1.3530848937843125E-11</v>
      </c>
      <c r="W17" s="64">
        <f t="shared" si="9"/>
        <v>30</v>
      </c>
      <c r="X17" s="59">
        <f t="shared" si="10"/>
        <v>0</v>
      </c>
      <c r="Y17" s="65">
        <v>2016</v>
      </c>
      <c r="Z17" s="66">
        <v>2046</v>
      </c>
      <c r="AA17" s="50">
        <f t="shared" si="11"/>
        <v>29</v>
      </c>
      <c r="AB17" s="50">
        <f t="shared" si="12"/>
        <v>2051</v>
      </c>
      <c r="AC17" s="51">
        <f t="shared" si="13"/>
        <v>2052</v>
      </c>
      <c r="AD17" s="52">
        <f>(B17*$AD$10)*VLOOKUP(AB17,'GI Factors'!A:M,4,FALSE)+(C17*$AD$10)*VLOOKUP(AB17,'GI Factors'!A:M,7,FALSE)+(D17*$AD$10)*VLOOKUP(AB17,'GI Factors'!A:M,10,FALSE)+(E17*$AD$10)*VLOOKUP(AB17,'GI Factors'!A:M,13,FALSE)</f>
        <v>5233642.9176673973</v>
      </c>
      <c r="AE17" s="52">
        <f>(B17*$AE$10)*VLOOKUP(AC17,'GI Factors'!A:M,4,FALSE)+(C17*$AE$10)*VLOOKUP(AC17,'GI Factors'!A:M,7,FALSE)+(D17*$AE$10)*VLOOKUP(AC17,'GI Factors'!A:M,10,FALSE)+(E17*$AE$10)*VLOOKUP(AC17,'GI Factors'!A:M,13,FALSE)</f>
        <v>12593090.145142481</v>
      </c>
      <c r="AF17" s="53">
        <f t="shared" si="14"/>
        <v>17826733.062809877</v>
      </c>
      <c r="AG17" s="53">
        <f t="shared" si="15"/>
        <v>17826733.062809877</v>
      </c>
      <c r="AH17" s="54">
        <f t="shared" si="16"/>
        <v>3.5866632441817599E-2</v>
      </c>
      <c r="AI17" s="53">
        <f t="shared" si="17"/>
        <v>6415939.9999999925</v>
      </c>
      <c r="AJ17" s="53"/>
      <c r="AK17" s="55">
        <f t="shared" si="18"/>
        <v>359506.56714384258</v>
      </c>
      <c r="AL17" s="55">
        <f t="shared" si="19"/>
        <v>372400.8570480104</v>
      </c>
      <c r="AM17" s="55">
        <f t="shared" si="19"/>
        <v>385757.62170876923</v>
      </c>
      <c r="AN17" s="55">
        <f t="shared" si="19"/>
        <v>399593.44853822736</v>
      </c>
      <c r="AO17" s="55">
        <f t="shared" si="20"/>
        <v>379314.62360971246</v>
      </c>
    </row>
    <row r="18" spans="1:41" s="56" customFormat="1" ht="11.25">
      <c r="A18" s="67" t="s">
        <v>46</v>
      </c>
      <c r="B18" s="68">
        <v>1067800</v>
      </c>
      <c r="C18" s="68">
        <v>1383509.21</v>
      </c>
      <c r="D18" s="68">
        <v>558000</v>
      </c>
      <c r="E18" s="39">
        <v>-735430.92099999997</v>
      </c>
      <c r="F18" s="69">
        <v>2273878.2889999999</v>
      </c>
      <c r="G18" s="69"/>
      <c r="H18" s="69">
        <f t="shared" si="0"/>
        <v>2273878.2889999999</v>
      </c>
      <c r="I18" s="59">
        <f>B18*VLOOKUP(I$9,'GI Factors'!A:M,4,FALSE)+C18*VLOOKUP(I$9,'GI Factors'!A:M,7,FALSE)+D18*VLOOKUP(I$9,'GI Factors'!A:M,10,FALSE)+E18*VLOOKUP(I$9,'GI Factors'!A:M,13,FALSE)</f>
        <v>2281735.6617501271</v>
      </c>
      <c r="J18" s="60">
        <v>430189</v>
      </c>
      <c r="K18" s="59">
        <v>78767</v>
      </c>
      <c r="L18" s="61"/>
      <c r="M18" s="59">
        <f t="shared" si="1"/>
        <v>508956</v>
      </c>
      <c r="N18" s="62"/>
      <c r="O18" s="63"/>
      <c r="P18" s="62">
        <f t="shared" si="2"/>
        <v>1352248.2810194874</v>
      </c>
      <c r="Q18" s="63">
        <f t="shared" si="3"/>
        <v>-843292.28101948742</v>
      </c>
      <c r="R18" s="63">
        <f t="shared" si="4"/>
        <v>0</v>
      </c>
      <c r="S18" s="60">
        <f t="shared" si="5"/>
        <v>-843292.28101948742</v>
      </c>
      <c r="T18" s="46">
        <f t="shared" si="6"/>
        <v>1.9202274064553669E-11</v>
      </c>
      <c r="U18" s="46">
        <f t="shared" si="7"/>
        <v>0</v>
      </c>
      <c r="V18" s="46">
        <f t="shared" si="8"/>
        <v>1.9202274064553669E-11</v>
      </c>
      <c r="W18" s="64">
        <f t="shared" si="9"/>
        <v>30</v>
      </c>
      <c r="X18" s="59">
        <f t="shared" si="10"/>
        <v>508956</v>
      </c>
      <c r="Y18" s="65">
        <v>2009</v>
      </c>
      <c r="Z18" s="66">
        <v>2039</v>
      </c>
      <c r="AA18" s="50">
        <f t="shared" si="11"/>
        <v>22</v>
      </c>
      <c r="AB18" s="50">
        <f t="shared" si="12"/>
        <v>2044</v>
      </c>
      <c r="AC18" s="51">
        <f t="shared" si="13"/>
        <v>2045</v>
      </c>
      <c r="AD18" s="52">
        <f>(B18*$AD$10)*VLOOKUP(AB18,'GI Factors'!A:M,4,FALSE)+(C18*$AD$10)*VLOOKUP(AB18,'GI Factors'!A:M,7,FALSE)+(D18*$AD$10)*VLOOKUP(AB18,'GI Factors'!A:M,10,FALSE)+(E18*$AD$10)*VLOOKUP(AB18,'GI Factors'!A:M,13,FALSE)</f>
        <v>1489722.0678544804</v>
      </c>
      <c r="AE18" s="52">
        <f>(B18*$AE$10)*VLOOKUP(AC18,'GI Factors'!A:M,4,FALSE)+(C18*$AE$10)*VLOOKUP(AC18,'GI Factors'!A:M,7,FALSE)+(D18*$AE$10)*VLOOKUP(AC18,'GI Factors'!A:M,10,FALSE)+(E18*$AE$10)*VLOOKUP(AC18,'GI Factors'!A:M,13,FALSE)</f>
        <v>3581208.9859685963</v>
      </c>
      <c r="AF18" s="53">
        <f t="shared" si="14"/>
        <v>5070931.0538230762</v>
      </c>
      <c r="AG18" s="53">
        <f t="shared" si="15"/>
        <v>4561975.0538230762</v>
      </c>
      <c r="AH18" s="54">
        <f t="shared" si="16"/>
        <v>3.7128931911961115E-2</v>
      </c>
      <c r="AI18" s="53">
        <f t="shared" si="17"/>
        <v>2045655.1114074355</v>
      </c>
      <c r="AJ18" s="53"/>
      <c r="AK18" s="55">
        <f t="shared" si="18"/>
        <v>137699.35882269731</v>
      </c>
      <c r="AL18" s="55">
        <f t="shared" si="19"/>
        <v>142811.98894074594</v>
      </c>
      <c r="AM18" s="55">
        <f t="shared" si="19"/>
        <v>148114.44555433866</v>
      </c>
      <c r="AN18" s="55">
        <f t="shared" si="19"/>
        <v>153613.77671850359</v>
      </c>
      <c r="AO18" s="55">
        <f t="shared" si="20"/>
        <v>145559.89250907136</v>
      </c>
    </row>
    <row r="19" spans="1:41" s="56" customFormat="1" ht="11.25">
      <c r="A19" s="57" t="s">
        <v>47</v>
      </c>
      <c r="B19" s="38">
        <v>8084987.3350533694</v>
      </c>
      <c r="C19" s="38">
        <v>10741005.968765283</v>
      </c>
      <c r="D19" s="38">
        <v>697254.03265045525</v>
      </c>
      <c r="E19" s="39">
        <v>-820745.70704456419</v>
      </c>
      <c r="F19" s="58">
        <v>18702501.629424542</v>
      </c>
      <c r="G19" s="58"/>
      <c r="H19" s="58">
        <f t="shared" si="0"/>
        <v>18702501.629424542</v>
      </c>
      <c r="I19" s="59">
        <f>B19*VLOOKUP(I$9,'GI Factors'!A:M,4,FALSE)+C19*VLOOKUP(I$9,'GI Factors'!A:M,7,FALSE)+D19*VLOOKUP(I$9,'GI Factors'!A:M,10,FALSE)+E19*VLOOKUP(I$9,'GI Factors'!A:M,13,FALSE)</f>
        <v>18499535.850634869</v>
      </c>
      <c r="J19" s="60">
        <v>0</v>
      </c>
      <c r="K19" s="59">
        <v>0</v>
      </c>
      <c r="L19" s="61"/>
      <c r="M19" s="59">
        <f t="shared" si="1"/>
        <v>0</v>
      </c>
      <c r="N19" s="62"/>
      <c r="O19" s="243">
        <v>16978921.080370899</v>
      </c>
      <c r="P19" s="62">
        <f t="shared" si="2"/>
        <v>19676516.080162887</v>
      </c>
      <c r="Q19" s="63">
        <f t="shared" si="3"/>
        <v>-2697594.9997919872</v>
      </c>
      <c r="R19" s="63">
        <f t="shared" si="4"/>
        <v>0</v>
      </c>
      <c r="S19" s="60">
        <f t="shared" si="5"/>
        <v>-2697594.9997919872</v>
      </c>
      <c r="T19" s="46">
        <f t="shared" si="6"/>
        <v>6.1425865820273421E-11</v>
      </c>
      <c r="U19" s="46">
        <f t="shared" si="7"/>
        <v>0</v>
      </c>
      <c r="V19" s="46">
        <f t="shared" si="8"/>
        <v>6.1425865820273421E-11</v>
      </c>
      <c r="W19" s="64">
        <f t="shared" si="9"/>
        <v>40</v>
      </c>
      <c r="X19" s="59">
        <f t="shared" si="10"/>
        <v>16978921.080370899</v>
      </c>
      <c r="Y19" s="65">
        <v>1993</v>
      </c>
      <c r="Z19" s="66">
        <v>2033</v>
      </c>
      <c r="AA19" s="50">
        <f t="shared" si="11"/>
        <v>16</v>
      </c>
      <c r="AB19" s="50">
        <f t="shared" si="12"/>
        <v>2038</v>
      </c>
      <c r="AC19" s="51">
        <f t="shared" si="13"/>
        <v>2039</v>
      </c>
      <c r="AD19" s="52">
        <f>(B19*$AD$10)*VLOOKUP(AB19,'GI Factors'!A:M,4,FALSE)+(C19*$AD$10)*VLOOKUP(AB19,'GI Factors'!A:M,7,FALSE)+(D19*$AD$10)*VLOOKUP(AB19,'GI Factors'!A:M,10,FALSE)+(E19*$AD$10)*VLOOKUP(AB19,'GI Factors'!A:M,13,FALSE)</f>
        <v>9661452.8885829318</v>
      </c>
      <c r="AE19" s="52">
        <f>(B19*$AE$10)*VLOOKUP(AC19,'GI Factors'!A:M,4,FALSE)+(C19*$AE$10)*VLOOKUP(AC19,'GI Factors'!A:M,7,FALSE)+(D19*$AE$10)*VLOOKUP(AC19,'GI Factors'!A:M,10,FALSE)+(E19*$AE$10)*VLOOKUP(AC19,'GI Factors'!A:M,13,FALSE)</f>
        <v>23132740.578355215</v>
      </c>
      <c r="AF19" s="53">
        <f t="shared" si="14"/>
        <v>32794193.466938145</v>
      </c>
      <c r="AG19" s="53">
        <f t="shared" si="15"/>
        <v>15815272.386567246</v>
      </c>
      <c r="AH19" s="54">
        <f t="shared" si="16"/>
        <v>3.5722899164621444E-2</v>
      </c>
      <c r="AI19" s="53">
        <f t="shared" si="17"/>
        <v>9019436.8670102004</v>
      </c>
      <c r="AJ19" s="53"/>
      <c r="AK19" s="55">
        <f t="shared" si="18"/>
        <v>749825.03736548533</v>
      </c>
      <c r="AL19" s="55">
        <f t="shared" si="19"/>
        <v>776610.96156640106</v>
      </c>
      <c r="AM19" s="55">
        <f t="shared" si="19"/>
        <v>804353.75663657731</v>
      </c>
      <c r="AN19" s="55">
        <f t="shared" si="19"/>
        <v>833087.60477759026</v>
      </c>
      <c r="AO19" s="55">
        <f t="shared" si="20"/>
        <v>790969.34008651355</v>
      </c>
    </row>
    <row r="20" spans="1:41" s="56" customFormat="1" ht="11.25">
      <c r="A20" s="57" t="s">
        <v>48</v>
      </c>
      <c r="B20" s="70">
        <v>271431.89180514473</v>
      </c>
      <c r="C20" s="70">
        <v>296575.32117438159</v>
      </c>
      <c r="D20" s="70">
        <v>30764.84081158552</v>
      </c>
      <c r="E20" s="39">
        <v>-331988.41350159526</v>
      </c>
      <c r="F20" s="58">
        <v>266783.64028951654</v>
      </c>
      <c r="G20" s="58"/>
      <c r="H20" s="58">
        <f t="shared" si="0"/>
        <v>266783.64028951654</v>
      </c>
      <c r="I20" s="59">
        <f>B20*VLOOKUP(I$9,'GI Factors'!A:M,4,FALSE)+C20*VLOOKUP(I$9,'GI Factors'!A:M,7,FALSE)+D20*VLOOKUP(I$9,'GI Factors'!A:M,10,FALSE)+E20*VLOOKUP(I$9,'GI Factors'!A:M,13,FALSE)</f>
        <v>275937.6237117112</v>
      </c>
      <c r="J20" s="60">
        <v>410083.62</v>
      </c>
      <c r="K20" s="59">
        <v>16744</v>
      </c>
      <c r="L20" s="61"/>
      <c r="M20" s="59">
        <f t="shared" si="1"/>
        <v>426827.62</v>
      </c>
      <c r="N20" s="62"/>
      <c r="O20" s="63"/>
      <c r="P20" s="62">
        <f t="shared" si="2"/>
        <v>859615.52971901628</v>
      </c>
      <c r="Q20" s="63">
        <f t="shared" si="3"/>
        <v>-432787.90971901629</v>
      </c>
      <c r="R20" s="63">
        <f t="shared" si="4"/>
        <v>0</v>
      </c>
      <c r="S20" s="60">
        <f t="shared" si="5"/>
        <v>-432787.90971901629</v>
      </c>
      <c r="T20" s="46">
        <f t="shared" si="6"/>
        <v>9.8548418398932507E-12</v>
      </c>
      <c r="U20" s="46">
        <f t="shared" si="7"/>
        <v>0</v>
      </c>
      <c r="V20" s="46">
        <f t="shared" si="8"/>
        <v>9.8548418398932507E-12</v>
      </c>
      <c r="W20" s="64">
        <f t="shared" si="9"/>
        <v>86</v>
      </c>
      <c r="X20" s="59">
        <f t="shared" si="10"/>
        <v>426827.62</v>
      </c>
      <c r="Y20" s="65">
        <v>1970</v>
      </c>
      <c r="Z20" s="66">
        <v>2056</v>
      </c>
      <c r="AA20" s="50">
        <f t="shared" si="11"/>
        <v>39</v>
      </c>
      <c r="AB20" s="50">
        <f t="shared" si="12"/>
        <v>2061</v>
      </c>
      <c r="AC20" s="51">
        <f t="shared" si="13"/>
        <v>2062</v>
      </c>
      <c r="AD20" s="52">
        <f>(B20*$AD$10)*VLOOKUP(AB20,'GI Factors'!A:M,4,FALSE)+(C20*$AD$10)*VLOOKUP(AB20,'GI Factors'!A:M,7,FALSE)+(D20*$AD$10)*VLOOKUP(AB20,'GI Factors'!A:M,10,FALSE)+(E20*$AD$10)*VLOOKUP(AB20,'GI Factors'!A:M,13,FALSE)</f>
        <v>459426.99954118184</v>
      </c>
      <c r="AE20" s="52">
        <f>(B20*$AE$10)*VLOOKUP(AC20,'GI Factors'!A:M,4,FALSE)+(C20*$AE$10)*VLOOKUP(AC20,'GI Factors'!A:M,7,FALSE)+(D20*$AE$10)*VLOOKUP(AC20,'GI Factors'!A:M,10,FALSE)+(E20*$AE$10)*VLOOKUP(AC20,'GI Factors'!A:M,13,FALSE)</f>
        <v>1113486.5229234011</v>
      </c>
      <c r="AF20" s="53">
        <f t="shared" si="14"/>
        <v>1572913.5224645829</v>
      </c>
      <c r="AG20" s="53">
        <f t="shared" si="15"/>
        <v>1146085.9024645831</v>
      </c>
      <c r="AH20" s="54">
        <v>0</v>
      </c>
      <c r="AI20" s="53">
        <f t="shared" si="17"/>
        <v>1146085.9024645831</v>
      </c>
      <c r="AJ20" s="53"/>
      <c r="AK20" s="55">
        <f t="shared" si="18"/>
        <v>29386.818011912386</v>
      </c>
      <c r="AL20" s="55">
        <f t="shared" si="19"/>
        <v>29386.818011912386</v>
      </c>
      <c r="AM20" s="55">
        <f t="shared" si="19"/>
        <v>29386.818011912386</v>
      </c>
      <c r="AN20" s="55">
        <f t="shared" si="19"/>
        <v>29386.818011912386</v>
      </c>
      <c r="AO20" s="55">
        <f t="shared" si="20"/>
        <v>29386.818011912386</v>
      </c>
    </row>
    <row r="21" spans="1:41" s="56" customFormat="1" ht="11.25">
      <c r="A21" s="57" t="s">
        <v>49</v>
      </c>
      <c r="B21" s="38">
        <v>2874980.8662223225</v>
      </c>
      <c r="C21" s="38">
        <v>3141297.6865009856</v>
      </c>
      <c r="D21" s="38">
        <v>219857.01626059262</v>
      </c>
      <c r="E21" s="39">
        <v>-2033814.1653708604</v>
      </c>
      <c r="F21" s="58">
        <v>4202321.4036130402</v>
      </c>
      <c r="G21" s="58"/>
      <c r="H21" s="58">
        <f t="shared" si="0"/>
        <v>4202321.4036130402</v>
      </c>
      <c r="I21" s="59">
        <f>B21*VLOOKUP(I$9,'GI Factors'!A:M,4,FALSE)+C21*VLOOKUP(I$9,'GI Factors'!A:M,7,FALSE)+D21*VLOOKUP(I$9,'GI Factors'!A:M,10,FALSE)+E21*VLOOKUP(I$9,'GI Factors'!A:M,13,FALSE)</f>
        <v>4233789.4683695529</v>
      </c>
      <c r="J21" s="60">
        <v>14406436.52</v>
      </c>
      <c r="K21" s="59">
        <v>744341</v>
      </c>
      <c r="L21" s="61"/>
      <c r="M21" s="59">
        <f t="shared" si="1"/>
        <v>15150777.52</v>
      </c>
      <c r="N21" s="62">
        <v>-10004598.782986468</v>
      </c>
      <c r="O21" s="63"/>
      <c r="P21" s="62">
        <f t="shared" si="2"/>
        <v>5146178.7370135318</v>
      </c>
      <c r="Q21" s="63">
        <f t="shared" si="3"/>
        <v>0</v>
      </c>
      <c r="R21" s="63">
        <f t="shared" si="4"/>
        <v>0</v>
      </c>
      <c r="S21" s="60">
        <f t="shared" si="5"/>
        <v>0</v>
      </c>
      <c r="T21" s="46">
        <f t="shared" si="6"/>
        <v>0</v>
      </c>
      <c r="U21" s="46">
        <f t="shared" si="7"/>
        <v>0</v>
      </c>
      <c r="V21" s="46">
        <f t="shared" si="8"/>
        <v>0</v>
      </c>
      <c r="W21" s="64">
        <f t="shared" si="9"/>
        <v>40</v>
      </c>
      <c r="X21" s="59">
        <f t="shared" si="10"/>
        <v>5146178.7370135318</v>
      </c>
      <c r="Y21" s="65">
        <v>1993</v>
      </c>
      <c r="Z21" s="66">
        <v>2033</v>
      </c>
      <c r="AA21" s="50">
        <f t="shared" si="11"/>
        <v>16</v>
      </c>
      <c r="AB21" s="50">
        <f t="shared" si="12"/>
        <v>2038</v>
      </c>
      <c r="AC21" s="51">
        <f t="shared" si="13"/>
        <v>2039</v>
      </c>
      <c r="AD21" s="52">
        <f>(B21*$AD$10)*VLOOKUP(AB21,'GI Factors'!A:M,4,FALSE)+(C21*$AD$10)*VLOOKUP(AB21,'GI Factors'!A:M,7,FALSE)+(D21*$AD$10)*VLOOKUP(AB21,'GI Factors'!A:M,10,FALSE)+(E21*$AD$10)*VLOOKUP(AB21,'GI Factors'!A:M,13,FALSE)</f>
        <v>2515432.9016057714</v>
      </c>
      <c r="AE21" s="52">
        <f>(B21*$AE$10)*VLOOKUP(AC21,'GI Factors'!A:M,4,FALSE)+(C21*$AE$10)*VLOOKUP(AC21,'GI Factors'!A:M,7,FALSE)+(D21*$AE$10)*VLOOKUP(AC21,'GI Factors'!A:M,10,FALSE)+(E21*$AE$10)*VLOOKUP(AC21,'GI Factors'!A:M,13,FALSE)</f>
        <v>6061531.6600834485</v>
      </c>
      <c r="AF21" s="53">
        <f t="shared" si="14"/>
        <v>8576964.5616892204</v>
      </c>
      <c r="AG21" s="53">
        <f t="shared" si="15"/>
        <v>3430785.8246756885</v>
      </c>
      <c r="AH21" s="54">
        <f>RATE(AA21,,-F21,AF21)</f>
        <v>4.5599271297126515E-2</v>
      </c>
      <c r="AI21" s="53">
        <f t="shared" si="17"/>
        <v>1680928.561445215</v>
      </c>
      <c r="AJ21" s="53"/>
      <c r="AK21" s="55">
        <f t="shared" si="18"/>
        <v>150278.9463653873</v>
      </c>
      <c r="AL21" s="55">
        <f t="shared" si="19"/>
        <v>157131.55681094891</v>
      </c>
      <c r="AM21" s="55">
        <f t="shared" si="19"/>
        <v>164296.64129931122</v>
      </c>
      <c r="AN21" s="55">
        <f t="shared" si="19"/>
        <v>171788.4484191252</v>
      </c>
      <c r="AO21" s="55">
        <f t="shared" si="20"/>
        <v>160873.89822369313</v>
      </c>
    </row>
    <row r="22" spans="1:41" s="56" customFormat="1" ht="11.25">
      <c r="A22" s="57" t="s">
        <v>50</v>
      </c>
      <c r="B22" s="38">
        <v>2873673.6350777852</v>
      </c>
      <c r="C22" s="38">
        <v>3139869.3631968894</v>
      </c>
      <c r="D22" s="38">
        <v>221884.49033871724</v>
      </c>
      <c r="E22" s="39">
        <v>-2038541.4686474747</v>
      </c>
      <c r="F22" s="58">
        <v>4196886.0199659178</v>
      </c>
      <c r="G22" s="58"/>
      <c r="H22" s="58">
        <f t="shared" si="0"/>
        <v>4196886.0199659178</v>
      </c>
      <c r="I22" s="59">
        <f>B22*VLOOKUP(I$9,'GI Factors'!A:M,4,FALSE)+C22*VLOOKUP(I$9,'GI Factors'!A:M,7,FALSE)+D22*VLOOKUP(I$9,'GI Factors'!A:M,10,FALSE)+E22*VLOOKUP(I$9,'GI Factors'!A:M,13,FALSE)</f>
        <v>4228611.8814983144</v>
      </c>
      <c r="J22" s="60">
        <v>11279747.52</v>
      </c>
      <c r="K22" s="59">
        <v>594360</v>
      </c>
      <c r="L22" s="61"/>
      <c r="M22" s="59">
        <f t="shared" si="1"/>
        <v>11874107.52</v>
      </c>
      <c r="N22" s="62">
        <v>-6732479.331049555</v>
      </c>
      <c r="O22" s="63"/>
      <c r="P22" s="62">
        <f t="shared" si="2"/>
        <v>5141628.1889504446</v>
      </c>
      <c r="Q22" s="63">
        <f t="shared" si="3"/>
        <v>0</v>
      </c>
      <c r="R22" s="63">
        <f t="shared" si="4"/>
        <v>0</v>
      </c>
      <c r="S22" s="60">
        <f t="shared" si="5"/>
        <v>0</v>
      </c>
      <c r="T22" s="46">
        <f t="shared" si="6"/>
        <v>0</v>
      </c>
      <c r="U22" s="46">
        <f t="shared" si="7"/>
        <v>0</v>
      </c>
      <c r="V22" s="46">
        <f t="shared" si="8"/>
        <v>0</v>
      </c>
      <c r="W22" s="64">
        <f t="shared" si="9"/>
        <v>40</v>
      </c>
      <c r="X22" s="59">
        <f t="shared" si="10"/>
        <v>5141628.1889504446</v>
      </c>
      <c r="Y22" s="65">
        <v>1993</v>
      </c>
      <c r="Z22" s="66">
        <v>2033</v>
      </c>
      <c r="AA22" s="50">
        <f t="shared" si="11"/>
        <v>16</v>
      </c>
      <c r="AB22" s="50">
        <f t="shared" si="12"/>
        <v>2038</v>
      </c>
      <c r="AC22" s="51">
        <f t="shared" si="13"/>
        <v>2039</v>
      </c>
      <c r="AD22" s="52">
        <f>(B22*$AD$10)*VLOOKUP(AB22,'GI Factors'!A:M,4,FALSE)+(C22*$AD$10)*VLOOKUP(AB22,'GI Factors'!A:M,7,FALSE)+(D22*$AD$10)*VLOOKUP(AB22,'GI Factors'!A:M,10,FALSE)+(E22*$AD$10)*VLOOKUP(AB22,'GI Factors'!A:M,13,FALSE)</f>
        <v>2513180.2750754775</v>
      </c>
      <c r="AE22" s="52">
        <f>(B22*$AE$10)*VLOOKUP(AC22,'GI Factors'!A:M,4,FALSE)+(C22*$AE$10)*VLOOKUP(AC22,'GI Factors'!A:M,7,FALSE)+(D22*$AE$10)*VLOOKUP(AC22,'GI Factors'!A:M,10,FALSE)+(E22*$AE$10)*VLOOKUP(AC22,'GI Factors'!A:M,13,FALSE)</f>
        <v>6056200.0398419304</v>
      </c>
      <c r="AF22" s="53">
        <f t="shared" si="14"/>
        <v>8569380.3149174079</v>
      </c>
      <c r="AG22" s="53">
        <f t="shared" si="15"/>
        <v>3427752.1259669634</v>
      </c>
      <c r="AH22" s="54">
        <f>RATE(AA22,,-F22,AF22)</f>
        <v>4.5626039791357348E-2</v>
      </c>
      <c r="AI22" s="53">
        <f t="shared" si="17"/>
        <v>1678754.4079863681</v>
      </c>
      <c r="AJ22" s="53"/>
      <c r="AK22" s="55">
        <f t="shared" si="18"/>
        <v>150113.62305712869</v>
      </c>
      <c r="AL22" s="55">
        <f t="shared" si="19"/>
        <v>156962.71319595806</v>
      </c>
      <c r="AM22" s="55">
        <f t="shared" si="19"/>
        <v>164124.30019399623</v>
      </c>
      <c r="AN22" s="55">
        <f t="shared" si="19"/>
        <v>171612.64204537615</v>
      </c>
      <c r="AO22" s="55">
        <f t="shared" si="20"/>
        <v>160703.31962311477</v>
      </c>
    </row>
    <row r="23" spans="1:41" s="56" customFormat="1" ht="11.25">
      <c r="A23" s="57" t="s">
        <v>51</v>
      </c>
      <c r="B23" s="70">
        <v>3084619.4830904133</v>
      </c>
      <c r="C23" s="70">
        <v>3370355.6638621725</v>
      </c>
      <c r="D23" s="70">
        <v>253285.62576862256</v>
      </c>
      <c r="E23" s="39">
        <v>-2639363.6040507075</v>
      </c>
      <c r="F23" s="58">
        <v>4068897.1686705011</v>
      </c>
      <c r="G23" s="58"/>
      <c r="H23" s="58">
        <f t="shared" si="0"/>
        <v>4068897.1686705011</v>
      </c>
      <c r="I23" s="59">
        <f>B23*VLOOKUP(I$9,'GI Factors'!A:M,4,FALSE)+C23*VLOOKUP(I$9,'GI Factors'!A:M,7,FALSE)+D23*VLOOKUP(I$9,'GI Factors'!A:M,10,FALSE)+E23*VLOOKUP(I$9,'GI Factors'!A:M,13,FALSE)</f>
        <v>4122658.7634194768</v>
      </c>
      <c r="J23" s="60">
        <v>0</v>
      </c>
      <c r="K23" s="59">
        <v>0</v>
      </c>
      <c r="L23" s="61"/>
      <c r="M23" s="59">
        <f t="shared" si="1"/>
        <v>0</v>
      </c>
      <c r="N23" s="62"/>
      <c r="O23" s="63"/>
      <c r="P23" s="62">
        <f t="shared" si="2"/>
        <v>483390.87028995901</v>
      </c>
      <c r="Q23" s="63">
        <f t="shared" si="3"/>
        <v>-483390.87028995901</v>
      </c>
      <c r="R23" s="63">
        <f t="shared" si="4"/>
        <v>0</v>
      </c>
      <c r="S23" s="60">
        <f t="shared" si="5"/>
        <v>-483390.87028995901</v>
      </c>
      <c r="T23" s="46">
        <f t="shared" si="6"/>
        <v>1.1007101784910571E-11</v>
      </c>
      <c r="U23" s="46">
        <f t="shared" si="7"/>
        <v>0</v>
      </c>
      <c r="V23" s="46">
        <f t="shared" si="8"/>
        <v>1.1007101784910571E-11</v>
      </c>
      <c r="W23" s="64">
        <f t="shared" si="9"/>
        <v>40</v>
      </c>
      <c r="X23" s="59">
        <f t="shared" si="10"/>
        <v>0</v>
      </c>
      <c r="Y23" s="65">
        <v>2016</v>
      </c>
      <c r="Z23" s="66">
        <v>2056</v>
      </c>
      <c r="AA23" s="50">
        <f t="shared" si="11"/>
        <v>39</v>
      </c>
      <c r="AB23" s="50">
        <f t="shared" si="12"/>
        <v>2061</v>
      </c>
      <c r="AC23" s="51">
        <f t="shared" si="13"/>
        <v>2062</v>
      </c>
      <c r="AD23" s="52">
        <f>(B23*$AD$10)*VLOOKUP(AB23,'GI Factors'!A:M,4,FALSE)+(C23*$AD$10)*VLOOKUP(AB23,'GI Factors'!A:M,7,FALSE)+(D23*$AD$10)*VLOOKUP(AB23,'GI Factors'!A:M,10,FALSE)+(E23*$AD$10)*VLOOKUP(AB23,'GI Factors'!A:M,13,FALSE)</f>
        <v>5657566.0204576859</v>
      </c>
      <c r="AE23" s="52">
        <f>(B23*$AE$10)*VLOOKUP(AC23,'GI Factors'!A:M,4,FALSE)+(C23*$AE$10)*VLOOKUP(AC23,'GI Factors'!A:M,7,FALSE)+(D23*$AE$10)*VLOOKUP(AC23,'GI Factors'!A:M,10,FALSE)+(E23*$AE$10)*VLOOKUP(AC23,'GI Factors'!A:M,13,FALSE)</f>
        <v>13678068.79114072</v>
      </c>
      <c r="AF23" s="53">
        <f t="shared" si="14"/>
        <v>19335634.811598405</v>
      </c>
      <c r="AG23" s="53">
        <f t="shared" si="15"/>
        <v>19335634.811598405</v>
      </c>
      <c r="AH23" s="54">
        <f>RATE(AA23,,-F23,AF23)</f>
        <v>4.0772818916455338E-2</v>
      </c>
      <c r="AI23" s="53">
        <f t="shared" si="17"/>
        <v>4068897.1686704853</v>
      </c>
      <c r="AJ23" s="53"/>
      <c r="AK23" s="55">
        <f t="shared" si="18"/>
        <v>210116.25198088979</v>
      </c>
      <c r="AL23" s="55">
        <f t="shared" si="19"/>
        <v>218683.2838743109</v>
      </c>
      <c r="AM23" s="55">
        <f t="shared" si="19"/>
        <v>227599.61780777399</v>
      </c>
      <c r="AN23" s="55">
        <f t="shared" si="19"/>
        <v>236879.4958101048</v>
      </c>
      <c r="AO23" s="55">
        <f t="shared" si="20"/>
        <v>223319.66236826987</v>
      </c>
    </row>
    <row r="24" spans="1:41" s="56" customFormat="1" ht="11.25">
      <c r="A24" s="57" t="s">
        <v>52</v>
      </c>
      <c r="B24" s="38">
        <v>9005416.4712031446</v>
      </c>
      <c r="C24" s="38">
        <v>9885297.4769505262</v>
      </c>
      <c r="D24" s="38">
        <v>1126672.9458226848</v>
      </c>
      <c r="E24" s="39">
        <v>-743166.73079336248</v>
      </c>
      <c r="F24" s="58">
        <v>19274220.163182996</v>
      </c>
      <c r="G24" s="58"/>
      <c r="H24" s="58">
        <f t="shared" si="0"/>
        <v>19274220.163182996</v>
      </c>
      <c r="I24" s="59">
        <f>B24*VLOOKUP(I$9,'GI Factors'!A:M,4,FALSE)+C24*VLOOKUP(I$9,'GI Factors'!A:M,7,FALSE)+D24*VLOOKUP(I$9,'GI Factors'!A:M,10,FALSE)+E24*VLOOKUP(I$9,'GI Factors'!A:M,13,FALSE)</f>
        <v>19133215.604769081</v>
      </c>
      <c r="J24" s="60">
        <v>12074201.140000001</v>
      </c>
      <c r="K24" s="59">
        <v>362739</v>
      </c>
      <c r="L24" s="61"/>
      <c r="M24" s="59">
        <f t="shared" si="1"/>
        <v>12436940.140000001</v>
      </c>
      <c r="N24" s="62"/>
      <c r="O24" s="63"/>
      <c r="P24" s="62">
        <f t="shared" si="2"/>
        <v>31979934.003427695</v>
      </c>
      <c r="Q24" s="63">
        <f t="shared" si="3"/>
        <v>-19542993.863427695</v>
      </c>
      <c r="R24" s="63">
        <f t="shared" si="4"/>
        <v>0</v>
      </c>
      <c r="S24" s="60">
        <f t="shared" si="5"/>
        <v>-19542993.863427695</v>
      </c>
      <c r="T24" s="46">
        <f t="shared" si="6"/>
        <v>4.4500576212289212E-10</v>
      </c>
      <c r="U24" s="46">
        <f t="shared" si="7"/>
        <v>0</v>
      </c>
      <c r="V24" s="46">
        <f t="shared" si="8"/>
        <v>4.4500576212289212E-10</v>
      </c>
      <c r="W24" s="64">
        <f t="shared" si="9"/>
        <v>85</v>
      </c>
      <c r="X24" s="59">
        <f t="shared" si="10"/>
        <v>12436940.140000001</v>
      </c>
      <c r="Y24" s="65">
        <v>1958</v>
      </c>
      <c r="Z24" s="66">
        <v>2043</v>
      </c>
      <c r="AA24" s="50">
        <f t="shared" si="11"/>
        <v>26</v>
      </c>
      <c r="AB24" s="50">
        <f t="shared" si="12"/>
        <v>2048</v>
      </c>
      <c r="AC24" s="51">
        <f t="shared" si="13"/>
        <v>2049</v>
      </c>
      <c r="AD24" s="52">
        <f>(B24*$AD$10)*VLOOKUP(AB24,'GI Factors'!A:M,4,FALSE)+(C24*$AD$10)*VLOOKUP(AB24,'GI Factors'!A:M,7,FALSE)+(D24*$AD$10)*VLOOKUP(AB24,'GI Factors'!A:M,10,FALSE)+(E24*$AD$10)*VLOOKUP(AB24,'GI Factors'!A:M,13,FALSE)</f>
        <v>13542279.523671389</v>
      </c>
      <c r="AE24" s="52">
        <f>(B24*$AE$10)*VLOOKUP(AC24,'GI Factors'!A:M,4,FALSE)+(C24*$AE$10)*VLOOKUP(AC24,'GI Factors'!A:M,7,FALSE)+(D24*$AE$10)*VLOOKUP(AC24,'GI Factors'!A:M,10,FALSE)+(E24*$AE$10)*VLOOKUP(AC24,'GI Factors'!A:M,13,FALSE)</f>
        <v>32530506.75245326</v>
      </c>
      <c r="AF24" s="53">
        <f t="shared" si="14"/>
        <v>46072786.276124649</v>
      </c>
      <c r="AG24" s="53">
        <f t="shared" si="15"/>
        <v>33635846.136124648</v>
      </c>
      <c r="AH24" s="54">
        <f>RATE(AA24,,-F24,AF24)</f>
        <v>3.4085500138633137E-2</v>
      </c>
      <c r="AI24" s="53">
        <f t="shared" si="17"/>
        <v>14071315.329556525</v>
      </c>
      <c r="AJ24" s="53"/>
      <c r="AK24" s="55">
        <f t="shared" si="18"/>
        <v>824588.52381168806</v>
      </c>
      <c r="AL24" s="55">
        <f t="shared" si="19"/>
        <v>852695.03605438664</v>
      </c>
      <c r="AM24" s="55">
        <f t="shared" si="19"/>
        <v>881759.57282403018</v>
      </c>
      <c r="AN24" s="55">
        <f t="shared" si="19"/>
        <v>911814.78886576474</v>
      </c>
      <c r="AO24" s="55">
        <f t="shared" si="20"/>
        <v>867714.48038896732</v>
      </c>
    </row>
    <row r="25" spans="1:41" s="56" customFormat="1" ht="11.25">
      <c r="A25" s="57" t="s">
        <v>53</v>
      </c>
      <c r="B25" s="38">
        <v>279797.71192335984</v>
      </c>
      <c r="C25" s="38">
        <v>305716.0885762751</v>
      </c>
      <c r="D25" s="38">
        <v>35103.777276715213</v>
      </c>
      <c r="E25" s="39">
        <v>-338275.51197020512</v>
      </c>
      <c r="F25" s="58">
        <v>282342.06580614508</v>
      </c>
      <c r="G25" s="58"/>
      <c r="H25" s="58">
        <f t="shared" si="0"/>
        <v>282342.06580614508</v>
      </c>
      <c r="I25" s="59">
        <f>B25*VLOOKUP(I$9,'GI Factors'!A:M,4,FALSE)+C25*VLOOKUP(I$9,'GI Factors'!A:M,7,FALSE)+D25*VLOOKUP(I$9,'GI Factors'!A:M,10,FALSE)+E25*VLOOKUP(I$9,'GI Factors'!A:M,13,FALSE)</f>
        <v>291651.7306957391</v>
      </c>
      <c r="J25" s="60">
        <v>3587451.9699999997</v>
      </c>
      <c r="K25" s="59">
        <v>110253</v>
      </c>
      <c r="L25" s="61"/>
      <c r="M25" s="59">
        <f t="shared" si="1"/>
        <v>3697704.9699999997</v>
      </c>
      <c r="N25" s="62">
        <v>-2839563.8168049576</v>
      </c>
      <c r="O25" s="63"/>
      <c r="P25" s="62">
        <f t="shared" si="2"/>
        <v>858141.1531950424</v>
      </c>
      <c r="Q25" s="63">
        <f t="shared" si="3"/>
        <v>0</v>
      </c>
      <c r="R25" s="63">
        <f t="shared" si="4"/>
        <v>0</v>
      </c>
      <c r="S25" s="60">
        <f t="shared" si="5"/>
        <v>0</v>
      </c>
      <c r="T25" s="46">
        <f t="shared" si="6"/>
        <v>0</v>
      </c>
      <c r="U25" s="46">
        <f t="shared" si="7"/>
        <v>0</v>
      </c>
      <c r="V25" s="46">
        <f t="shared" si="8"/>
        <v>0</v>
      </c>
      <c r="W25" s="64">
        <f t="shared" si="9"/>
        <v>82</v>
      </c>
      <c r="X25" s="59">
        <f t="shared" si="10"/>
        <v>858141.15319504216</v>
      </c>
      <c r="Y25" s="65">
        <v>1974</v>
      </c>
      <c r="Z25" s="66">
        <v>2056</v>
      </c>
      <c r="AA25" s="50">
        <f t="shared" si="11"/>
        <v>39</v>
      </c>
      <c r="AB25" s="50">
        <f t="shared" si="12"/>
        <v>2061</v>
      </c>
      <c r="AC25" s="51">
        <f t="shared" si="13"/>
        <v>2062</v>
      </c>
      <c r="AD25" s="52">
        <f>(B25*$AD$10)*VLOOKUP(AB25,'GI Factors'!A:M,4,FALSE)+(C25*$AD$10)*VLOOKUP(AB25,'GI Factors'!A:M,7,FALSE)+(D25*$AD$10)*VLOOKUP(AB25,'GI Factors'!A:M,10,FALSE)+(E25*$AD$10)*VLOOKUP(AB25,'GI Factors'!A:M,13,FALSE)</f>
        <v>478054.61300434428</v>
      </c>
      <c r="AE25" s="52">
        <f>(B25*$AE$10)*VLOOKUP(AC25,'GI Factors'!A:M,4,FALSE)+(C25*$AE$10)*VLOOKUP(AC25,'GI Factors'!A:M,7,FALSE)+(D25*$AE$10)*VLOOKUP(AC25,'GI Factors'!A:M,10,FALSE)+(E25*$AE$10)*VLOOKUP(AC25,'GI Factors'!A:M,13,FALSE)</f>
        <v>1158400.6093675969</v>
      </c>
      <c r="AF25" s="53">
        <f t="shared" si="14"/>
        <v>1636455.2223719412</v>
      </c>
      <c r="AG25" s="53">
        <f t="shared" si="15"/>
        <v>778314.06917689904</v>
      </c>
      <c r="AH25" s="54">
        <v>0</v>
      </c>
      <c r="AI25" s="53">
        <f t="shared" si="17"/>
        <v>778314.06917689904</v>
      </c>
      <c r="AJ25" s="53"/>
      <c r="AK25" s="55">
        <f t="shared" si="18"/>
        <v>19956.771004535873</v>
      </c>
      <c r="AL25" s="55">
        <f t="shared" si="19"/>
        <v>19956.771004535873</v>
      </c>
      <c r="AM25" s="55">
        <f t="shared" si="19"/>
        <v>19956.771004535873</v>
      </c>
      <c r="AN25" s="55">
        <f t="shared" si="19"/>
        <v>19956.771004535873</v>
      </c>
      <c r="AO25" s="55">
        <f t="shared" si="20"/>
        <v>19956.771004535873</v>
      </c>
    </row>
    <row r="26" spans="1:41" s="56" customFormat="1" ht="11.25">
      <c r="A26" s="57" t="s">
        <v>54</v>
      </c>
      <c r="B26" s="38">
        <v>7175939.3844995787</v>
      </c>
      <c r="C26" s="38">
        <v>7840664.9768835977</v>
      </c>
      <c r="D26" s="38">
        <v>537474.77375697368</v>
      </c>
      <c r="E26" s="39">
        <v>-6883370.5204164311</v>
      </c>
      <c r="F26" s="58">
        <v>8670708.6147237197</v>
      </c>
      <c r="G26" s="58"/>
      <c r="H26" s="58">
        <f t="shared" si="0"/>
        <v>8670708.6147237197</v>
      </c>
      <c r="I26" s="59">
        <f>B26*VLOOKUP(I$9,'GI Factors'!A:M,4,FALSE)+C26*VLOOKUP(I$9,'GI Factors'!A:M,7,FALSE)+D26*VLOOKUP(I$9,'GI Factors'!A:M,10,FALSE)+E26*VLOOKUP(I$9,'GI Factors'!A:M,13,FALSE)</f>
        <v>8827243.8595834728</v>
      </c>
      <c r="J26" s="60">
        <v>8783850.2699999996</v>
      </c>
      <c r="K26" s="59">
        <v>671970</v>
      </c>
      <c r="L26" s="61"/>
      <c r="M26" s="59">
        <f t="shared" si="1"/>
        <v>9455820.2699999996</v>
      </c>
      <c r="N26" s="62"/>
      <c r="O26" s="63"/>
      <c r="P26" s="62">
        <f t="shared" si="2"/>
        <v>9998355.0989906006</v>
      </c>
      <c r="Q26" s="63">
        <f t="shared" si="3"/>
        <v>-542534.828990601</v>
      </c>
      <c r="R26" s="63">
        <f t="shared" si="4"/>
        <v>0</v>
      </c>
      <c r="S26" s="60">
        <f t="shared" si="5"/>
        <v>-542534.828990601</v>
      </c>
      <c r="T26" s="46">
        <f t="shared" si="6"/>
        <v>1.2353845410809035E-11</v>
      </c>
      <c r="U26" s="46">
        <f t="shared" si="7"/>
        <v>0</v>
      </c>
      <c r="V26" s="46">
        <f t="shared" si="8"/>
        <v>1.2353845410809035E-11</v>
      </c>
      <c r="W26" s="64">
        <f t="shared" si="9"/>
        <v>41</v>
      </c>
      <c r="X26" s="59">
        <f t="shared" si="10"/>
        <v>9455820.2699999996</v>
      </c>
      <c r="Y26" s="65">
        <v>2002</v>
      </c>
      <c r="Z26" s="66">
        <v>2043</v>
      </c>
      <c r="AA26" s="50">
        <f t="shared" si="11"/>
        <v>26</v>
      </c>
      <c r="AB26" s="50">
        <f t="shared" si="12"/>
        <v>2048</v>
      </c>
      <c r="AC26" s="51">
        <f t="shared" si="13"/>
        <v>2049</v>
      </c>
      <c r="AD26" s="52">
        <f>(B26*$AD$10)*VLOOKUP(AB26,'GI Factors'!A:M,4,FALSE)+(C26*$AD$10)*VLOOKUP(AB26,'GI Factors'!A:M,7,FALSE)+(D26*$AD$10)*VLOOKUP(AB26,'GI Factors'!A:M,10,FALSE)+(E26*$AD$10)*VLOOKUP(AB26,'GI Factors'!A:M,13,FALSE)</f>
        <v>7993553.9747853642</v>
      </c>
      <c r="AE26" s="52">
        <f>(B26*$AE$10)*VLOOKUP(AC26,'GI Factors'!A:M,4,FALSE)+(C26*$AE$10)*VLOOKUP(AC26,'GI Factors'!A:M,7,FALSE)+(D26*$AE$10)*VLOOKUP(AC26,'GI Factors'!A:M,10,FALSE)+(E26*$AE$10)*VLOOKUP(AC26,'GI Factors'!A:M,13,FALSE)</f>
        <v>19335283.295788944</v>
      </c>
      <c r="AF26" s="53">
        <f t="shared" si="14"/>
        <v>27328837.270574309</v>
      </c>
      <c r="AG26" s="53">
        <f t="shared" si="15"/>
        <v>17873017.000574309</v>
      </c>
      <c r="AH26" s="54">
        <f t="shared" ref="AH26:AH43" si="21">RATE(AA26,,-F26,AF26)</f>
        <v>4.5142809605123596E-2</v>
      </c>
      <c r="AI26" s="53">
        <f t="shared" si="17"/>
        <v>5670629.9263176331</v>
      </c>
      <c r="AJ26" s="53"/>
      <c r="AK26" s="55">
        <f t="shared" si="18"/>
        <v>374949.65819136356</v>
      </c>
      <c r="AL26" s="55">
        <f t="shared" si="19"/>
        <v>391875.93922260246</v>
      </c>
      <c r="AM26" s="55">
        <f t="shared" si="19"/>
        <v>409566.32013575739</v>
      </c>
      <c r="AN26" s="55">
        <f t="shared" si="19"/>
        <v>428055.29454631702</v>
      </c>
      <c r="AO26" s="55">
        <f t="shared" si="20"/>
        <v>401111.80302401009</v>
      </c>
    </row>
    <row r="27" spans="1:41" s="56" customFormat="1" ht="11.25">
      <c r="A27" s="57" t="s">
        <v>55</v>
      </c>
      <c r="B27" s="38">
        <v>1188218.3529118234</v>
      </c>
      <c r="C27" s="38">
        <v>1298286.0536266556</v>
      </c>
      <c r="D27" s="38">
        <v>110757.46006480232</v>
      </c>
      <c r="E27" s="39">
        <v>-1089776.1652349504</v>
      </c>
      <c r="F27" s="58">
        <v>1507485.701368331</v>
      </c>
      <c r="G27" s="58"/>
      <c r="H27" s="58">
        <f t="shared" si="0"/>
        <v>1507485.701368331</v>
      </c>
      <c r="I27" s="59">
        <f>B27*VLOOKUP(I$9,'GI Factors'!A:M,4,FALSE)+C27*VLOOKUP(I$9,'GI Factors'!A:M,7,FALSE)+D27*VLOOKUP(I$9,'GI Factors'!A:M,10,FALSE)+E27*VLOOKUP(I$9,'GI Factors'!A:M,13,FALSE)</f>
        <v>1531526.6617934653</v>
      </c>
      <c r="J27" s="60">
        <v>2875046</v>
      </c>
      <c r="K27" s="59">
        <v>282126</v>
      </c>
      <c r="L27" s="61"/>
      <c r="M27" s="59">
        <f t="shared" si="1"/>
        <v>3157172</v>
      </c>
      <c r="N27" s="62">
        <v>-1534038.1242516879</v>
      </c>
      <c r="O27" s="63"/>
      <c r="P27" s="62">
        <f t="shared" si="2"/>
        <v>1623133.8757483121</v>
      </c>
      <c r="Q27" s="63">
        <f t="shared" si="3"/>
        <v>0</v>
      </c>
      <c r="R27" s="63">
        <f t="shared" si="4"/>
        <v>0</v>
      </c>
      <c r="S27" s="60">
        <f t="shared" si="5"/>
        <v>0</v>
      </c>
      <c r="T27" s="46">
        <f t="shared" si="6"/>
        <v>0</v>
      </c>
      <c r="U27" s="46">
        <f t="shared" si="7"/>
        <v>0</v>
      </c>
      <c r="V27" s="46">
        <f t="shared" si="8"/>
        <v>0</v>
      </c>
      <c r="W27" s="64">
        <f t="shared" si="9"/>
        <v>40</v>
      </c>
      <c r="X27" s="59">
        <f t="shared" si="10"/>
        <v>1623133.8757483121</v>
      </c>
      <c r="Y27" s="65">
        <v>2003</v>
      </c>
      <c r="Z27" s="66">
        <v>2043</v>
      </c>
      <c r="AA27" s="50">
        <f t="shared" si="11"/>
        <v>26</v>
      </c>
      <c r="AB27" s="50">
        <f t="shared" si="12"/>
        <v>2048</v>
      </c>
      <c r="AC27" s="51">
        <f t="shared" si="13"/>
        <v>2049</v>
      </c>
      <c r="AD27" s="52">
        <f>(B27*$AD$10)*VLOOKUP(AB27,'GI Factors'!A:M,4,FALSE)+(C27*$AD$10)*VLOOKUP(AB27,'GI Factors'!A:M,7,FALSE)+(D27*$AD$10)*VLOOKUP(AB27,'GI Factors'!A:M,10,FALSE)+(E27*$AD$10)*VLOOKUP(AB27,'GI Factors'!A:M,13,FALSE)</f>
        <v>1356983.5601449357</v>
      </c>
      <c r="AE27" s="52">
        <f>(B27*$AE$10)*VLOOKUP(AC27,'GI Factors'!A:M,4,FALSE)+(C27*$AE$10)*VLOOKUP(AC27,'GI Factors'!A:M,7,FALSE)+(D27*$AE$10)*VLOOKUP(AC27,'GI Factors'!A:M,10,FALSE)+(E27*$AE$10)*VLOOKUP(AC27,'GI Factors'!A:M,13,FALSE)</f>
        <v>3280541.7991359564</v>
      </c>
      <c r="AF27" s="53">
        <f t="shared" si="14"/>
        <v>4637525.3592808917</v>
      </c>
      <c r="AG27" s="53">
        <f t="shared" si="15"/>
        <v>3014391.4835325796</v>
      </c>
      <c r="AH27" s="54">
        <f t="shared" si="21"/>
        <v>4.4168298561072579E-2</v>
      </c>
      <c r="AI27" s="53">
        <f t="shared" si="17"/>
        <v>979865.70588941593</v>
      </c>
      <c r="AJ27" s="53"/>
      <c r="AK27" s="55">
        <f t="shared" si="18"/>
        <v>64122.978242353907</v>
      </c>
      <c r="AL27" s="55">
        <f t="shared" si="19"/>
        <v>66955.181089987353</v>
      </c>
      <c r="AM27" s="55">
        <f t="shared" si="19"/>
        <v>69912.477518580592</v>
      </c>
      <c r="AN27" s="55">
        <f t="shared" si="19"/>
        <v>73000.392698765529</v>
      </c>
      <c r="AO27" s="55">
        <f t="shared" si="20"/>
        <v>68497.757387421851</v>
      </c>
    </row>
    <row r="28" spans="1:41" s="56" customFormat="1" ht="11.25">
      <c r="A28" s="57" t="s">
        <v>56</v>
      </c>
      <c r="B28" s="38">
        <v>1248029.2271268519</v>
      </c>
      <c r="C28" s="38">
        <v>1363637.3618759331</v>
      </c>
      <c r="D28" s="38">
        <v>117828.17030744902</v>
      </c>
      <c r="E28" s="39">
        <v>-1066074.5979666132</v>
      </c>
      <c r="F28" s="58">
        <v>1663420.1613436211</v>
      </c>
      <c r="G28" s="58"/>
      <c r="H28" s="58">
        <f t="shared" si="0"/>
        <v>1663420.1613436211</v>
      </c>
      <c r="I28" s="59">
        <f>B28*VLOOKUP(I$9,'GI Factors'!A:M,4,FALSE)+C28*VLOOKUP(I$9,'GI Factors'!A:M,7,FALSE)+D28*VLOOKUP(I$9,'GI Factors'!A:M,10,FALSE)+E28*VLOOKUP(I$9,'GI Factors'!A:M,13,FALSE)</f>
        <v>1685293.7342759939</v>
      </c>
      <c r="J28" s="60">
        <v>0</v>
      </c>
      <c r="K28" s="59">
        <v>0</v>
      </c>
      <c r="L28" s="61"/>
      <c r="M28" s="59">
        <f t="shared" si="1"/>
        <v>0</v>
      </c>
      <c r="N28" s="62"/>
      <c r="O28" s="63"/>
      <c r="P28" s="62">
        <f t="shared" si="2"/>
        <v>196674.84141829237</v>
      </c>
      <c r="Q28" s="63">
        <f t="shared" si="3"/>
        <v>-196674.84141829237</v>
      </c>
      <c r="R28" s="63">
        <f t="shared" si="4"/>
        <v>0</v>
      </c>
      <c r="S28" s="60">
        <f t="shared" si="5"/>
        <v>-196674.84141829237</v>
      </c>
      <c r="T28" s="46">
        <f t="shared" si="6"/>
        <v>4.478404808770459E-12</v>
      </c>
      <c r="U28" s="46">
        <f t="shared" si="7"/>
        <v>0</v>
      </c>
      <c r="V28" s="46">
        <f t="shared" si="8"/>
        <v>4.478404808770459E-12</v>
      </c>
      <c r="W28" s="64">
        <f t="shared" si="9"/>
        <v>40</v>
      </c>
      <c r="X28" s="59">
        <f t="shared" si="10"/>
        <v>0</v>
      </c>
      <c r="Y28" s="65">
        <v>2016</v>
      </c>
      <c r="Z28" s="66">
        <v>2056</v>
      </c>
      <c r="AA28" s="50">
        <f t="shared" si="11"/>
        <v>39</v>
      </c>
      <c r="AB28" s="50">
        <f t="shared" si="12"/>
        <v>2061</v>
      </c>
      <c r="AC28" s="51">
        <f t="shared" si="13"/>
        <v>2062</v>
      </c>
      <c r="AD28" s="52">
        <f>(B28*$AD$10)*VLOOKUP(AB28,'GI Factors'!A:M,4,FALSE)+(C28*$AD$10)*VLOOKUP(AB28,'GI Factors'!A:M,7,FALSE)+(D28*$AD$10)*VLOOKUP(AB28,'GI Factors'!A:M,10,FALSE)+(E28*$AD$10)*VLOOKUP(AB28,'GI Factors'!A:M,13,FALSE)</f>
        <v>2301998.5842957357</v>
      </c>
      <c r="AE28" s="52">
        <f>(B28*$AE$10)*VLOOKUP(AC28,'GI Factors'!A:M,4,FALSE)+(C28*$AE$10)*VLOOKUP(AC28,'GI Factors'!A:M,7,FALSE)+(D28*$AE$10)*VLOOKUP(AC28,'GI Factors'!A:M,10,FALSE)+(E28*$AE$10)*VLOOKUP(AC28,'GI Factors'!A:M,13,FALSE)</f>
        <v>5564995.0724359443</v>
      </c>
      <c r="AF28" s="53">
        <f t="shared" si="14"/>
        <v>7866993.65673168</v>
      </c>
      <c r="AG28" s="53">
        <f t="shared" si="15"/>
        <v>7866993.65673168</v>
      </c>
      <c r="AH28" s="54">
        <f t="shared" si="21"/>
        <v>4.0645329603405694E-2</v>
      </c>
      <c r="AI28" s="53">
        <f t="shared" si="17"/>
        <v>1663420.161343615</v>
      </c>
      <c r="AJ28" s="53"/>
      <c r="AK28" s="55">
        <f t="shared" si="18"/>
        <v>85739.210257254425</v>
      </c>
      <c r="AL28" s="55">
        <f t="shared" si="19"/>
        <v>89224.108718096235</v>
      </c>
      <c r="AM28" s="55">
        <f t="shared" si="19"/>
        <v>92850.652025513366</v>
      </c>
      <c r="AN28" s="55">
        <f t="shared" si="19"/>
        <v>96624.59738098149</v>
      </c>
      <c r="AO28" s="55">
        <f t="shared" si="20"/>
        <v>91109.642095461371</v>
      </c>
    </row>
    <row r="29" spans="1:41" s="56" customFormat="1" ht="11.25">
      <c r="A29" s="57" t="s">
        <v>57</v>
      </c>
      <c r="B29" s="38">
        <v>15784388.124417491</v>
      </c>
      <c r="C29" s="38">
        <v>14909240.261760585</v>
      </c>
      <c r="D29" s="38">
        <v>668308.13680099987</v>
      </c>
      <c r="E29" s="39">
        <v>-828432.67611856281</v>
      </c>
      <c r="F29" s="58">
        <v>30533503.846860513</v>
      </c>
      <c r="G29" s="58"/>
      <c r="H29" s="58">
        <f t="shared" si="0"/>
        <v>30533503.846860513</v>
      </c>
      <c r="I29" s="59">
        <f>B29*VLOOKUP(I$9,'GI Factors'!A:M,4,FALSE)+C29*VLOOKUP(I$9,'GI Factors'!A:M,7,FALSE)+D29*VLOOKUP(I$9,'GI Factors'!A:M,10,FALSE)+E29*VLOOKUP(I$9,'GI Factors'!A:M,13,FALSE)</f>
        <v>30351080.267336544</v>
      </c>
      <c r="J29" s="60">
        <v>22689049.920000002</v>
      </c>
      <c r="K29" s="59">
        <v>537602</v>
      </c>
      <c r="L29" s="61"/>
      <c r="M29" s="59">
        <f t="shared" si="1"/>
        <v>23226651.920000002</v>
      </c>
      <c r="N29" s="62"/>
      <c r="O29" s="63">
        <v>15554171.7154046</v>
      </c>
      <c r="P29" s="62">
        <f t="shared" si="2"/>
        <v>38780823.635404631</v>
      </c>
      <c r="Q29" s="63">
        <f t="shared" si="3"/>
        <v>0</v>
      </c>
      <c r="R29" s="63">
        <f t="shared" si="4"/>
        <v>0</v>
      </c>
      <c r="S29" s="60">
        <f t="shared" si="5"/>
        <v>0</v>
      </c>
      <c r="T29" s="46">
        <f t="shared" si="6"/>
        <v>0</v>
      </c>
      <c r="U29" s="46">
        <f t="shared" si="7"/>
        <v>0</v>
      </c>
      <c r="V29" s="46">
        <f t="shared" si="8"/>
        <v>0</v>
      </c>
      <c r="W29" s="64">
        <f t="shared" si="9"/>
        <v>52</v>
      </c>
      <c r="X29" s="59">
        <f t="shared" si="10"/>
        <v>38780823.635404602</v>
      </c>
      <c r="Y29" s="65">
        <v>1976</v>
      </c>
      <c r="Z29" s="66">
        <v>2028</v>
      </c>
      <c r="AA29" s="50">
        <f t="shared" si="11"/>
        <v>11</v>
      </c>
      <c r="AB29" s="50">
        <f t="shared" si="12"/>
        <v>2033</v>
      </c>
      <c r="AC29" s="51">
        <f t="shared" si="13"/>
        <v>2034</v>
      </c>
      <c r="AD29" s="52">
        <f>(B29*$AD$10)*VLOOKUP(AB29,'GI Factors'!A:M,4,FALSE)+(C29*$AD$10)*VLOOKUP(AB29,'GI Factors'!A:M,7,FALSE)+(D29*$AD$10)*VLOOKUP(AB29,'GI Factors'!A:M,10,FALSE)+(E29*$AD$10)*VLOOKUP(AB29,'GI Factors'!A:M,13,FALSE)</f>
        <v>14481287.244762709</v>
      </c>
      <c r="AE29" s="52">
        <f>(B29*$AE$10)*VLOOKUP(AC29,'GI Factors'!A:M,4,FALSE)+(C29*$AE$10)*VLOOKUP(AC29,'GI Factors'!A:M,7,FALSE)+(D29*$AE$10)*VLOOKUP(AC29,'GI Factors'!A:M,10,FALSE)+(E29*$AE$10)*VLOOKUP(AC29,'GI Factors'!A:M,13,FALSE)</f>
        <v>34704147.609896816</v>
      </c>
      <c r="AF29" s="53">
        <f t="shared" si="14"/>
        <v>49185434.854659528</v>
      </c>
      <c r="AG29" s="53">
        <f t="shared" si="15"/>
        <v>10404611.219254926</v>
      </c>
      <c r="AH29" s="54">
        <f t="shared" si="21"/>
        <v>4.4296024366286817E-2</v>
      </c>
      <c r="AI29" s="53">
        <f t="shared" si="17"/>
        <v>6459010.4291435834</v>
      </c>
      <c r="AJ29" s="53"/>
      <c r="AK29" s="55">
        <f t="shared" si="18"/>
        <v>754472.56176123465</v>
      </c>
      <c r="AL29" s="55">
        <f t="shared" si="19"/>
        <v>787892.69674070517</v>
      </c>
      <c r="AM29" s="55">
        <f t="shared" si="19"/>
        <v>822793.2108335509</v>
      </c>
      <c r="AN29" s="55">
        <f t="shared" si="19"/>
        <v>859239.67894904932</v>
      </c>
      <c r="AO29" s="55">
        <f t="shared" si="20"/>
        <v>806099.53707113501</v>
      </c>
    </row>
    <row r="30" spans="1:41" s="56" customFormat="1" ht="11.25">
      <c r="A30" s="57" t="s">
        <v>58</v>
      </c>
      <c r="B30" s="38">
        <v>3044964</v>
      </c>
      <c r="C30" s="38">
        <v>3859696</v>
      </c>
      <c r="D30" s="38">
        <v>1662840</v>
      </c>
      <c r="E30" s="39">
        <v>-2151560</v>
      </c>
      <c r="F30" s="58">
        <v>6415940</v>
      </c>
      <c r="G30" s="58"/>
      <c r="H30" s="58">
        <f t="shared" si="0"/>
        <v>6415940</v>
      </c>
      <c r="I30" s="59">
        <f>B30*VLOOKUP(I$9,'GI Factors'!A:M,4,FALSE)+C30*VLOOKUP(I$9,'GI Factors'!A:M,7,FALSE)+D30*VLOOKUP(I$9,'GI Factors'!A:M,10,FALSE)+E30*VLOOKUP(I$9,'GI Factors'!A:M,13,FALSE)</f>
        <v>6445248.9221260464</v>
      </c>
      <c r="J30" s="60">
        <v>0</v>
      </c>
      <c r="K30" s="59">
        <v>0</v>
      </c>
      <c r="L30" s="61"/>
      <c r="M30" s="59">
        <f t="shared" si="1"/>
        <v>0</v>
      </c>
      <c r="N30" s="62"/>
      <c r="O30" s="63"/>
      <c r="P30" s="62">
        <f t="shared" si="2"/>
        <v>594224.43542699516</v>
      </c>
      <c r="Q30" s="63">
        <f t="shared" si="3"/>
        <v>-594224.43542699516</v>
      </c>
      <c r="R30" s="63">
        <f t="shared" si="4"/>
        <v>0</v>
      </c>
      <c r="S30" s="60">
        <f t="shared" si="5"/>
        <v>-594224.43542699516</v>
      </c>
      <c r="T30" s="46">
        <f t="shared" si="6"/>
        <v>1.3530848937843125E-11</v>
      </c>
      <c r="U30" s="46">
        <f t="shared" si="7"/>
        <v>0</v>
      </c>
      <c r="V30" s="46">
        <f t="shared" si="8"/>
        <v>1.3530848937843125E-11</v>
      </c>
      <c r="W30" s="64">
        <f t="shared" si="9"/>
        <v>30</v>
      </c>
      <c r="X30" s="59">
        <f t="shared" si="10"/>
        <v>0</v>
      </c>
      <c r="Y30" s="65">
        <v>2016</v>
      </c>
      <c r="Z30" s="66">
        <v>2046</v>
      </c>
      <c r="AA30" s="50">
        <f t="shared" si="11"/>
        <v>29</v>
      </c>
      <c r="AB30" s="50">
        <f t="shared" si="12"/>
        <v>2051</v>
      </c>
      <c r="AC30" s="51">
        <f t="shared" si="13"/>
        <v>2052</v>
      </c>
      <c r="AD30" s="52">
        <f>(B30*$AD$10)*VLOOKUP(AB30,'GI Factors'!A:M,4,FALSE)+(C30*$AD$10)*VLOOKUP(AB30,'GI Factors'!A:M,7,FALSE)+(D30*$AD$10)*VLOOKUP(AB30,'GI Factors'!A:M,10,FALSE)+(E30*$AD$10)*VLOOKUP(AB30,'GI Factors'!A:M,13,FALSE)</f>
        <v>5233642.9176673973</v>
      </c>
      <c r="AE30" s="52">
        <f>(B30*$AE$10)*VLOOKUP(AC30,'GI Factors'!A:M,4,FALSE)+(C30*$AE$10)*VLOOKUP(AC30,'GI Factors'!A:M,7,FALSE)+(D30*$AE$10)*VLOOKUP(AC30,'GI Factors'!A:M,10,FALSE)+(E30*$AE$10)*VLOOKUP(AC30,'GI Factors'!A:M,13,FALSE)</f>
        <v>12593090.145142481</v>
      </c>
      <c r="AF30" s="53">
        <f t="shared" si="14"/>
        <v>17826733.062809877</v>
      </c>
      <c r="AG30" s="53">
        <f t="shared" si="15"/>
        <v>17826733.062809877</v>
      </c>
      <c r="AH30" s="54">
        <f t="shared" si="21"/>
        <v>3.5866632441817599E-2</v>
      </c>
      <c r="AI30" s="53">
        <f t="shared" si="17"/>
        <v>6415939.9999999925</v>
      </c>
      <c r="AJ30" s="53"/>
      <c r="AK30" s="55">
        <f t="shared" si="18"/>
        <v>359506.56714384258</v>
      </c>
      <c r="AL30" s="55">
        <f t="shared" si="19"/>
        <v>372400.8570480104</v>
      </c>
      <c r="AM30" s="55">
        <f t="shared" si="19"/>
        <v>385757.62170876923</v>
      </c>
      <c r="AN30" s="55">
        <f t="shared" si="19"/>
        <v>399593.44853822736</v>
      </c>
      <c r="AO30" s="55">
        <f t="shared" si="20"/>
        <v>379314.62360971246</v>
      </c>
    </row>
    <row r="31" spans="1:41" s="56" customFormat="1" ht="11.25">
      <c r="A31" s="57" t="s">
        <v>59</v>
      </c>
      <c r="B31" s="38">
        <v>7186697.5706924712</v>
      </c>
      <c r="C31" s="38">
        <v>7852419.7213397212</v>
      </c>
      <c r="D31" s="38">
        <v>488618.9295211304</v>
      </c>
      <c r="E31" s="39">
        <v>-5312777.4283466302</v>
      </c>
      <c r="F31" s="58">
        <v>10214958.793206694</v>
      </c>
      <c r="G31" s="58"/>
      <c r="H31" s="58">
        <f t="shared" si="0"/>
        <v>10214958.793206694</v>
      </c>
      <c r="I31" s="59">
        <f>B31*VLOOKUP(I$9,'GI Factors'!A:M,4,FALSE)+C31*VLOOKUP(I$9,'GI Factors'!A:M,7,FALSE)+D31*VLOOKUP(I$9,'GI Factors'!A:M,10,FALSE)+E31*VLOOKUP(I$9,'GI Factors'!A:M,13,FALSE)</f>
        <v>10302719.802364569</v>
      </c>
      <c r="J31" s="60">
        <v>18259257</v>
      </c>
      <c r="K31" s="59">
        <v>611052</v>
      </c>
      <c r="L31" s="61"/>
      <c r="M31" s="59">
        <f t="shared" si="1"/>
        <v>18870309</v>
      </c>
      <c r="N31" s="62">
        <v>-4734057.5252237748</v>
      </c>
      <c r="O31" s="63">
        <v>0</v>
      </c>
      <c r="P31" s="62">
        <f t="shared" si="2"/>
        <v>14136251.474776225</v>
      </c>
      <c r="Q31" s="63">
        <f t="shared" si="3"/>
        <v>0</v>
      </c>
      <c r="R31" s="63">
        <f t="shared" si="4"/>
        <v>0</v>
      </c>
      <c r="S31" s="60">
        <f t="shared" si="5"/>
        <v>0</v>
      </c>
      <c r="T31" s="46">
        <f t="shared" si="6"/>
        <v>0</v>
      </c>
      <c r="U31" s="46">
        <f t="shared" si="7"/>
        <v>0</v>
      </c>
      <c r="V31" s="46">
        <f t="shared" si="8"/>
        <v>0</v>
      </c>
      <c r="W31" s="64">
        <f t="shared" si="9"/>
        <v>52</v>
      </c>
      <c r="X31" s="59">
        <f t="shared" si="10"/>
        <v>14136251.474776225</v>
      </c>
      <c r="Y31" s="65">
        <v>1976</v>
      </c>
      <c r="Z31" s="66">
        <v>2028</v>
      </c>
      <c r="AA31" s="50">
        <f t="shared" si="11"/>
        <v>11</v>
      </c>
      <c r="AB31" s="50">
        <f t="shared" si="12"/>
        <v>2033</v>
      </c>
      <c r="AC31" s="51">
        <f t="shared" si="13"/>
        <v>2034</v>
      </c>
      <c r="AD31" s="52">
        <f>(B31*$AD$10)*VLOOKUP(AB31,'GI Factors'!A:M,4,FALSE)+(C31*$AD$10)*VLOOKUP(AB31,'GI Factors'!A:M,7,FALSE)+(D31*$AD$10)*VLOOKUP(AB31,'GI Factors'!A:M,10,FALSE)+(E31*$AD$10)*VLOOKUP(AB31,'GI Factors'!A:M,13,FALSE)</f>
        <v>5260468.3028931692</v>
      </c>
      <c r="AE31" s="52">
        <f>(B31*$AE$10)*VLOOKUP(AC31,'GI Factors'!A:M,4,FALSE)+(C31*$AE$10)*VLOOKUP(AC31,'GI Factors'!A:M,7,FALSE)+(D31*$AE$10)*VLOOKUP(AC31,'GI Factors'!A:M,10,FALSE)+(E31*$AE$10)*VLOOKUP(AC31,'GI Factors'!A:M,13,FALSE)</f>
        <v>12668436.006579116</v>
      </c>
      <c r="AF31" s="53">
        <f t="shared" si="14"/>
        <v>17928904.309472285</v>
      </c>
      <c r="AG31" s="53">
        <f t="shared" si="15"/>
        <v>3792652.83469606</v>
      </c>
      <c r="AH31" s="54">
        <f t="shared" si="21"/>
        <v>5.2472236351570889E-2</v>
      </c>
      <c r="AI31" s="53">
        <f t="shared" si="17"/>
        <v>2160856.6677937252</v>
      </c>
      <c r="AJ31" s="53"/>
      <c r="AK31" s="55">
        <f t="shared" si="18"/>
        <v>263531.61095518345</v>
      </c>
      <c r="AL31" s="55">
        <f t="shared" si="19"/>
        <v>277359.70393133408</v>
      </c>
      <c r="AM31" s="55">
        <f t="shared" si="19"/>
        <v>291913.38787042076</v>
      </c>
      <c r="AN31" s="55">
        <f t="shared" si="19"/>
        <v>307230.73615294526</v>
      </c>
      <c r="AO31" s="55">
        <f t="shared" si="20"/>
        <v>285008.8597274709</v>
      </c>
    </row>
    <row r="32" spans="1:41" s="56" customFormat="1" ht="11.25">
      <c r="A32" s="57" t="s">
        <v>60</v>
      </c>
      <c r="B32" s="38">
        <v>7186697.5706924712</v>
      </c>
      <c r="C32" s="38">
        <v>7852419.7213397212</v>
      </c>
      <c r="D32" s="38">
        <v>488618.9295211304</v>
      </c>
      <c r="E32" s="39">
        <v>-5312777.4283466302</v>
      </c>
      <c r="F32" s="58">
        <v>10214958.793206694</v>
      </c>
      <c r="G32" s="58"/>
      <c r="H32" s="58">
        <f t="shared" si="0"/>
        <v>10214958.793206694</v>
      </c>
      <c r="I32" s="59">
        <f>B32*VLOOKUP(I$9,'GI Factors'!A:M,4,FALSE)+C32*VLOOKUP(I$9,'GI Factors'!A:M,7,FALSE)+D32*VLOOKUP(I$9,'GI Factors'!A:M,10,FALSE)+E32*VLOOKUP(I$9,'GI Factors'!A:M,13,FALSE)</f>
        <v>10302719.802364569</v>
      </c>
      <c r="J32" s="60">
        <v>18207600</v>
      </c>
      <c r="K32" s="59">
        <v>614575</v>
      </c>
      <c r="L32" s="61"/>
      <c r="M32" s="59">
        <f t="shared" si="1"/>
        <v>18822175</v>
      </c>
      <c r="N32" s="62">
        <v>-4760289.2670805603</v>
      </c>
      <c r="O32" s="63">
        <v>0</v>
      </c>
      <c r="P32" s="62">
        <f t="shared" si="2"/>
        <v>14061885.73291944</v>
      </c>
      <c r="Q32" s="63">
        <f t="shared" si="3"/>
        <v>0</v>
      </c>
      <c r="R32" s="63">
        <f t="shared" si="4"/>
        <v>0</v>
      </c>
      <c r="S32" s="60">
        <f t="shared" si="5"/>
        <v>0</v>
      </c>
      <c r="T32" s="46">
        <f t="shared" si="6"/>
        <v>0</v>
      </c>
      <c r="U32" s="46">
        <f t="shared" si="7"/>
        <v>0</v>
      </c>
      <c r="V32" s="46">
        <f t="shared" si="8"/>
        <v>0</v>
      </c>
      <c r="W32" s="64">
        <f t="shared" si="9"/>
        <v>51</v>
      </c>
      <c r="X32" s="59">
        <f t="shared" si="10"/>
        <v>14061885.73291944</v>
      </c>
      <c r="Y32" s="65">
        <v>1977</v>
      </c>
      <c r="Z32" s="66">
        <v>2028</v>
      </c>
      <c r="AA32" s="50">
        <f t="shared" si="11"/>
        <v>11</v>
      </c>
      <c r="AB32" s="50">
        <f t="shared" si="12"/>
        <v>2033</v>
      </c>
      <c r="AC32" s="51">
        <f t="shared" si="13"/>
        <v>2034</v>
      </c>
      <c r="AD32" s="52">
        <f>(B32*$AD$10)*VLOOKUP(AB32,'GI Factors'!A:M,4,FALSE)+(C32*$AD$10)*VLOOKUP(AB32,'GI Factors'!A:M,7,FALSE)+(D32*$AD$10)*VLOOKUP(AB32,'GI Factors'!A:M,10,FALSE)+(E32*$AD$10)*VLOOKUP(AB32,'GI Factors'!A:M,13,FALSE)</f>
        <v>5260468.3028931692</v>
      </c>
      <c r="AE32" s="52">
        <f>(B32*$AE$10)*VLOOKUP(AC32,'GI Factors'!A:M,4,FALSE)+(C32*$AE$10)*VLOOKUP(AC32,'GI Factors'!A:M,7,FALSE)+(D32*$AE$10)*VLOOKUP(AC32,'GI Factors'!A:M,10,FALSE)+(E32*$AE$10)*VLOOKUP(AC32,'GI Factors'!A:M,13,FALSE)</f>
        <v>12668436.006579116</v>
      </c>
      <c r="AF32" s="53">
        <f t="shared" si="14"/>
        <v>17928904.309472285</v>
      </c>
      <c r="AG32" s="53">
        <f t="shared" si="15"/>
        <v>3867018.5765528455</v>
      </c>
      <c r="AH32" s="54">
        <f t="shared" si="21"/>
        <v>5.2472236351570889E-2</v>
      </c>
      <c r="AI32" s="53">
        <f t="shared" si="17"/>
        <v>2203226.4063779158</v>
      </c>
      <c r="AJ32" s="53"/>
      <c r="AK32" s="55">
        <f t="shared" si="18"/>
        <v>268698.89744450076</v>
      </c>
      <c r="AL32" s="55">
        <f t="shared" si="19"/>
        <v>282798.1294986151</v>
      </c>
      <c r="AM32" s="55">
        <f t="shared" si="19"/>
        <v>297637.17978944856</v>
      </c>
      <c r="AN32" s="55">
        <f t="shared" si="19"/>
        <v>313254.86823437549</v>
      </c>
      <c r="AO32" s="55">
        <f t="shared" si="20"/>
        <v>290597.26874173497</v>
      </c>
    </row>
    <row r="33" spans="1:41" s="56" customFormat="1" ht="11.25">
      <c r="A33" s="57" t="s">
        <v>61</v>
      </c>
      <c r="B33" s="38">
        <v>5301701.0527568003</v>
      </c>
      <c r="C33" s="38">
        <v>5792811.16170632</v>
      </c>
      <c r="D33" s="38">
        <v>277266.53811382077</v>
      </c>
      <c r="E33" s="39">
        <v>-4908842.5022155726</v>
      </c>
      <c r="F33" s="58">
        <v>6462936.250361369</v>
      </c>
      <c r="G33" s="58"/>
      <c r="H33" s="58">
        <f t="shared" si="0"/>
        <v>6462936.250361369</v>
      </c>
      <c r="I33" s="59">
        <f>B33*VLOOKUP(I$9,'GI Factors'!A:M,4,FALSE)+C33*VLOOKUP(I$9,'GI Factors'!A:M,7,FALSE)+D33*VLOOKUP(I$9,'GI Factors'!A:M,10,FALSE)+E33*VLOOKUP(I$9,'GI Factors'!A:M,13,FALSE)</f>
        <v>6569385.9342674809</v>
      </c>
      <c r="J33" s="60">
        <v>11786962</v>
      </c>
      <c r="K33" s="59">
        <v>1009476</v>
      </c>
      <c r="L33" s="61"/>
      <c r="M33" s="59">
        <f t="shared" si="1"/>
        <v>12796438</v>
      </c>
      <c r="N33" s="62">
        <v>-6288696.0762690715</v>
      </c>
      <c r="O33" s="63"/>
      <c r="P33" s="62">
        <f t="shared" si="2"/>
        <v>6507741.9237309285</v>
      </c>
      <c r="Q33" s="63">
        <f t="shared" si="3"/>
        <v>0</v>
      </c>
      <c r="R33" s="63">
        <f t="shared" si="4"/>
        <v>0</v>
      </c>
      <c r="S33" s="60">
        <f t="shared" si="5"/>
        <v>0</v>
      </c>
      <c r="T33" s="46">
        <f t="shared" si="6"/>
        <v>0</v>
      </c>
      <c r="U33" s="46">
        <f t="shared" si="7"/>
        <v>0</v>
      </c>
      <c r="V33" s="46">
        <f t="shared" si="8"/>
        <v>0</v>
      </c>
      <c r="W33" s="64">
        <f t="shared" si="9"/>
        <v>40</v>
      </c>
      <c r="X33" s="59">
        <f t="shared" si="10"/>
        <v>6507741.9237309285</v>
      </c>
      <c r="Y33" s="65">
        <v>2005</v>
      </c>
      <c r="Z33" s="66">
        <v>2045</v>
      </c>
      <c r="AA33" s="50">
        <f t="shared" si="11"/>
        <v>28</v>
      </c>
      <c r="AB33" s="50">
        <f t="shared" si="12"/>
        <v>2050</v>
      </c>
      <c r="AC33" s="51">
        <f t="shared" si="13"/>
        <v>2051</v>
      </c>
      <c r="AD33" s="52">
        <f>(B33*$AD$10)*VLOOKUP(AB33,'GI Factors'!A:M,4,FALSE)+(C33*$AD$10)*VLOOKUP(AB33,'GI Factors'!A:M,7,FALSE)+(D33*$AD$10)*VLOOKUP(AB33,'GI Factors'!A:M,10,FALSE)+(E33*$AD$10)*VLOOKUP(AB33,'GI Factors'!A:M,13,FALSE)</f>
        <v>6345445.9650617177</v>
      </c>
      <c r="AE33" s="52">
        <f>(B33*$AE$10)*VLOOKUP(AC33,'GI Factors'!A:M,4,FALSE)+(C33*$AE$10)*VLOOKUP(AC33,'GI Factors'!A:M,7,FALSE)+(D33*$AE$10)*VLOOKUP(AC33,'GI Factors'!A:M,10,FALSE)+(E33*$AE$10)*VLOOKUP(AC33,'GI Factors'!A:M,13,FALSE)</f>
        <v>15347027.114041373</v>
      </c>
      <c r="AF33" s="53">
        <f t="shared" si="14"/>
        <v>21692473.07910309</v>
      </c>
      <c r="AG33" s="53">
        <f t="shared" si="15"/>
        <v>15184731.155372161</v>
      </c>
      <c r="AH33" s="54">
        <f t="shared" si="21"/>
        <v>4.4194496311263098E-2</v>
      </c>
      <c r="AI33" s="53">
        <f t="shared" si="17"/>
        <v>4524055.3752529677</v>
      </c>
      <c r="AJ33" s="53"/>
      <c r="AK33" s="55">
        <f t="shared" si="18"/>
        <v>284785.89290785609</v>
      </c>
      <c r="AL33" s="55">
        <f t="shared" si="19"/>
        <v>297371.86200147209</v>
      </c>
      <c r="AM33" s="55">
        <f t="shared" si="19"/>
        <v>310514.06165976956</v>
      </c>
      <c r="AN33" s="55">
        <f t="shared" si="19"/>
        <v>324237.07421238755</v>
      </c>
      <c r="AO33" s="55">
        <f t="shared" si="20"/>
        <v>304227.22269537137</v>
      </c>
    </row>
    <row r="34" spans="1:41" s="56" customFormat="1" ht="11.25">
      <c r="A34" s="57" t="s">
        <v>62</v>
      </c>
      <c r="B34" s="38">
        <v>20823638.053180333</v>
      </c>
      <c r="C34" s="38">
        <v>24415451.443546228</v>
      </c>
      <c r="D34" s="38">
        <v>1736580.3219031852</v>
      </c>
      <c r="E34" s="39">
        <v>-1503514.065652044</v>
      </c>
      <c r="F34" s="58">
        <v>45472155.752977699</v>
      </c>
      <c r="G34" s="58"/>
      <c r="H34" s="58">
        <f t="shared" si="0"/>
        <v>45472155.752977699</v>
      </c>
      <c r="I34" s="59">
        <f>B34*VLOOKUP(I$9,'GI Factors'!A:M,4,FALSE)+C34*VLOOKUP(I$9,'GI Factors'!A:M,7,FALSE)+D34*VLOOKUP(I$9,'GI Factors'!A:M,10,FALSE)+E34*VLOOKUP(I$9,'GI Factors'!A:M,13,FALSE)</f>
        <v>45059641.477440789</v>
      </c>
      <c r="J34" s="60">
        <v>37572671.740000002</v>
      </c>
      <c r="K34" s="59">
        <v>1215461</v>
      </c>
      <c r="L34" s="61"/>
      <c r="M34" s="59">
        <f t="shared" si="1"/>
        <v>38788132.740000002</v>
      </c>
      <c r="N34" s="62"/>
      <c r="O34" s="63">
        <v>17047784.7511697</v>
      </c>
      <c r="P34" s="62">
        <f t="shared" si="2"/>
        <v>55835917.491169661</v>
      </c>
      <c r="Q34" s="63">
        <f t="shared" si="3"/>
        <v>0</v>
      </c>
      <c r="R34" s="63">
        <f t="shared" si="4"/>
        <v>0</v>
      </c>
      <c r="S34" s="60">
        <f t="shared" si="5"/>
        <v>0</v>
      </c>
      <c r="T34" s="46">
        <f t="shared" si="6"/>
        <v>0</v>
      </c>
      <c r="U34" s="46">
        <f t="shared" si="7"/>
        <v>0</v>
      </c>
      <c r="V34" s="46">
        <f t="shared" si="8"/>
        <v>0</v>
      </c>
      <c r="W34" s="64">
        <f t="shared" si="9"/>
        <v>51</v>
      </c>
      <c r="X34" s="59">
        <f t="shared" si="10"/>
        <v>55835917.491169706</v>
      </c>
      <c r="Y34" s="65">
        <v>1980</v>
      </c>
      <c r="Z34" s="66">
        <v>2031</v>
      </c>
      <c r="AA34" s="50">
        <f t="shared" si="11"/>
        <v>14</v>
      </c>
      <c r="AB34" s="50">
        <f t="shared" si="12"/>
        <v>2036</v>
      </c>
      <c r="AC34" s="51">
        <f t="shared" si="13"/>
        <v>2037</v>
      </c>
      <c r="AD34" s="52">
        <f>(B34*$AD$10)*VLOOKUP(AB34,'GI Factors'!A:M,4,FALSE)+(C34*$AD$10)*VLOOKUP(AB34,'GI Factors'!A:M,7,FALSE)+(D34*$AD$10)*VLOOKUP(AB34,'GI Factors'!A:M,10,FALSE)+(E34*$AD$10)*VLOOKUP(AB34,'GI Factors'!A:M,13,FALSE)</f>
        <v>22674239.53141626</v>
      </c>
      <c r="AE34" s="52">
        <f>(B34*$AE$10)*VLOOKUP(AC34,'GI Factors'!A:M,4,FALSE)+(C34*$AE$10)*VLOOKUP(AC34,'GI Factors'!A:M,7,FALSE)+(D34*$AE$10)*VLOOKUP(AC34,'GI Factors'!A:M,10,FALSE)+(E34*$AE$10)*VLOOKUP(AC34,'GI Factors'!A:M,13,FALSE)</f>
        <v>54288781.875331104</v>
      </c>
      <c r="AF34" s="53">
        <f t="shared" si="14"/>
        <v>76963021.406747371</v>
      </c>
      <c r="AG34" s="53">
        <f t="shared" si="15"/>
        <v>21127103.915577665</v>
      </c>
      <c r="AH34" s="54">
        <f t="shared" si="21"/>
        <v>3.8302836290098362E-2</v>
      </c>
      <c r="AI34" s="53">
        <f t="shared" si="17"/>
        <v>12482552.559640929</v>
      </c>
      <c r="AJ34" s="53"/>
      <c r="AK34" s="55">
        <f t="shared" si="18"/>
        <v>1168508.4232601165</v>
      </c>
      <c r="AL34" s="55">
        <f t="shared" si="19"/>
        <v>1213265.6100998498</v>
      </c>
      <c r="AM34" s="55">
        <f t="shared" si="19"/>
        <v>1259737.1241399106</v>
      </c>
      <c r="AN34" s="55">
        <f t="shared" si="19"/>
        <v>1307988.6289744009</v>
      </c>
      <c r="AO34" s="55">
        <f t="shared" si="20"/>
        <v>1237374.9466185695</v>
      </c>
    </row>
    <row r="35" spans="1:41" s="56" customFormat="1" ht="11.25">
      <c r="A35" s="57" t="s">
        <v>63</v>
      </c>
      <c r="B35" s="38">
        <v>4980657.0258148527</v>
      </c>
      <c r="C35" s="38">
        <v>5442028.0066090683</v>
      </c>
      <c r="D35" s="38">
        <v>1972145.8932054131</v>
      </c>
      <c r="E35" s="39">
        <v>-1808938.9477899612</v>
      </c>
      <c r="F35" s="58">
        <v>10585891.977839373</v>
      </c>
      <c r="G35" s="58"/>
      <c r="H35" s="58">
        <f t="shared" si="0"/>
        <v>10585891.977839373</v>
      </c>
      <c r="I35" s="59">
        <f>B35*VLOOKUP(I$9,'GI Factors'!A:M,4,FALSE)+C35*VLOOKUP(I$9,'GI Factors'!A:M,7,FALSE)+D35*VLOOKUP(I$9,'GI Factors'!A:M,10,FALSE)+E35*VLOOKUP(I$9,'GI Factors'!A:M,13,FALSE)</f>
        <v>10586986.22455918</v>
      </c>
      <c r="J35" s="60">
        <v>1730820</v>
      </c>
      <c r="K35" s="59">
        <v>375011</v>
      </c>
      <c r="L35" s="61"/>
      <c r="M35" s="59">
        <f t="shared" si="1"/>
        <v>2105831</v>
      </c>
      <c r="N35" s="62"/>
      <c r="O35" s="63"/>
      <c r="P35" s="62">
        <f t="shared" si="2"/>
        <v>5576436.32088558</v>
      </c>
      <c r="Q35" s="63">
        <f t="shared" si="3"/>
        <v>-3470605.32088558</v>
      </c>
      <c r="R35" s="63">
        <f t="shared" si="4"/>
        <v>0</v>
      </c>
      <c r="S35" s="60">
        <f t="shared" si="5"/>
        <v>-3470605.32088558</v>
      </c>
      <c r="T35" s="46">
        <f t="shared" si="6"/>
        <v>7.9027777250581869E-11</v>
      </c>
      <c r="U35" s="46">
        <f t="shared" si="7"/>
        <v>0</v>
      </c>
      <c r="V35" s="46">
        <f t="shared" si="8"/>
        <v>7.9027777250581869E-11</v>
      </c>
      <c r="W35" s="64">
        <f t="shared" si="9"/>
        <v>35</v>
      </c>
      <c r="X35" s="59">
        <f t="shared" si="10"/>
        <v>2105831</v>
      </c>
      <c r="Y35" s="65">
        <v>2010</v>
      </c>
      <c r="Z35" s="66">
        <v>2045</v>
      </c>
      <c r="AA35" s="50">
        <f t="shared" si="11"/>
        <v>28</v>
      </c>
      <c r="AB35" s="50">
        <f t="shared" si="12"/>
        <v>2050</v>
      </c>
      <c r="AC35" s="51">
        <f t="shared" si="13"/>
        <v>2051</v>
      </c>
      <c r="AD35" s="52">
        <f>(B35*$AD$10)*VLOOKUP(AB35,'GI Factors'!A:M,4,FALSE)+(C35*$AD$10)*VLOOKUP(AB35,'GI Factors'!A:M,7,FALSE)+(D35*$AD$10)*VLOOKUP(AB35,'GI Factors'!A:M,10,FALSE)+(E35*$AD$10)*VLOOKUP(AB35,'GI Factors'!A:M,13,FALSE)</f>
        <v>8189303.0582185276</v>
      </c>
      <c r="AE35" s="52">
        <f>(B35*$AE$10)*VLOOKUP(AC35,'GI Factors'!A:M,4,FALSE)+(C35*$AE$10)*VLOOKUP(AC35,'GI Factors'!A:M,7,FALSE)+(D35*$AE$10)*VLOOKUP(AC35,'GI Factors'!A:M,10,FALSE)+(E35*$AE$10)*VLOOKUP(AC35,'GI Factors'!A:M,13,FALSE)</f>
        <v>19692878.54620938</v>
      </c>
      <c r="AF35" s="53">
        <f t="shared" si="14"/>
        <v>27882181.604427908</v>
      </c>
      <c r="AG35" s="53">
        <f t="shared" si="15"/>
        <v>25776350.604427908</v>
      </c>
      <c r="AH35" s="54">
        <f t="shared" si="21"/>
        <v>3.5193182864007286E-2</v>
      </c>
      <c r="AI35" s="53">
        <f t="shared" si="17"/>
        <v>9786381.3869591616</v>
      </c>
      <c r="AJ35" s="53"/>
      <c r="AK35" s="55">
        <f t="shared" si="18"/>
        <v>555206.42782078404</v>
      </c>
      <c r="AL35" s="55">
        <f t="shared" si="19"/>
        <v>574745.90916235314</v>
      </c>
      <c r="AM35" s="55">
        <f t="shared" si="19"/>
        <v>594973.04704384401</v>
      </c>
      <c r="AN35" s="55">
        <f t="shared" si="19"/>
        <v>615912.04228761361</v>
      </c>
      <c r="AO35" s="55">
        <f t="shared" si="20"/>
        <v>585209.35657864879</v>
      </c>
    </row>
    <row r="36" spans="1:41" s="56" customFormat="1" ht="11.25">
      <c r="A36" s="57" t="s">
        <v>64</v>
      </c>
      <c r="B36" s="38">
        <v>7449596.4080136223</v>
      </c>
      <c r="C36" s="38">
        <v>8139671.5494000167</v>
      </c>
      <c r="D36" s="38">
        <v>514328.71702341211</v>
      </c>
      <c r="E36" s="39">
        <v>-6368575.2419475857</v>
      </c>
      <c r="F36" s="58">
        <v>9735021.4324894659</v>
      </c>
      <c r="G36" s="58"/>
      <c r="H36" s="58">
        <f t="shared" si="0"/>
        <v>9735021.4324894659</v>
      </c>
      <c r="I36" s="59">
        <f>B36*VLOOKUP(I$9,'GI Factors'!A:M,4,FALSE)+C36*VLOOKUP(I$9,'GI Factors'!A:M,7,FALSE)+D36*VLOOKUP(I$9,'GI Factors'!A:M,10,FALSE)+E36*VLOOKUP(I$9,'GI Factors'!A:M,13,FALSE)</f>
        <v>9863345.9627107009</v>
      </c>
      <c r="J36" s="60">
        <v>13955073</v>
      </c>
      <c r="K36" s="59">
        <v>386750</v>
      </c>
      <c r="L36" s="61"/>
      <c r="M36" s="59">
        <f t="shared" si="1"/>
        <v>14341823</v>
      </c>
      <c r="N36" s="62">
        <v>-274440.5473882705</v>
      </c>
      <c r="O36" s="63">
        <v>0</v>
      </c>
      <c r="P36" s="62">
        <f t="shared" si="2"/>
        <v>14067382.45261173</v>
      </c>
      <c r="Q36" s="63">
        <f t="shared" si="3"/>
        <v>0</v>
      </c>
      <c r="R36" s="63">
        <f t="shared" si="4"/>
        <v>0</v>
      </c>
      <c r="S36" s="60">
        <f t="shared" si="5"/>
        <v>0</v>
      </c>
      <c r="T36" s="46">
        <f t="shared" si="6"/>
        <v>0</v>
      </c>
      <c r="U36" s="46">
        <f t="shared" si="7"/>
        <v>0</v>
      </c>
      <c r="V36" s="46">
        <f t="shared" si="8"/>
        <v>0</v>
      </c>
      <c r="W36" s="64">
        <f t="shared" si="9"/>
        <v>51</v>
      </c>
      <c r="X36" s="59">
        <f t="shared" si="10"/>
        <v>14067382.45261173</v>
      </c>
      <c r="Y36" s="65">
        <v>1980</v>
      </c>
      <c r="Z36" s="66">
        <v>2031</v>
      </c>
      <c r="AA36" s="50">
        <f t="shared" si="11"/>
        <v>14</v>
      </c>
      <c r="AB36" s="50">
        <f t="shared" si="12"/>
        <v>2036</v>
      </c>
      <c r="AC36" s="51">
        <f t="shared" si="13"/>
        <v>2037</v>
      </c>
      <c r="AD36" s="52">
        <f>(B36*$AD$10)*VLOOKUP(AB36,'GI Factors'!A:M,4,FALSE)+(C36*$AD$10)*VLOOKUP(AB36,'GI Factors'!A:M,7,FALSE)+(D36*$AD$10)*VLOOKUP(AB36,'GI Factors'!A:M,10,FALSE)+(E36*$AD$10)*VLOOKUP(AB36,'GI Factors'!A:M,13,FALSE)</f>
        <v>5681997.3625137685</v>
      </c>
      <c r="AE36" s="52">
        <f>(B36*$AE$10)*VLOOKUP(AC36,'GI Factors'!A:M,4,FALSE)+(C36*$AE$10)*VLOOKUP(AC36,'GI Factors'!A:M,7,FALSE)+(D36*$AE$10)*VLOOKUP(AC36,'GI Factors'!A:M,10,FALSE)+(E36*$AE$10)*VLOOKUP(AC36,'GI Factors'!A:M,13,FALSE)</f>
        <v>13708178.450545643</v>
      </c>
      <c r="AF36" s="53">
        <f t="shared" si="14"/>
        <v>19390175.813059412</v>
      </c>
      <c r="AG36" s="53">
        <f t="shared" si="15"/>
        <v>5322793.3604476824</v>
      </c>
      <c r="AH36" s="54">
        <f t="shared" si="21"/>
        <v>5.0448175443335699E-2</v>
      </c>
      <c r="AI36" s="53">
        <f t="shared" si="17"/>
        <v>2672358.824604955</v>
      </c>
      <c r="AJ36" s="53"/>
      <c r="AK36" s="55">
        <f t="shared" si="18"/>
        <v>270746.44315017178</v>
      </c>
      <c r="AL36" s="55">
        <f t="shared" si="19"/>
        <v>284405.10721487075</v>
      </c>
      <c r="AM36" s="55">
        <f t="shared" si="19"/>
        <v>298752.82596062723</v>
      </c>
      <c r="AN36" s="55">
        <f t="shared" si="19"/>
        <v>313824.36093888129</v>
      </c>
      <c r="AO36" s="55">
        <f t="shared" si="20"/>
        <v>291932.18431613775</v>
      </c>
    </row>
    <row r="37" spans="1:41" s="56" customFormat="1" ht="11.25">
      <c r="A37" s="57" t="s">
        <v>65</v>
      </c>
      <c r="B37" s="38">
        <v>7449596.4080136223</v>
      </c>
      <c r="C37" s="38">
        <v>8139671.5494000167</v>
      </c>
      <c r="D37" s="38">
        <v>514328.71702341211</v>
      </c>
      <c r="E37" s="39">
        <v>-6368575.2419475857</v>
      </c>
      <c r="F37" s="58">
        <v>9735021.4324894659</v>
      </c>
      <c r="G37" s="58"/>
      <c r="H37" s="58">
        <f t="shared" si="0"/>
        <v>9735021.4324894659</v>
      </c>
      <c r="I37" s="59">
        <f>B37*VLOOKUP(I$9,'GI Factors'!A:M,4,FALSE)+C37*VLOOKUP(I$9,'GI Factors'!A:M,7,FALSE)+D37*VLOOKUP(I$9,'GI Factors'!A:M,10,FALSE)+E37*VLOOKUP(I$9,'GI Factors'!A:M,13,FALSE)</f>
        <v>9863345.9627107009</v>
      </c>
      <c r="J37" s="60">
        <v>13848819.52</v>
      </c>
      <c r="K37" s="59">
        <v>390039</v>
      </c>
      <c r="L37" s="61"/>
      <c r="M37" s="59">
        <f t="shared" si="1"/>
        <v>14238858.52</v>
      </c>
      <c r="N37" s="62">
        <v>-277931.934597224</v>
      </c>
      <c r="O37" s="63">
        <v>0</v>
      </c>
      <c r="P37" s="62">
        <f t="shared" si="2"/>
        <v>13960926.585402776</v>
      </c>
      <c r="Q37" s="63">
        <f t="shared" si="3"/>
        <v>0</v>
      </c>
      <c r="R37" s="63">
        <f t="shared" si="4"/>
        <v>0</v>
      </c>
      <c r="S37" s="60">
        <f t="shared" si="5"/>
        <v>0</v>
      </c>
      <c r="T37" s="46">
        <f t="shared" si="6"/>
        <v>0</v>
      </c>
      <c r="U37" s="46">
        <f t="shared" si="7"/>
        <v>0</v>
      </c>
      <c r="V37" s="46">
        <f t="shared" si="8"/>
        <v>0</v>
      </c>
      <c r="W37" s="64">
        <f t="shared" si="9"/>
        <v>50</v>
      </c>
      <c r="X37" s="59">
        <f t="shared" si="10"/>
        <v>13960926.585402776</v>
      </c>
      <c r="Y37" s="65">
        <v>1981</v>
      </c>
      <c r="Z37" s="66">
        <v>2031</v>
      </c>
      <c r="AA37" s="50">
        <f t="shared" si="11"/>
        <v>14</v>
      </c>
      <c r="AB37" s="50">
        <f t="shared" si="12"/>
        <v>2036</v>
      </c>
      <c r="AC37" s="51">
        <f t="shared" si="13"/>
        <v>2037</v>
      </c>
      <c r="AD37" s="52">
        <f>(B37*$AD$10)*VLOOKUP(AB37,'GI Factors'!A:M,4,FALSE)+(C37*$AD$10)*VLOOKUP(AB37,'GI Factors'!A:M,7,FALSE)+(D37*$AD$10)*VLOOKUP(AB37,'GI Factors'!A:M,10,FALSE)+(E37*$AD$10)*VLOOKUP(AB37,'GI Factors'!A:M,13,FALSE)</f>
        <v>5681997.3625137685</v>
      </c>
      <c r="AE37" s="52">
        <f>(B37*$AE$10)*VLOOKUP(AC37,'GI Factors'!A:M,4,FALSE)+(C37*$AE$10)*VLOOKUP(AC37,'GI Factors'!A:M,7,FALSE)+(D37*$AE$10)*VLOOKUP(AC37,'GI Factors'!A:M,10,FALSE)+(E37*$AE$10)*VLOOKUP(AC37,'GI Factors'!A:M,13,FALSE)</f>
        <v>13708178.450545643</v>
      </c>
      <c r="AF37" s="53">
        <f t="shared" si="14"/>
        <v>19390175.813059412</v>
      </c>
      <c r="AG37" s="53">
        <f t="shared" si="15"/>
        <v>5429249.2276566364</v>
      </c>
      <c r="AH37" s="54">
        <f t="shared" si="21"/>
        <v>5.0448175443335699E-2</v>
      </c>
      <c r="AI37" s="53">
        <f t="shared" si="17"/>
        <v>2725806.0010970542</v>
      </c>
      <c r="AJ37" s="53"/>
      <c r="AK37" s="55">
        <f t="shared" si="18"/>
        <v>276161.37201317516</v>
      </c>
      <c r="AL37" s="55">
        <f t="shared" si="19"/>
        <v>290093.20935916813</v>
      </c>
      <c r="AM37" s="55">
        <f t="shared" si="19"/>
        <v>304727.88247983978</v>
      </c>
      <c r="AN37" s="55">
        <f t="shared" si="19"/>
        <v>320100.84815765894</v>
      </c>
      <c r="AO37" s="55">
        <f t="shared" si="20"/>
        <v>297770.82800246048</v>
      </c>
    </row>
    <row r="38" spans="1:41" s="56" customFormat="1" ht="11.25">
      <c r="A38" s="57" t="s">
        <v>66</v>
      </c>
      <c r="B38" s="38">
        <v>2437752.4504690072</v>
      </c>
      <c r="C38" s="38">
        <v>2663567.6859242902</v>
      </c>
      <c r="D38" s="38">
        <v>138780.87221853976</v>
      </c>
      <c r="E38" s="39">
        <v>-2508080.4332505078</v>
      </c>
      <c r="F38" s="58">
        <v>2732020.5753613296</v>
      </c>
      <c r="G38" s="58"/>
      <c r="H38" s="58">
        <f t="shared" si="0"/>
        <v>2732020.5753613296</v>
      </c>
      <c r="I38" s="59">
        <f>B38*VLOOKUP(I$9,'GI Factors'!A:M,4,FALSE)+C38*VLOOKUP(I$9,'GI Factors'!A:M,7,FALSE)+D38*VLOOKUP(I$9,'GI Factors'!A:M,10,FALSE)+E38*VLOOKUP(I$9,'GI Factors'!A:M,13,FALSE)</f>
        <v>2791966.1434890158</v>
      </c>
      <c r="J38" s="60">
        <v>5657209</v>
      </c>
      <c r="K38" s="59">
        <v>244439</v>
      </c>
      <c r="L38" s="61"/>
      <c r="M38" s="59">
        <f t="shared" si="1"/>
        <v>5901648</v>
      </c>
      <c r="N38" s="62">
        <v>-2201285.3876897278</v>
      </c>
      <c r="O38" s="63"/>
      <c r="P38" s="62">
        <f t="shared" si="2"/>
        <v>3700362.6123102722</v>
      </c>
      <c r="Q38" s="63">
        <f t="shared" si="3"/>
        <v>0</v>
      </c>
      <c r="R38" s="63">
        <f t="shared" si="4"/>
        <v>0</v>
      </c>
      <c r="S38" s="60">
        <f t="shared" si="5"/>
        <v>0</v>
      </c>
      <c r="T38" s="46">
        <f t="shared" si="6"/>
        <v>0</v>
      </c>
      <c r="U38" s="46">
        <f t="shared" si="7"/>
        <v>0</v>
      </c>
      <c r="V38" s="46">
        <f t="shared" si="8"/>
        <v>0</v>
      </c>
      <c r="W38" s="64">
        <f t="shared" si="9"/>
        <v>40</v>
      </c>
      <c r="X38" s="59">
        <f t="shared" si="10"/>
        <v>3700362.6123102722</v>
      </c>
      <c r="Y38" s="65">
        <v>1994</v>
      </c>
      <c r="Z38" s="66">
        <v>2034</v>
      </c>
      <c r="AA38" s="50">
        <f t="shared" si="11"/>
        <v>17</v>
      </c>
      <c r="AB38" s="50">
        <f t="shared" si="12"/>
        <v>2039</v>
      </c>
      <c r="AC38" s="51">
        <f t="shared" si="13"/>
        <v>2040</v>
      </c>
      <c r="AD38" s="52">
        <f>(B38*$AD$10)*VLOOKUP(AB38,'GI Factors'!A:M,4,FALSE)+(C38*$AD$10)*VLOOKUP(AB38,'GI Factors'!A:M,7,FALSE)+(D38*$AD$10)*VLOOKUP(AB38,'GI Factors'!A:M,10,FALSE)+(E38*$AD$10)*VLOOKUP(AB38,'GI Factors'!A:M,13,FALSE)</f>
        <v>1881656.6938308286</v>
      </c>
      <c r="AE38" s="52">
        <f>(B38*$AE$10)*VLOOKUP(AC38,'GI Factors'!A:M,4,FALSE)+(C38*$AE$10)*VLOOKUP(AC38,'GI Factors'!A:M,7,FALSE)+(D38*$AE$10)*VLOOKUP(AC38,'GI Factors'!A:M,10,FALSE)+(E38*$AE$10)*VLOOKUP(AC38,'GI Factors'!A:M,13,FALSE)</f>
        <v>4553756.5449696444</v>
      </c>
      <c r="AF38" s="53">
        <f t="shared" si="14"/>
        <v>6435413.2388004735</v>
      </c>
      <c r="AG38" s="53">
        <f t="shared" si="15"/>
        <v>2735050.6264902013</v>
      </c>
      <c r="AH38" s="54">
        <f t="shared" si="21"/>
        <v>5.1690116552751991E-2</v>
      </c>
      <c r="AI38" s="53">
        <f t="shared" si="17"/>
        <v>1161108.7445285672</v>
      </c>
      <c r="AJ38" s="53"/>
      <c r="AK38" s="55">
        <f t="shared" si="18"/>
        <v>104293.4622305274</v>
      </c>
      <c r="AL38" s="55">
        <f t="shared" si="19"/>
        <v>109684.40344891339</v>
      </c>
      <c r="AM38" s="55">
        <f t="shared" si="19"/>
        <v>115354.00304720679</v>
      </c>
      <c r="AN38" s="55">
        <f t="shared" si="19"/>
        <v>121316.66490954341</v>
      </c>
      <c r="AO38" s="55">
        <f t="shared" si="20"/>
        <v>112662.13340904775</v>
      </c>
    </row>
    <row r="39" spans="1:41" s="56" customFormat="1" ht="11.25">
      <c r="A39" s="57" t="s">
        <v>67</v>
      </c>
      <c r="B39" s="38">
        <v>2400598.4996657604</v>
      </c>
      <c r="C39" s="38">
        <v>2622972.0697677322</v>
      </c>
      <c r="D39" s="38">
        <v>132923.68307727302</v>
      </c>
      <c r="E39" s="39">
        <v>-2415499.1088162269</v>
      </c>
      <c r="F39" s="58">
        <v>2740995.1436945386</v>
      </c>
      <c r="G39" s="58"/>
      <c r="H39" s="58">
        <f t="shared" si="0"/>
        <v>2740995.1436945386</v>
      </c>
      <c r="I39" s="59">
        <f>B39*VLOOKUP(I$9,'GI Factors'!A:M,4,FALSE)+C39*VLOOKUP(I$9,'GI Factors'!A:M,7,FALSE)+D39*VLOOKUP(I$9,'GI Factors'!A:M,10,FALSE)+E39*VLOOKUP(I$9,'GI Factors'!A:M,13,FALSE)</f>
        <v>2797627.9013057044</v>
      </c>
      <c r="J39" s="60">
        <v>3802053.98</v>
      </c>
      <c r="K39" s="59">
        <v>165451</v>
      </c>
      <c r="L39" s="61"/>
      <c r="M39" s="59">
        <f t="shared" si="1"/>
        <v>3967504.98</v>
      </c>
      <c r="N39" s="62">
        <v>-287311.40858366434</v>
      </c>
      <c r="O39" s="63"/>
      <c r="P39" s="62">
        <f t="shared" si="2"/>
        <v>3680193.5714163356</v>
      </c>
      <c r="Q39" s="63">
        <f t="shared" si="3"/>
        <v>0</v>
      </c>
      <c r="R39" s="63">
        <f t="shared" si="4"/>
        <v>0</v>
      </c>
      <c r="S39" s="60">
        <f t="shared" si="5"/>
        <v>0</v>
      </c>
      <c r="T39" s="46">
        <f t="shared" si="6"/>
        <v>0</v>
      </c>
      <c r="U39" s="46">
        <f t="shared" si="7"/>
        <v>0</v>
      </c>
      <c r="V39" s="46">
        <f t="shared" si="8"/>
        <v>0</v>
      </c>
      <c r="W39" s="64">
        <f t="shared" si="9"/>
        <v>40</v>
      </c>
      <c r="X39" s="59">
        <f t="shared" si="10"/>
        <v>3680193.5714163356</v>
      </c>
      <c r="Y39" s="65">
        <v>1994</v>
      </c>
      <c r="Z39" s="66">
        <v>2034</v>
      </c>
      <c r="AA39" s="50">
        <f t="shared" si="11"/>
        <v>17</v>
      </c>
      <c r="AB39" s="50">
        <f t="shared" si="12"/>
        <v>2039</v>
      </c>
      <c r="AC39" s="51">
        <f t="shared" si="13"/>
        <v>2040</v>
      </c>
      <c r="AD39" s="52">
        <f>(B39*$AD$10)*VLOOKUP(AB39,'GI Factors'!A:M,4,FALSE)+(C39*$AD$10)*VLOOKUP(AB39,'GI Factors'!A:M,7,FALSE)+(D39*$AD$10)*VLOOKUP(AB39,'GI Factors'!A:M,10,FALSE)+(E39*$AD$10)*VLOOKUP(AB39,'GI Factors'!A:M,13,FALSE)</f>
        <v>1871793.7323731533</v>
      </c>
      <c r="AE39" s="52">
        <f>(B39*$AE$10)*VLOOKUP(AC39,'GI Factors'!A:M,4,FALSE)+(C39*$AE$10)*VLOOKUP(AC39,'GI Factors'!A:M,7,FALSE)+(D39*$AE$10)*VLOOKUP(AC39,'GI Factors'!A:M,10,FALSE)+(E39*$AE$10)*VLOOKUP(AC39,'GI Factors'!A:M,13,FALSE)</f>
        <v>4528542.9135682993</v>
      </c>
      <c r="AF39" s="53">
        <f t="shared" si="14"/>
        <v>6400336.6459414531</v>
      </c>
      <c r="AG39" s="53">
        <f t="shared" si="15"/>
        <v>2720143.0745251174</v>
      </c>
      <c r="AH39" s="54">
        <f t="shared" si="21"/>
        <v>5.1149251490337909E-2</v>
      </c>
      <c r="AI39" s="53">
        <f t="shared" si="17"/>
        <v>1164922.9360701754</v>
      </c>
      <c r="AJ39" s="53"/>
      <c r="AK39" s="55">
        <f t="shared" si="18"/>
        <v>104216.46917234959</v>
      </c>
      <c r="AL39" s="55">
        <f t="shared" si="19"/>
        <v>109547.06356348116</v>
      </c>
      <c r="AM39" s="55">
        <f t="shared" si="19"/>
        <v>115150.3138677177</v>
      </c>
      <c r="AN39" s="55">
        <f t="shared" si="19"/>
        <v>121040.16623092895</v>
      </c>
      <c r="AO39" s="55">
        <f t="shared" si="20"/>
        <v>112488.50320861935</v>
      </c>
    </row>
    <row r="40" spans="1:41" s="56" customFormat="1" ht="11.25">
      <c r="A40" s="57" t="s">
        <v>68</v>
      </c>
      <c r="B40" s="38">
        <v>5382769.1921508843</v>
      </c>
      <c r="C40" s="38">
        <v>5881388.8498987956</v>
      </c>
      <c r="D40" s="38">
        <v>359222.11140046146</v>
      </c>
      <c r="E40" s="39">
        <v>-5231246.6925432999</v>
      </c>
      <c r="F40" s="58">
        <v>6392133.4609068409</v>
      </c>
      <c r="G40" s="58"/>
      <c r="H40" s="58">
        <f t="shared" si="0"/>
        <v>6392133.4609068409</v>
      </c>
      <c r="I40" s="59">
        <f>B40*VLOOKUP(I$9,'GI Factors'!A:M,4,FALSE)+C40*VLOOKUP(I$9,'GI Factors'!A:M,7,FALSE)+D40*VLOOKUP(I$9,'GI Factors'!A:M,10,FALSE)+E40*VLOOKUP(I$9,'GI Factors'!A:M,13,FALSE)</f>
        <v>6511918.328996419</v>
      </c>
      <c r="J40" s="60">
        <v>5479696</v>
      </c>
      <c r="K40" s="59">
        <v>342017</v>
      </c>
      <c r="L40" s="61"/>
      <c r="M40" s="59">
        <f t="shared" si="1"/>
        <v>5821713</v>
      </c>
      <c r="N40" s="62"/>
      <c r="O40" s="63"/>
      <c r="P40" s="62">
        <f t="shared" si="2"/>
        <v>7943323.3398010898</v>
      </c>
      <c r="Q40" s="63">
        <f t="shared" si="3"/>
        <v>-2121610.3398010898</v>
      </c>
      <c r="R40" s="63">
        <f t="shared" si="4"/>
        <v>0</v>
      </c>
      <c r="S40" s="60">
        <f t="shared" si="5"/>
        <v>-2121610.3398010898</v>
      </c>
      <c r="T40" s="46">
        <f t="shared" si="6"/>
        <v>4.831034757462688E-11</v>
      </c>
      <c r="U40" s="46">
        <f t="shared" si="7"/>
        <v>0</v>
      </c>
      <c r="V40" s="46">
        <f t="shared" si="8"/>
        <v>4.831034757462688E-11</v>
      </c>
      <c r="W40" s="64">
        <f t="shared" si="9"/>
        <v>44</v>
      </c>
      <c r="X40" s="59">
        <f t="shared" si="10"/>
        <v>5821713</v>
      </c>
      <c r="Y40" s="65">
        <v>2001</v>
      </c>
      <c r="Z40" s="66">
        <v>2045</v>
      </c>
      <c r="AA40" s="50">
        <f t="shared" si="11"/>
        <v>28</v>
      </c>
      <c r="AB40" s="50">
        <f t="shared" si="12"/>
        <v>2050</v>
      </c>
      <c r="AC40" s="51">
        <f t="shared" si="13"/>
        <v>2051</v>
      </c>
      <c r="AD40" s="52">
        <f>(B40*$AD$10)*VLOOKUP(AB40,'GI Factors'!A:M,4,FALSE)+(C40*$AD$10)*VLOOKUP(AB40,'GI Factors'!A:M,7,FALSE)+(D40*$AD$10)*VLOOKUP(AB40,'GI Factors'!A:M,10,FALSE)+(E40*$AD$10)*VLOOKUP(AB40,'GI Factors'!A:M,13,FALSE)</f>
        <v>6388287.9774091281</v>
      </c>
      <c r="AE40" s="52">
        <f>(B40*$AE$10)*VLOOKUP(AC40,'GI Factors'!A:M,4,FALSE)+(C40*$AE$10)*VLOOKUP(AC40,'GI Factors'!A:M,7,FALSE)+(D40*$AE$10)*VLOOKUP(AC40,'GI Factors'!A:M,10,FALSE)+(E40*$AE$10)*VLOOKUP(AC40,'GI Factors'!A:M,13,FALSE)</f>
        <v>15455851.207043866</v>
      </c>
      <c r="AF40" s="53">
        <f t="shared" si="14"/>
        <v>21844139.184452996</v>
      </c>
      <c r="AG40" s="53">
        <f t="shared" si="15"/>
        <v>16022426.184452996</v>
      </c>
      <c r="AH40" s="54">
        <f t="shared" si="21"/>
        <v>4.4865344629542378E-2</v>
      </c>
      <c r="AI40" s="53">
        <f t="shared" si="17"/>
        <v>4688556.764527712</v>
      </c>
      <c r="AJ40" s="53"/>
      <c r="AK40" s="55">
        <f t="shared" si="18"/>
        <v>297372.12837306183</v>
      </c>
      <c r="AL40" s="55">
        <f t="shared" si="19"/>
        <v>310713.83139573975</v>
      </c>
      <c r="AM40" s="55">
        <f t="shared" si="19"/>
        <v>324654.11452247517</v>
      </c>
      <c r="AN40" s="55">
        <f t="shared" si="19"/>
        <v>339219.83325592492</v>
      </c>
      <c r="AO40" s="55">
        <f t="shared" si="20"/>
        <v>317989.97688680043</v>
      </c>
    </row>
    <row r="41" spans="1:41" s="56" customFormat="1" ht="11.25">
      <c r="A41" s="57" t="s">
        <v>69</v>
      </c>
      <c r="B41" s="38">
        <v>3057540.1265033288</v>
      </c>
      <c r="C41" s="38">
        <v>2549568.0847916212</v>
      </c>
      <c r="D41" s="38">
        <v>290798.18957934412</v>
      </c>
      <c r="E41" s="39">
        <v>-308372.23314467835</v>
      </c>
      <c r="F41" s="58">
        <v>5589534.1677296162</v>
      </c>
      <c r="G41" s="58"/>
      <c r="H41" s="58">
        <f t="shared" si="0"/>
        <v>5589534.1677296162</v>
      </c>
      <c r="I41" s="59">
        <f>B41*VLOOKUP(I$9,'GI Factors'!A:M,4,FALSE)+C41*VLOOKUP(I$9,'GI Factors'!A:M,7,FALSE)+D41*VLOOKUP(I$9,'GI Factors'!A:M,10,FALSE)+E41*VLOOKUP(I$9,'GI Factors'!A:M,13,FALSE)</f>
        <v>5577007.4697298957</v>
      </c>
      <c r="J41" s="60">
        <v>0</v>
      </c>
      <c r="K41" s="59">
        <v>0</v>
      </c>
      <c r="L41" s="61"/>
      <c r="M41" s="59">
        <f t="shared" si="1"/>
        <v>0</v>
      </c>
      <c r="N41" s="62"/>
      <c r="O41" s="63"/>
      <c r="P41" s="62">
        <v>0</v>
      </c>
      <c r="Q41" s="63">
        <f t="shared" si="3"/>
        <v>0</v>
      </c>
      <c r="R41" s="63">
        <f t="shared" si="4"/>
        <v>0</v>
      </c>
      <c r="S41" s="60">
        <f t="shared" si="5"/>
        <v>0</v>
      </c>
      <c r="T41" s="46">
        <f t="shared" si="6"/>
        <v>0</v>
      </c>
      <c r="U41" s="46">
        <f t="shared" si="7"/>
        <v>0</v>
      </c>
      <c r="V41" s="46">
        <f t="shared" si="8"/>
        <v>0</v>
      </c>
      <c r="W41" s="64">
        <f t="shared" si="9"/>
        <v>40</v>
      </c>
      <c r="X41" s="59">
        <f t="shared" si="10"/>
        <v>0</v>
      </c>
      <c r="Y41" s="65">
        <v>2019</v>
      </c>
      <c r="Z41" s="66">
        <f>Y41+40</f>
        <v>2059</v>
      </c>
      <c r="AA41" s="50">
        <v>40</v>
      </c>
      <c r="AB41" s="50">
        <f t="shared" si="12"/>
        <v>2064</v>
      </c>
      <c r="AC41" s="51">
        <f t="shared" si="13"/>
        <v>2065</v>
      </c>
      <c r="AD41" s="52">
        <f>(B41*$AD$10)*VLOOKUP(AB41,'GI Factors'!A:M,4,FALSE)+(C41*$AD$10)*VLOOKUP(AB41,'GI Factors'!A:M,7,FALSE)+(D41*$AD$10)*VLOOKUP(AB41,'GI Factors'!A:M,10,FALSE)+(E41*$AD$10)*VLOOKUP(AB41,'GI Factors'!A:M,13,FALSE)</f>
        <v>6974290.3637476191</v>
      </c>
      <c r="AE41" s="52">
        <f>(B41*$AE$10)*VLOOKUP(AC41,'GI Factors'!A:M,4,FALSE)+(C41*$AE$10)*VLOOKUP(AC41,'GI Factors'!A:M,7,FALSE)+(D41*$AE$10)*VLOOKUP(AC41,'GI Factors'!A:M,10,FALSE)+(E41*$AE$10)*VLOOKUP(AC41,'GI Factors'!A:M,13,FALSE)</f>
        <v>16814974.41496852</v>
      </c>
      <c r="AF41" s="53">
        <f t="shared" si="14"/>
        <v>23789264.778716139</v>
      </c>
      <c r="AG41" s="53">
        <f t="shared" si="15"/>
        <v>23789264.778716139</v>
      </c>
      <c r="AH41" s="54">
        <f t="shared" si="21"/>
        <v>3.6871972074020279E-2</v>
      </c>
      <c r="AI41" s="53">
        <f t="shared" si="17"/>
        <v>5589534.1677296096</v>
      </c>
      <c r="AJ41" s="53"/>
      <c r="AK41" s="55">
        <v>0</v>
      </c>
      <c r="AL41" s="55">
        <f t="shared" ref="AL41:AL66" si="22">IF(AL$13&lt;$Z41,AK41*(1+$AH41),0)</f>
        <v>0</v>
      </c>
      <c r="AM41" s="55">
        <f>PMT((1+AH41)-1,AA41,-AI41)</f>
        <v>269394.07634687057</v>
      </c>
      <c r="AN41" s="55">
        <f t="shared" ref="AN41:AN66" si="23">IF(AN$13&lt;$Z41,AM41*(1+$AH41),0)</f>
        <v>279327.16720683884</v>
      </c>
      <c r="AO41" s="55">
        <f t="shared" si="20"/>
        <v>137180.31088842737</v>
      </c>
    </row>
    <row r="42" spans="1:41" s="56" customFormat="1" ht="11.25">
      <c r="A42" s="57" t="s">
        <v>70</v>
      </c>
      <c r="B42" s="38">
        <v>5362973.0312489178</v>
      </c>
      <c r="C42" s="38">
        <v>5859758.9200535044</v>
      </c>
      <c r="D42" s="38">
        <v>395071.57133513101</v>
      </c>
      <c r="E42" s="39">
        <v>-5252031.1945600845</v>
      </c>
      <c r="F42" s="58">
        <v>6365772.328077469</v>
      </c>
      <c r="G42" s="58"/>
      <c r="H42" s="58">
        <f t="shared" si="0"/>
        <v>6365772.328077469</v>
      </c>
      <c r="I42" s="59">
        <f>B42*VLOOKUP(I$9,'GI Factors'!A:M,4,FALSE)+C42*VLOOKUP(I$9,'GI Factors'!A:M,7,FALSE)+D42*VLOOKUP(I$9,'GI Factors'!A:M,10,FALSE)+E42*VLOOKUP(I$9,'GI Factors'!A:M,13,FALSE)</f>
        <v>6487331.2842909899</v>
      </c>
      <c r="J42" s="60">
        <v>0</v>
      </c>
      <c r="K42" s="59">
        <v>0</v>
      </c>
      <c r="L42" s="61"/>
      <c r="M42" s="59">
        <f t="shared" si="1"/>
        <v>0</v>
      </c>
      <c r="N42" s="62"/>
      <c r="O42" s="63"/>
      <c r="P42" s="62">
        <v>0</v>
      </c>
      <c r="Q42" s="63">
        <f t="shared" si="3"/>
        <v>0</v>
      </c>
      <c r="R42" s="63">
        <f t="shared" si="4"/>
        <v>0</v>
      </c>
      <c r="S42" s="60">
        <f t="shared" si="5"/>
        <v>0</v>
      </c>
      <c r="T42" s="46">
        <f t="shared" si="6"/>
        <v>0</v>
      </c>
      <c r="U42" s="46">
        <f t="shared" si="7"/>
        <v>0</v>
      </c>
      <c r="V42" s="46">
        <f t="shared" si="8"/>
        <v>0</v>
      </c>
      <c r="W42" s="64">
        <f t="shared" si="9"/>
        <v>40</v>
      </c>
      <c r="X42" s="59">
        <f t="shared" si="10"/>
        <v>0</v>
      </c>
      <c r="Y42" s="65">
        <v>2019</v>
      </c>
      <c r="Z42" s="66">
        <f>Y42+40</f>
        <v>2059</v>
      </c>
      <c r="AA42" s="50">
        <v>40</v>
      </c>
      <c r="AB42" s="50">
        <f t="shared" si="12"/>
        <v>2064</v>
      </c>
      <c r="AC42" s="51">
        <f t="shared" si="13"/>
        <v>2065</v>
      </c>
      <c r="AD42" s="52">
        <f>(B42*$AD$10)*VLOOKUP(AB42,'GI Factors'!A:M,4,FALSE)+(C42*$AD$10)*VLOOKUP(AB42,'GI Factors'!A:M,7,FALSE)+(D42*$AD$10)*VLOOKUP(AB42,'GI Factors'!A:M,10,FALSE)+(E42*$AD$10)*VLOOKUP(AB42,'GI Factors'!A:M,13,FALSE)</f>
        <v>10597585.960758179</v>
      </c>
      <c r="AE42" s="52">
        <f>(B42*$AE$10)*VLOOKUP(AC42,'GI Factors'!A:M,4,FALSE)+(C42*$AE$10)*VLOOKUP(AC42,'GI Factors'!A:M,7,FALSE)+(D42*$AE$10)*VLOOKUP(AC42,'GI Factors'!A:M,10,FALSE)+(E42*$AE$10)*VLOOKUP(AC42,'GI Factors'!A:M,13,FALSE)</f>
        <v>25645841.743943632</v>
      </c>
      <c r="AF42" s="53">
        <f t="shared" si="14"/>
        <v>36243427.704701811</v>
      </c>
      <c r="AG42" s="53">
        <f t="shared" si="15"/>
        <v>36243427.704701811</v>
      </c>
      <c r="AH42" s="54">
        <f t="shared" si="21"/>
        <v>4.4442303807823005E-2</v>
      </c>
      <c r="AI42" s="53">
        <f t="shared" si="17"/>
        <v>6365772.3280774569</v>
      </c>
      <c r="AJ42" s="53"/>
      <c r="AK42" s="55">
        <v>0</v>
      </c>
      <c r="AL42" s="55">
        <f t="shared" si="22"/>
        <v>0</v>
      </c>
      <c r="AM42" s="55">
        <f>PMT((1+AH42)-1,AA42,-AI42)</f>
        <v>343186.67453214066</v>
      </c>
      <c r="AN42" s="55">
        <f t="shared" si="23"/>
        <v>358438.68098449451</v>
      </c>
      <c r="AO42" s="55">
        <f t="shared" si="20"/>
        <v>175406.33887915878</v>
      </c>
    </row>
    <row r="43" spans="1:41" s="56" customFormat="1" ht="11.25">
      <c r="A43" s="57" t="s">
        <v>71</v>
      </c>
      <c r="B43" s="38">
        <v>3349594.3403367056</v>
      </c>
      <c r="C43" s="38">
        <v>3016065.0989398183</v>
      </c>
      <c r="D43" s="38">
        <v>308767.60537286586</v>
      </c>
      <c r="E43" s="39">
        <v>-399678.80898023234</v>
      </c>
      <c r="F43" s="58">
        <v>6274748.2356691575</v>
      </c>
      <c r="G43" s="58"/>
      <c r="H43" s="58">
        <f t="shared" si="0"/>
        <v>6274748.2356691575</v>
      </c>
      <c r="I43" s="59">
        <f>B43*VLOOKUP(I$9,'GI Factors'!A:M,4,FALSE)+C43*VLOOKUP(I$9,'GI Factors'!A:M,7,FALSE)+D43*VLOOKUP(I$9,'GI Factors'!A:M,10,FALSE)+E43*VLOOKUP(I$9,'GI Factors'!A:M,13,FALSE)</f>
        <v>6254142.1576066753</v>
      </c>
      <c r="J43" s="60"/>
      <c r="K43" s="59"/>
      <c r="L43" s="61"/>
      <c r="M43" s="59">
        <f t="shared" si="1"/>
        <v>0</v>
      </c>
      <c r="N43" s="62"/>
      <c r="O43" s="63"/>
      <c r="P43" s="62">
        <f t="shared" ref="P43:P66" si="24">AF43-((AA43/W43)*AF43)</f>
        <v>596276.88340561092</v>
      </c>
      <c r="Q43" s="63">
        <f t="shared" si="3"/>
        <v>-596276.88340561092</v>
      </c>
      <c r="R43" s="63">
        <f t="shared" si="4"/>
        <v>0</v>
      </c>
      <c r="S43" s="60">
        <f t="shared" si="5"/>
        <v>-596276.88340561092</v>
      </c>
      <c r="T43" s="46">
        <f t="shared" si="6"/>
        <v>1.357758441672237E-11</v>
      </c>
      <c r="U43" s="46">
        <f t="shared" si="7"/>
        <v>0</v>
      </c>
      <c r="V43" s="46">
        <f t="shared" si="8"/>
        <v>1.357758441672237E-11</v>
      </c>
      <c r="W43" s="64">
        <f t="shared" si="9"/>
        <v>40</v>
      </c>
      <c r="X43" s="59">
        <f t="shared" si="10"/>
        <v>0</v>
      </c>
      <c r="Y43" s="65">
        <v>2016</v>
      </c>
      <c r="Z43" s="66">
        <v>2056</v>
      </c>
      <c r="AA43" s="50">
        <f>Z43-2017</f>
        <v>39</v>
      </c>
      <c r="AB43" s="50">
        <f t="shared" si="12"/>
        <v>2061</v>
      </c>
      <c r="AC43" s="51">
        <f t="shared" si="13"/>
        <v>2062</v>
      </c>
      <c r="AD43" s="52">
        <f>(B43*$AD$10)*VLOOKUP(AB43,'GI Factors'!A:M,4,FALSE)+(C43*$AD$10)*VLOOKUP(AB43,'GI Factors'!A:M,7,FALSE)+(D43*$AD$10)*VLOOKUP(AB43,'GI Factors'!A:M,10,FALSE)+(E43*$AD$10)*VLOOKUP(AB43,'GI Factors'!A:M,13,FALSE)</f>
        <v>6995125.2672117762</v>
      </c>
      <c r="AE43" s="52">
        <f>(B43*$AE$10)*VLOOKUP(AC43,'GI Factors'!A:M,4,FALSE)+(C43*$AE$10)*VLOOKUP(AC43,'GI Factors'!A:M,7,FALSE)+(D43*$AE$10)*VLOOKUP(AC43,'GI Factors'!A:M,10,FALSE)+(E43*$AE$10)*VLOOKUP(AC43,'GI Factors'!A:M,13,FALSE)</f>
        <v>16855950.069012705</v>
      </c>
      <c r="AF43" s="53">
        <f t="shared" si="14"/>
        <v>23851075.336224481</v>
      </c>
      <c r="AG43" s="53">
        <f t="shared" si="15"/>
        <v>23851075.336224481</v>
      </c>
      <c r="AH43" s="54">
        <f t="shared" si="21"/>
        <v>3.483123709082301E-2</v>
      </c>
      <c r="AI43" s="53">
        <f t="shared" si="17"/>
        <v>6274748.2356691565</v>
      </c>
      <c r="AJ43" s="53"/>
      <c r="AK43" s="55">
        <f>PMT(AH43,AA43,-AI43)</f>
        <v>296582.17269964499</v>
      </c>
      <c r="AL43" s="55">
        <f t="shared" si="22"/>
        <v>306912.49667385774</v>
      </c>
      <c r="AM43" s="55">
        <f t="shared" ref="AM43:AM66" si="25">IF(AM$13&lt;$Z43,AL43*(1+$AH43),0)</f>
        <v>317602.63861164131</v>
      </c>
      <c r="AN43" s="55">
        <f t="shared" si="23"/>
        <v>328665.13141779439</v>
      </c>
      <c r="AO43" s="55">
        <f t="shared" si="20"/>
        <v>312440.60985073459</v>
      </c>
    </row>
    <row r="44" spans="1:41" s="56" customFormat="1" ht="11.25">
      <c r="A44" s="57" t="s">
        <v>72</v>
      </c>
      <c r="B44" s="38">
        <v>1742481.7507691137</v>
      </c>
      <c r="C44" s="38">
        <v>1903892.2856044939</v>
      </c>
      <c r="D44" s="38">
        <v>129481.48261007073</v>
      </c>
      <c r="E44" s="39">
        <v>-1930856.7801224294</v>
      </c>
      <c r="F44" s="58">
        <v>1844998.7388612491</v>
      </c>
      <c r="G44" s="58"/>
      <c r="H44" s="58">
        <f t="shared" si="0"/>
        <v>1844998.7388612491</v>
      </c>
      <c r="I44" s="59">
        <f>B44*VLOOKUP(I$9,'GI Factors'!A:M,4,FALSE)+C44*VLOOKUP(I$9,'GI Factors'!A:M,7,FALSE)+D44*VLOOKUP(I$9,'GI Factors'!A:M,10,FALSE)+E44*VLOOKUP(I$9,'GI Factors'!A:M,13,FALSE)</f>
        <v>1894213.4814651164</v>
      </c>
      <c r="J44" s="60">
        <v>401299</v>
      </c>
      <c r="K44" s="59">
        <v>13273</v>
      </c>
      <c r="L44" s="61"/>
      <c r="M44" s="59">
        <f t="shared" si="1"/>
        <v>414572</v>
      </c>
      <c r="N44" s="62"/>
      <c r="O44" s="63">
        <v>1520341.9686082499</v>
      </c>
      <c r="P44" s="62">
        <f t="shared" si="24"/>
        <v>1934913.9686082467</v>
      </c>
      <c r="Q44" s="63">
        <f t="shared" si="3"/>
        <v>3.2596290111541748E-9</v>
      </c>
      <c r="R44" s="63">
        <f t="shared" si="4"/>
        <v>3.2596290111541748E-9</v>
      </c>
      <c r="S44" s="60">
        <f t="shared" si="5"/>
        <v>0</v>
      </c>
      <c r="T44" s="46">
        <f t="shared" si="6"/>
        <v>0</v>
      </c>
      <c r="U44" s="46">
        <f t="shared" si="7"/>
        <v>-3.259629011154174E-9</v>
      </c>
      <c r="V44" s="46">
        <f t="shared" si="8"/>
        <v>-3.259629011154174E-9</v>
      </c>
      <c r="W44" s="64">
        <f t="shared" si="9"/>
        <v>45</v>
      </c>
      <c r="X44" s="59">
        <f t="shared" si="10"/>
        <v>1934913.9686082499</v>
      </c>
      <c r="Y44" s="65">
        <v>1971</v>
      </c>
      <c r="Z44" s="66">
        <v>2016</v>
      </c>
      <c r="AA44" s="50">
        <v>0</v>
      </c>
      <c r="AB44" s="50">
        <f>Z44+1</f>
        <v>2017</v>
      </c>
      <c r="AC44" s="51">
        <f>Z44+2</f>
        <v>2018</v>
      </c>
      <c r="AD44" s="52">
        <f>(B44*$AD$10)*VLOOKUP(AB44,'GI Factors'!A:M,4,FALSE)+(C44*$AD$10)*VLOOKUP(AB44,'GI Factors'!A:M,7,FALSE)+(D44*$AD$10)*VLOOKUP(AB44,'GI Factors'!A:M,10,FALSE)+(E44*$AD$10)*VLOOKUP(AB44,'GI Factors'!A:M,13,FALSE)</f>
        <v>573610.682438966</v>
      </c>
      <c r="AE44" s="52">
        <f>(B44*$AE$10)*VLOOKUP(AC44,'GI Factors'!A:M,4,FALSE)+(C44*$AE$10)*VLOOKUP(AC44,'GI Factors'!A:M,7,FALSE)+(D44*$AE$10)*VLOOKUP(AC44,'GI Factors'!A:M,10,FALSE)+(E44*$AE$10)*VLOOKUP(AC44,'GI Factors'!A:M,13,FALSE)</f>
        <v>1361303.2861692808</v>
      </c>
      <c r="AF44" s="53">
        <f t="shared" si="14"/>
        <v>1934913.9686082467</v>
      </c>
      <c r="AG44" s="53">
        <f t="shared" si="15"/>
        <v>-3.2596290111541748E-9</v>
      </c>
      <c r="AH44" s="54">
        <v>0</v>
      </c>
      <c r="AI44" s="53">
        <f t="shared" si="17"/>
        <v>-3.2596290111541748E-9</v>
      </c>
      <c r="AJ44" s="53"/>
      <c r="AK44" s="55">
        <f>AI44</f>
        <v>-3.2596290111541748E-9</v>
      </c>
      <c r="AL44" s="55">
        <f t="shared" si="22"/>
        <v>0</v>
      </c>
      <c r="AM44" s="55">
        <f t="shared" si="25"/>
        <v>0</v>
      </c>
      <c r="AN44" s="55">
        <f t="shared" si="23"/>
        <v>0</v>
      </c>
      <c r="AO44" s="55">
        <f t="shared" si="20"/>
        <v>-8.149072527885437E-10</v>
      </c>
    </row>
    <row r="45" spans="1:41" s="56" customFormat="1" ht="11.25">
      <c r="A45" s="57" t="s">
        <v>73</v>
      </c>
      <c r="B45" s="38">
        <v>5017105.8010564577</v>
      </c>
      <c r="C45" s="38">
        <v>5481853.1249907082</v>
      </c>
      <c r="D45" s="38">
        <v>308981.41858655348</v>
      </c>
      <c r="E45" s="39">
        <v>-4986252.8894319041</v>
      </c>
      <c r="F45" s="58">
        <v>5821687.4552018149</v>
      </c>
      <c r="G45" s="58"/>
      <c r="H45" s="58">
        <f t="shared" si="0"/>
        <v>5821687.4552018149</v>
      </c>
      <c r="I45" s="59">
        <f>B45*VLOOKUP(I$9,'GI Factors'!A:M,4,FALSE)+C45*VLOOKUP(I$9,'GI Factors'!A:M,7,FALSE)+D45*VLOOKUP(I$9,'GI Factors'!A:M,10,FALSE)+E45*VLOOKUP(I$9,'GI Factors'!A:M,13,FALSE)</f>
        <v>5937771.6279447312</v>
      </c>
      <c r="J45" s="60"/>
      <c r="K45" s="59"/>
      <c r="L45" s="61"/>
      <c r="M45" s="59">
        <f t="shared" si="1"/>
        <v>0</v>
      </c>
      <c r="N45" s="62"/>
      <c r="O45" s="63"/>
      <c r="P45" s="62">
        <f t="shared" si="24"/>
        <v>753052.22206981853</v>
      </c>
      <c r="Q45" s="63">
        <f t="shared" si="3"/>
        <v>-753052.22206981853</v>
      </c>
      <c r="R45" s="63">
        <f t="shared" si="4"/>
        <v>0</v>
      </c>
      <c r="S45" s="60">
        <f t="shared" si="5"/>
        <v>-753052.22206981853</v>
      </c>
      <c r="T45" s="46">
        <f t="shared" si="6"/>
        <v>1.7147453473218296E-11</v>
      </c>
      <c r="U45" s="46">
        <f t="shared" si="7"/>
        <v>0</v>
      </c>
      <c r="V45" s="46">
        <f t="shared" si="8"/>
        <v>1.7147453473218296E-11</v>
      </c>
      <c r="W45" s="64">
        <f t="shared" si="9"/>
        <v>40</v>
      </c>
      <c r="X45" s="59">
        <f t="shared" si="10"/>
        <v>0</v>
      </c>
      <c r="Y45" s="65">
        <v>2016</v>
      </c>
      <c r="Z45" s="66">
        <v>2056</v>
      </c>
      <c r="AA45" s="50">
        <f t="shared" ref="AA45:AA66" si="26">Z45-2017</f>
        <v>39</v>
      </c>
      <c r="AB45" s="50">
        <f t="shared" ref="AB45:AB66" si="27">Z45+5</f>
        <v>2061</v>
      </c>
      <c r="AC45" s="51">
        <f t="shared" ref="AC45:AC66" si="28">Z45+6</f>
        <v>2062</v>
      </c>
      <c r="AD45" s="52">
        <f>(B45*$AD$10)*VLOOKUP(AB45,'GI Factors'!A:M,4,FALSE)+(C45*$AD$10)*VLOOKUP(AB45,'GI Factors'!A:M,7,FALSE)+(D45*$AD$10)*VLOOKUP(AB45,'GI Factors'!A:M,10,FALSE)+(E45*$AD$10)*VLOOKUP(AB45,'GI Factors'!A:M,13,FALSE)</f>
        <v>8806834.157427175</v>
      </c>
      <c r="AE45" s="52">
        <f>(B45*$AE$10)*VLOOKUP(AC45,'GI Factors'!A:M,4,FALSE)+(C45*$AE$10)*VLOOKUP(AC45,'GI Factors'!A:M,7,FALSE)+(D45*$AE$10)*VLOOKUP(AC45,'GI Factors'!A:M,10,FALSE)+(E45*$AE$10)*VLOOKUP(AC45,'GI Factors'!A:M,13,FALSE)</f>
        <v>21315254.725365534</v>
      </c>
      <c r="AF45" s="53">
        <f t="shared" si="14"/>
        <v>30122088.882792711</v>
      </c>
      <c r="AG45" s="53">
        <f t="shared" si="15"/>
        <v>30122088.882792711</v>
      </c>
      <c r="AH45" s="54">
        <f t="shared" ref="AH45:AH66" si="29">RATE(AA45,,-F45,AF45)</f>
        <v>4.3046072930886567E-2</v>
      </c>
      <c r="AI45" s="53">
        <f t="shared" si="17"/>
        <v>5821687.455201827</v>
      </c>
      <c r="AJ45" s="53"/>
      <c r="AK45" s="55">
        <f t="shared" ref="AK45:AK66" si="30">PMT(AH45,AA45,-AI45)</f>
        <v>310637.62775329582</v>
      </c>
      <c r="AL45" s="55">
        <f t="shared" si="22"/>
        <v>324009.3577326418</v>
      </c>
      <c r="AM45" s="55">
        <f t="shared" si="25"/>
        <v>337956.68817589083</v>
      </c>
      <c r="AN45" s="55">
        <f t="shared" si="23"/>
        <v>352504.39642259112</v>
      </c>
      <c r="AO45" s="55">
        <f t="shared" si="20"/>
        <v>331277.01752110489</v>
      </c>
    </row>
    <row r="46" spans="1:41" s="56" customFormat="1" ht="11.25">
      <c r="A46" s="57" t="s">
        <v>74</v>
      </c>
      <c r="B46" s="38">
        <v>2881979.1176945516</v>
      </c>
      <c r="C46" s="38">
        <v>3565802.5707920715</v>
      </c>
      <c r="D46" s="38">
        <v>229019.95970358874</v>
      </c>
      <c r="E46" s="39">
        <v>-363284.61340347707</v>
      </c>
      <c r="F46" s="58">
        <v>6313517.0347867347</v>
      </c>
      <c r="G46" s="58"/>
      <c r="H46" s="58">
        <f t="shared" si="0"/>
        <v>6313517.0347867347</v>
      </c>
      <c r="I46" s="59">
        <f>B46*VLOOKUP(I$9,'GI Factors'!A:M,4,FALSE)+C46*VLOOKUP(I$9,'GI Factors'!A:M,7,FALSE)+D46*VLOOKUP(I$9,'GI Factors'!A:M,10,FALSE)+E46*VLOOKUP(I$9,'GI Factors'!A:M,13,FALSE)</f>
        <v>6255092.2560616117</v>
      </c>
      <c r="J46" s="60">
        <v>0</v>
      </c>
      <c r="K46" s="59">
        <v>0</v>
      </c>
      <c r="L46" s="61"/>
      <c r="M46" s="59">
        <f t="shared" ref="M46:M66" si="31">J46+K46+L46</f>
        <v>0</v>
      </c>
      <c r="N46" s="62"/>
      <c r="O46" s="63"/>
      <c r="P46" s="62">
        <f t="shared" si="24"/>
        <v>1542566.6251700446</v>
      </c>
      <c r="Q46" s="63">
        <f t="shared" ref="Q46:Q66" si="32">X46-P46</f>
        <v>-1542566.6251700446</v>
      </c>
      <c r="R46" s="63">
        <f t="shared" ref="R46:R66" si="33">IF(Q46&lt;0,0,+Q46)</f>
        <v>0</v>
      </c>
      <c r="S46" s="60">
        <f t="shared" ref="S46:S66" si="34">+IF(Q46&gt;0,0,+Q46)</f>
        <v>-1542566.6251700446</v>
      </c>
      <c r="T46" s="46">
        <f t="shared" ref="T46:T66" si="35">+$R$68*(S46/$S$68)</f>
        <v>3.5125172809051635E-11</v>
      </c>
      <c r="U46" s="46">
        <f t="shared" ref="U46:U66" si="36">-$T$68*(R46/$R$68)</f>
        <v>0</v>
      </c>
      <c r="V46" s="46">
        <f t="shared" ref="V46:V66" si="37">T46+U46</f>
        <v>3.5125172809051635E-11</v>
      </c>
      <c r="W46" s="64">
        <f t="shared" ref="W46:W66" si="38">Z46-Y46</f>
        <v>40</v>
      </c>
      <c r="X46" s="59">
        <f t="shared" ref="X46:X66" si="39">M46+N46+O46</f>
        <v>0</v>
      </c>
      <c r="Y46" s="65">
        <v>2014</v>
      </c>
      <c r="Z46" s="66">
        <v>2054</v>
      </c>
      <c r="AA46" s="50">
        <f t="shared" si="26"/>
        <v>37</v>
      </c>
      <c r="AB46" s="50">
        <f t="shared" si="27"/>
        <v>2059</v>
      </c>
      <c r="AC46" s="51">
        <f t="shared" si="28"/>
        <v>2060</v>
      </c>
      <c r="AD46" s="52">
        <f>(B46*$AD$10)*VLOOKUP(AB46,'GI Factors'!A:M,4,FALSE)+(C46*$AD$10)*VLOOKUP(AB46,'GI Factors'!A:M,7,FALSE)+(D46*$AD$10)*VLOOKUP(AB46,'GI Factors'!A:M,10,FALSE)+(E46*$AD$10)*VLOOKUP(AB46,'GI Factors'!A:M,13,FALSE)</f>
        <v>6039702.8464695467</v>
      </c>
      <c r="AE46" s="52">
        <f>(B46*$AE$10)*VLOOKUP(AC46,'GI Factors'!A:M,4,FALSE)+(C46*$AE$10)*VLOOKUP(AC46,'GI Factors'!A:M,7,FALSE)+(D46*$AE$10)*VLOOKUP(AC46,'GI Factors'!A:M,10,FALSE)+(E46*$AE$10)*VLOOKUP(AC46,'GI Factors'!A:M,13,FALSE)</f>
        <v>14527852.155797742</v>
      </c>
      <c r="AF46" s="53">
        <f t="shared" ref="AF46:AF66" si="40">SUM(AD46:AE46)</f>
        <v>20567555.00226729</v>
      </c>
      <c r="AG46" s="53">
        <f t="shared" ref="AG46:AG66" si="41">AF46-X46</f>
        <v>20567555.00226729</v>
      </c>
      <c r="AH46" s="54">
        <f t="shared" si="29"/>
        <v>3.2434403219931247E-2</v>
      </c>
      <c r="AI46" s="53">
        <f t="shared" ref="AI46:AI66" si="42">PV(AH46,AA46,,-AG46)</f>
        <v>6313517.0347867152</v>
      </c>
      <c r="AJ46" s="53"/>
      <c r="AK46" s="55">
        <f t="shared" si="30"/>
        <v>295475.87282180093</v>
      </c>
      <c r="AL46" s="55">
        <f t="shared" si="22"/>
        <v>305059.45642266434</v>
      </c>
      <c r="AM46" s="55">
        <f t="shared" si="25"/>
        <v>314953.87783833011</v>
      </c>
      <c r="AN46" s="55">
        <f t="shared" si="23"/>
        <v>325169.21890781948</v>
      </c>
      <c r="AO46" s="55">
        <f t="shared" ref="AO46:AO66" si="43">AVERAGE(AK46:AN46)</f>
        <v>310164.60649765376</v>
      </c>
    </row>
    <row r="47" spans="1:41" s="56" customFormat="1" ht="11.25">
      <c r="A47" s="57" t="s">
        <v>75</v>
      </c>
      <c r="B47" s="38">
        <v>5045179.3181707775</v>
      </c>
      <c r="C47" s="38">
        <v>5512527.1636944963</v>
      </c>
      <c r="D47" s="38">
        <v>265601.66559399635</v>
      </c>
      <c r="E47" s="39">
        <v>-4024241.2901203092</v>
      </c>
      <c r="F47" s="58">
        <v>6799066.8573389612</v>
      </c>
      <c r="G47" s="58"/>
      <c r="H47" s="58">
        <f t="shared" si="0"/>
        <v>6799066.8573389612</v>
      </c>
      <c r="I47" s="59">
        <f>B47*VLOOKUP(I$9,'GI Factors'!A:M,4,FALSE)+C47*VLOOKUP(I$9,'GI Factors'!A:M,7,FALSE)+D47*VLOOKUP(I$9,'GI Factors'!A:M,10,FALSE)+E47*VLOOKUP(I$9,'GI Factors'!A:M,13,FALSE)</f>
        <v>6872407.1841635182</v>
      </c>
      <c r="J47" s="60">
        <v>0</v>
      </c>
      <c r="K47" s="59">
        <v>0</v>
      </c>
      <c r="L47" s="61"/>
      <c r="M47" s="59">
        <f t="shared" si="31"/>
        <v>0</v>
      </c>
      <c r="N47" s="62"/>
      <c r="O47" s="63"/>
      <c r="P47" s="62">
        <f t="shared" si="24"/>
        <v>2213628.5925049409</v>
      </c>
      <c r="Q47" s="63">
        <f t="shared" si="32"/>
        <v>-2213628.5925049409</v>
      </c>
      <c r="R47" s="63">
        <f t="shared" si="33"/>
        <v>0</v>
      </c>
      <c r="S47" s="60">
        <f t="shared" si="34"/>
        <v>-2213628.5925049409</v>
      </c>
      <c r="T47" s="46">
        <f t="shared" si="35"/>
        <v>5.0405658710671627E-11</v>
      </c>
      <c r="U47" s="46">
        <f t="shared" si="36"/>
        <v>0</v>
      </c>
      <c r="V47" s="46">
        <f t="shared" si="37"/>
        <v>5.0405658710671627E-11</v>
      </c>
      <c r="W47" s="64">
        <f t="shared" si="38"/>
        <v>40</v>
      </c>
      <c r="X47" s="59">
        <f t="shared" si="39"/>
        <v>0</v>
      </c>
      <c r="Y47" s="65">
        <v>2014</v>
      </c>
      <c r="Z47" s="66">
        <v>2054</v>
      </c>
      <c r="AA47" s="50">
        <f t="shared" si="26"/>
        <v>37</v>
      </c>
      <c r="AB47" s="50">
        <f t="shared" si="27"/>
        <v>2059</v>
      </c>
      <c r="AC47" s="51">
        <f t="shared" si="28"/>
        <v>2060</v>
      </c>
      <c r="AD47" s="52">
        <f>(B47*$AD$10)*VLOOKUP(AB47,'GI Factors'!A:M,4,FALSE)+(C47*$AD$10)*VLOOKUP(AB47,'GI Factors'!A:M,7,FALSE)+(D47*$AD$10)*VLOOKUP(AB47,'GI Factors'!A:M,10,FALSE)+(E47*$AD$10)*VLOOKUP(AB47,'GI Factors'!A:M,13,FALSE)</f>
        <v>8637947.5634874571</v>
      </c>
      <c r="AE47" s="52">
        <f>(B47*$AE$10)*VLOOKUP(AC47,'GI Factors'!A:M,4,FALSE)+(C47*$AE$10)*VLOOKUP(AC47,'GI Factors'!A:M,7,FALSE)+(D47*$AE$10)*VLOOKUP(AC47,'GI Factors'!A:M,10,FALSE)+(E47*$AE$10)*VLOOKUP(AC47,'GI Factors'!A:M,13,FALSE)</f>
        <v>20877100.336578444</v>
      </c>
      <c r="AF47" s="53">
        <f t="shared" si="40"/>
        <v>29515047.900065899</v>
      </c>
      <c r="AG47" s="53">
        <f t="shared" si="41"/>
        <v>29515047.900065899</v>
      </c>
      <c r="AH47" s="54">
        <f t="shared" si="29"/>
        <v>4.0476498525268807E-2</v>
      </c>
      <c r="AI47" s="53">
        <f t="shared" si="42"/>
        <v>6799066.8573389789</v>
      </c>
      <c r="AJ47" s="53"/>
      <c r="AK47" s="55">
        <f t="shared" si="30"/>
        <v>357572.60855900683</v>
      </c>
      <c r="AL47" s="55">
        <f t="shared" si="22"/>
        <v>372045.89572202199</v>
      </c>
      <c r="AM47" s="55">
        <f t="shared" si="25"/>
        <v>387105.01087154675</v>
      </c>
      <c r="AN47" s="55">
        <f t="shared" si="23"/>
        <v>402773.66627321305</v>
      </c>
      <c r="AO47" s="55">
        <f t="shared" si="43"/>
        <v>379874.29535644717</v>
      </c>
    </row>
    <row r="48" spans="1:41" s="56" customFormat="1" ht="11.25">
      <c r="A48" s="57" t="s">
        <v>76</v>
      </c>
      <c r="B48" s="38">
        <v>4570036.4363128301</v>
      </c>
      <c r="C48" s="38">
        <v>5427707.6298814695</v>
      </c>
      <c r="D48" s="38">
        <v>629977.33011792239</v>
      </c>
      <c r="E48" s="39">
        <v>-560475.78684312862</v>
      </c>
      <c r="F48" s="58">
        <v>10067245.609469093</v>
      </c>
      <c r="G48" s="58"/>
      <c r="H48" s="58">
        <f t="shared" si="0"/>
        <v>10067245.609469093</v>
      </c>
      <c r="I48" s="59">
        <f>B48*VLOOKUP(I$9,'GI Factors'!A:M,4,FALSE)+C48*VLOOKUP(I$9,'GI Factors'!A:M,7,FALSE)+D48*VLOOKUP(I$9,'GI Factors'!A:M,10,FALSE)+E48*VLOOKUP(I$9,'GI Factors'!A:M,13,FALSE)</f>
        <v>9986986.1923948694</v>
      </c>
      <c r="J48" s="60">
        <v>10432013.74</v>
      </c>
      <c r="K48" s="59">
        <v>306085</v>
      </c>
      <c r="L48" s="61"/>
      <c r="M48" s="59">
        <f t="shared" si="31"/>
        <v>10738098.74</v>
      </c>
      <c r="N48" s="62">
        <v>-2407345.9000297729</v>
      </c>
      <c r="O48" s="63"/>
      <c r="P48" s="62">
        <f t="shared" si="24"/>
        <v>8330752.8399702273</v>
      </c>
      <c r="Q48" s="63">
        <f t="shared" si="32"/>
        <v>0</v>
      </c>
      <c r="R48" s="63">
        <f t="shared" si="33"/>
        <v>0</v>
      </c>
      <c r="S48" s="60">
        <f t="shared" si="34"/>
        <v>0</v>
      </c>
      <c r="T48" s="46">
        <f t="shared" si="35"/>
        <v>0</v>
      </c>
      <c r="U48" s="46">
        <f t="shared" si="36"/>
        <v>0</v>
      </c>
      <c r="V48" s="46">
        <f t="shared" si="37"/>
        <v>0</v>
      </c>
      <c r="W48" s="64">
        <f t="shared" si="38"/>
        <v>40</v>
      </c>
      <c r="X48" s="59">
        <f t="shared" si="39"/>
        <v>8330752.8399702273</v>
      </c>
      <c r="Y48" s="65">
        <v>2003</v>
      </c>
      <c r="Z48" s="66">
        <v>2043</v>
      </c>
      <c r="AA48" s="50">
        <f t="shared" si="26"/>
        <v>26</v>
      </c>
      <c r="AB48" s="50">
        <f t="shared" si="27"/>
        <v>2048</v>
      </c>
      <c r="AC48" s="51">
        <f t="shared" si="28"/>
        <v>2049</v>
      </c>
      <c r="AD48" s="52">
        <f>(B48*$AD$10)*VLOOKUP(AB48,'GI Factors'!A:M,4,FALSE)+(C48*$AD$10)*VLOOKUP(AB48,'GI Factors'!A:M,7,FALSE)+(D48*$AD$10)*VLOOKUP(AB48,'GI Factors'!A:M,10,FALSE)+(E48*$AD$10)*VLOOKUP(AB48,'GI Factors'!A:M,13,FALSE)</f>
        <v>6997617.3852744186</v>
      </c>
      <c r="AE48" s="52">
        <f>(B48*$AE$10)*VLOOKUP(AC48,'GI Factors'!A:M,4,FALSE)+(C48*$AE$10)*VLOOKUP(AC48,'GI Factors'!A:M,7,FALSE)+(D48*$AE$10)*VLOOKUP(AC48,'GI Factors'!A:M,10,FALSE)+(E48*$AE$10)*VLOOKUP(AC48,'GI Factors'!A:M,13,FALSE)</f>
        <v>16804533.586069092</v>
      </c>
      <c r="AF48" s="53">
        <f t="shared" si="40"/>
        <v>23802150.97134351</v>
      </c>
      <c r="AG48" s="53">
        <f t="shared" si="41"/>
        <v>15471398.131373283</v>
      </c>
      <c r="AH48" s="54">
        <f t="shared" si="29"/>
        <v>3.3649478956587535E-2</v>
      </c>
      <c r="AI48" s="53">
        <f t="shared" si="42"/>
        <v>6543709.6461549252</v>
      </c>
      <c r="AJ48" s="53"/>
      <c r="AK48" s="55">
        <f t="shared" si="30"/>
        <v>381586.40968855331</v>
      </c>
      <c r="AL48" s="55">
        <f t="shared" si="22"/>
        <v>394426.59355148807</v>
      </c>
      <c r="AM48" s="55">
        <f t="shared" si="25"/>
        <v>407698.84291111736</v>
      </c>
      <c r="AN48" s="55">
        <f t="shared" si="23"/>
        <v>421417.69654628012</v>
      </c>
      <c r="AO48" s="55">
        <f t="shared" si="43"/>
        <v>401282.38567435968</v>
      </c>
    </row>
    <row r="49" spans="1:41" s="56" customFormat="1" ht="11.25">
      <c r="A49" s="57" t="s">
        <v>77</v>
      </c>
      <c r="B49" s="38">
        <v>4858570.6522881538</v>
      </c>
      <c r="C49" s="38">
        <v>5308632.4604965691</v>
      </c>
      <c r="D49" s="38">
        <v>259597.68562062192</v>
      </c>
      <c r="E49" s="39">
        <v>-4248016.0300417049</v>
      </c>
      <c r="F49" s="58">
        <v>6178784.7683636406</v>
      </c>
      <c r="G49" s="58"/>
      <c r="H49" s="58">
        <f t="shared" si="0"/>
        <v>6178784.7683636406</v>
      </c>
      <c r="I49" s="59">
        <f>B49*VLOOKUP(I$9,'GI Factors'!A:M,4,FALSE)+C49*VLOOKUP(I$9,'GI Factors'!A:M,7,FALSE)+D49*VLOOKUP(I$9,'GI Factors'!A:M,10,FALSE)+E49*VLOOKUP(I$9,'GI Factors'!A:M,13,FALSE)</f>
        <v>6265575.1773019508</v>
      </c>
      <c r="J49" s="60">
        <v>7095187.2800000003</v>
      </c>
      <c r="K49" s="59">
        <v>590434</v>
      </c>
      <c r="L49" s="61"/>
      <c r="M49" s="59">
        <f t="shared" si="31"/>
        <v>7685621.2800000003</v>
      </c>
      <c r="N49" s="62">
        <v>-1085574.8903882122</v>
      </c>
      <c r="O49" s="63"/>
      <c r="P49" s="62">
        <f t="shared" si="24"/>
        <v>6600046.3896117881</v>
      </c>
      <c r="Q49" s="63">
        <f t="shared" si="32"/>
        <v>0</v>
      </c>
      <c r="R49" s="63">
        <f t="shared" si="33"/>
        <v>0</v>
      </c>
      <c r="S49" s="60">
        <f t="shared" si="34"/>
        <v>0</v>
      </c>
      <c r="T49" s="46">
        <f t="shared" si="35"/>
        <v>0</v>
      </c>
      <c r="U49" s="46">
        <f t="shared" si="36"/>
        <v>0</v>
      </c>
      <c r="V49" s="46">
        <f t="shared" si="37"/>
        <v>0</v>
      </c>
      <c r="W49" s="64">
        <f t="shared" si="38"/>
        <v>40</v>
      </c>
      <c r="X49" s="59">
        <f t="shared" si="39"/>
        <v>6600046.3896117881</v>
      </c>
      <c r="Y49" s="65">
        <v>2003</v>
      </c>
      <c r="Z49" s="66">
        <v>2043</v>
      </c>
      <c r="AA49" s="50">
        <f t="shared" si="26"/>
        <v>26</v>
      </c>
      <c r="AB49" s="50">
        <f t="shared" si="27"/>
        <v>2048</v>
      </c>
      <c r="AC49" s="51">
        <f t="shared" si="28"/>
        <v>2049</v>
      </c>
      <c r="AD49" s="52">
        <f>(B49*$AD$10)*VLOOKUP(AB49,'GI Factors'!A:M,4,FALSE)+(C49*$AD$10)*VLOOKUP(AB49,'GI Factors'!A:M,7,FALSE)+(D49*$AD$10)*VLOOKUP(AB49,'GI Factors'!A:M,10,FALSE)+(E49*$AD$10)*VLOOKUP(AB49,'GI Factors'!A:M,13,FALSE)</f>
        <v>5518341.9262510967</v>
      </c>
      <c r="AE49" s="52">
        <f>(B49*$AE$10)*VLOOKUP(AC49,'GI Factors'!A:M,4,FALSE)+(C49*$AE$10)*VLOOKUP(AC49,'GI Factors'!A:M,7,FALSE)+(D49*$AE$10)*VLOOKUP(AC49,'GI Factors'!A:M,10,FALSE)+(E49*$AE$10)*VLOOKUP(AC49,'GI Factors'!A:M,13,FALSE)</f>
        <v>13338933.472639725</v>
      </c>
      <c r="AF49" s="53">
        <f t="shared" si="40"/>
        <v>18857275.398890823</v>
      </c>
      <c r="AG49" s="53">
        <f t="shared" si="41"/>
        <v>12257229.009279035</v>
      </c>
      <c r="AH49" s="54">
        <f t="shared" si="29"/>
        <v>4.3848649585281667E-2</v>
      </c>
      <c r="AI49" s="53">
        <f t="shared" si="42"/>
        <v>4016210.0994363697</v>
      </c>
      <c r="AJ49" s="53"/>
      <c r="AK49" s="55">
        <f t="shared" si="30"/>
        <v>261929.27235924124</v>
      </c>
      <c r="AL49" s="55">
        <f t="shared" si="22"/>
        <v>273414.51723904943</v>
      </c>
      <c r="AM49" s="55">
        <f t="shared" si="25"/>
        <v>285403.37459699344</v>
      </c>
      <c r="AN49" s="55">
        <f t="shared" si="23"/>
        <v>297917.92716015386</v>
      </c>
      <c r="AO49" s="55">
        <f t="shared" si="43"/>
        <v>279666.27283885947</v>
      </c>
    </row>
    <row r="50" spans="1:41" s="56" customFormat="1" ht="11.25">
      <c r="A50" s="57" t="s">
        <v>78</v>
      </c>
      <c r="B50" s="38">
        <v>4839859.2535168575</v>
      </c>
      <c r="C50" s="38">
        <v>5288187.7770685684</v>
      </c>
      <c r="D50" s="38">
        <v>259597.68562062192</v>
      </c>
      <c r="E50" s="39">
        <v>-4234964.6550417049</v>
      </c>
      <c r="F50" s="58">
        <v>6152680.0611643447</v>
      </c>
      <c r="G50" s="58"/>
      <c r="H50" s="58">
        <f t="shared" si="0"/>
        <v>6152680.0611643447</v>
      </c>
      <c r="I50" s="59">
        <f>B50*VLOOKUP(I$9,'GI Factors'!A:M,4,FALSE)+C50*VLOOKUP(I$9,'GI Factors'!A:M,7,FALSE)+D50*VLOOKUP(I$9,'GI Factors'!A:M,10,FALSE)+E50*VLOOKUP(I$9,'GI Factors'!A:M,13,FALSE)</f>
        <v>6239292.3109606458</v>
      </c>
      <c r="J50" s="60">
        <v>7720192.1100000003</v>
      </c>
      <c r="K50" s="59">
        <v>584194</v>
      </c>
      <c r="L50" s="61"/>
      <c r="M50" s="59">
        <f t="shared" si="31"/>
        <v>8304386.1100000003</v>
      </c>
      <c r="N50" s="62">
        <v>-1505406.0534520419</v>
      </c>
      <c r="O50" s="63"/>
      <c r="P50" s="62">
        <f t="shared" si="24"/>
        <v>6798980.0565479584</v>
      </c>
      <c r="Q50" s="63">
        <f t="shared" si="32"/>
        <v>0</v>
      </c>
      <c r="R50" s="63">
        <f t="shared" si="33"/>
        <v>0</v>
      </c>
      <c r="S50" s="60">
        <f t="shared" si="34"/>
        <v>0</v>
      </c>
      <c r="T50" s="46">
        <f t="shared" si="35"/>
        <v>0</v>
      </c>
      <c r="U50" s="46">
        <f t="shared" si="36"/>
        <v>0</v>
      </c>
      <c r="V50" s="46">
        <f t="shared" si="37"/>
        <v>0</v>
      </c>
      <c r="W50" s="64">
        <f t="shared" si="38"/>
        <v>40</v>
      </c>
      <c r="X50" s="59">
        <f t="shared" si="39"/>
        <v>6798980.0565479584</v>
      </c>
      <c r="Y50" s="65">
        <v>2002</v>
      </c>
      <c r="Z50" s="66">
        <v>2042</v>
      </c>
      <c r="AA50" s="50">
        <f t="shared" si="26"/>
        <v>25</v>
      </c>
      <c r="AB50" s="50">
        <f t="shared" si="27"/>
        <v>2047</v>
      </c>
      <c r="AC50" s="51">
        <f t="shared" si="28"/>
        <v>2048</v>
      </c>
      <c r="AD50" s="52">
        <f>(B50*$AD$10)*VLOOKUP(AB50,'GI Factors'!A:M,4,FALSE)+(C50*$AD$10)*VLOOKUP(AB50,'GI Factors'!A:M,7,FALSE)+(D50*$AD$10)*VLOOKUP(AB50,'GI Factors'!A:M,10,FALSE)+(E50*$AD$10)*VLOOKUP(AB50,'GI Factors'!A:M,13,FALSE)</f>
        <v>5305831.9040478254</v>
      </c>
      <c r="AE50" s="52">
        <f>(B50*$AE$10)*VLOOKUP(AC50,'GI Factors'!A:M,4,FALSE)+(C50*$AE$10)*VLOOKUP(AC50,'GI Factors'!A:M,7,FALSE)+(D50*$AE$10)*VLOOKUP(AC50,'GI Factors'!A:M,10,FALSE)+(E50*$AE$10)*VLOOKUP(AC50,'GI Factors'!A:M,13,FALSE)</f>
        <v>12824781.580080062</v>
      </c>
      <c r="AF50" s="53">
        <f t="shared" si="40"/>
        <v>18130613.484127887</v>
      </c>
      <c r="AG50" s="53">
        <f t="shared" si="41"/>
        <v>11331633.427579928</v>
      </c>
      <c r="AH50" s="54">
        <f t="shared" si="29"/>
        <v>4.4176528452423675E-2</v>
      </c>
      <c r="AI50" s="53">
        <f t="shared" si="42"/>
        <v>3845425.0382277295</v>
      </c>
      <c r="AJ50" s="53"/>
      <c r="AK50" s="55">
        <f t="shared" si="30"/>
        <v>257138.16416904633</v>
      </c>
      <c r="AL50" s="55">
        <f t="shared" si="22"/>
        <v>268497.6355946642</v>
      </c>
      <c r="AM50" s="55">
        <f t="shared" si="25"/>
        <v>280358.92903292034</v>
      </c>
      <c r="AN50" s="55">
        <f t="shared" si="23"/>
        <v>292744.21323823417</v>
      </c>
      <c r="AO50" s="55">
        <f t="shared" si="43"/>
        <v>274684.73550871626</v>
      </c>
    </row>
    <row r="51" spans="1:41" s="56" customFormat="1" ht="12.75">
      <c r="A51" s="57" t="s">
        <v>79</v>
      </c>
      <c r="B51" s="38">
        <v>19566570.034988631</v>
      </c>
      <c r="C51" s="38">
        <v>13474309.196746578</v>
      </c>
      <c r="D51" s="38">
        <v>400221.39776833251</v>
      </c>
      <c r="E51" s="39">
        <v>-278298.92971855565</v>
      </c>
      <c r="F51" s="58">
        <v>33162801.699784983</v>
      </c>
      <c r="G51" s="58"/>
      <c r="H51" s="58">
        <f t="shared" si="0"/>
        <v>33162801.699784983</v>
      </c>
      <c r="I51" s="59">
        <f>B51*VLOOKUP(I$9,'GI Factors'!A:M,4,FALSE)+C51*VLOOKUP(I$9,'GI Factors'!A:M,7,FALSE)+D51*VLOOKUP(I$9,'GI Factors'!A:M,10,FALSE)+E51*VLOOKUP(I$9,'GI Factors'!A:M,13,FALSE)</f>
        <v>33110495.758596279</v>
      </c>
      <c r="J51" s="60">
        <v>20717508.52</v>
      </c>
      <c r="K51" s="59">
        <v>838968</v>
      </c>
      <c r="L51" s="61"/>
      <c r="M51" s="59">
        <f t="shared" si="31"/>
        <v>21556476.52</v>
      </c>
      <c r="N51" s="62"/>
      <c r="O51" s="63"/>
      <c r="P51" s="62">
        <f t="shared" si="24"/>
        <v>43000788.807976007</v>
      </c>
      <c r="Q51" s="63">
        <f t="shared" si="32"/>
        <v>-21444312.287976008</v>
      </c>
      <c r="R51" s="63">
        <f t="shared" si="33"/>
        <v>0</v>
      </c>
      <c r="S51" s="60">
        <f t="shared" si="34"/>
        <v>-21444312.287976008</v>
      </c>
      <c r="T51" s="46">
        <f t="shared" si="35"/>
        <v>4.8829992986746618E-10</v>
      </c>
      <c r="U51" s="46">
        <f t="shared" si="36"/>
        <v>0</v>
      </c>
      <c r="V51" s="46">
        <f t="shared" si="37"/>
        <v>4.8829992986746618E-10</v>
      </c>
      <c r="W51" s="64">
        <f t="shared" si="38"/>
        <v>50</v>
      </c>
      <c r="X51" s="59">
        <f t="shared" si="39"/>
        <v>21556476.52</v>
      </c>
      <c r="Y51" s="65">
        <v>1989</v>
      </c>
      <c r="Z51" s="66">
        <v>2039</v>
      </c>
      <c r="AA51" s="50">
        <f t="shared" si="26"/>
        <v>22</v>
      </c>
      <c r="AB51" s="50">
        <f t="shared" si="27"/>
        <v>2044</v>
      </c>
      <c r="AC51" s="51">
        <f t="shared" si="28"/>
        <v>2045</v>
      </c>
      <c r="AD51" s="52">
        <f>(B51*$AD$10)*VLOOKUP(AB51,'GI Factors'!A:M,4,FALSE)+(C51*$AD$10)*VLOOKUP(AB51,'GI Factors'!A:M,7,FALSE)+(D51*$AD$10)*VLOOKUP(AB51,'GI Factors'!A:M,10,FALSE)+(E51*$AD$10)*VLOOKUP(AB51,'GI Factors'!A:M,13,FALSE)</f>
        <v>22540623.594333939</v>
      </c>
      <c r="AE51" s="52">
        <f>(B51*$AE$10)*VLOOKUP(AC51,'GI Factors'!A:M,4,FALSE)+(C51*$AE$10)*VLOOKUP(AC51,'GI Factors'!A:M,7,FALSE)+(D51*$AE$10)*VLOOKUP(AC51,'GI Factors'!A:M,10,FALSE)+(E51*$AE$10)*VLOOKUP(AC51,'GI Factors'!A:M,13,FALSE)</f>
        <v>54246499.277051777</v>
      </c>
      <c r="AF51" s="53">
        <f t="shared" si="40"/>
        <v>76787122.871385723</v>
      </c>
      <c r="AG51" s="53">
        <f t="shared" si="41"/>
        <v>55230646.351385728</v>
      </c>
      <c r="AH51" s="54">
        <f t="shared" si="29"/>
        <v>3.8901605292179307E-2</v>
      </c>
      <c r="AI51" s="53">
        <f t="shared" si="42"/>
        <v>23852996.494865347</v>
      </c>
      <c r="AJ51" s="53"/>
      <c r="AK51" s="55">
        <f t="shared" si="30"/>
        <v>1633315.8656098226</v>
      </c>
      <c r="AL51" s="55">
        <f t="shared" si="22"/>
        <v>1696854.4747312302</v>
      </c>
      <c r="AM51" s="55">
        <f t="shared" si="25"/>
        <v>1762864.8377454928</v>
      </c>
      <c r="AN51" s="55">
        <f t="shared" si="23"/>
        <v>1831443.1098469298</v>
      </c>
      <c r="AO51" s="55">
        <f t="shared" si="43"/>
        <v>1731119.5719833688</v>
      </c>
    </row>
    <row r="52" spans="1:41" s="56" customFormat="1" ht="12.75">
      <c r="A52" s="57" t="s">
        <v>80</v>
      </c>
      <c r="B52" s="38">
        <v>556917.10282394534</v>
      </c>
      <c r="C52" s="38">
        <v>737409.10888827627</v>
      </c>
      <c r="D52" s="38">
        <v>47496.164233896532</v>
      </c>
      <c r="E52" s="39">
        <v>-342321.83930238901</v>
      </c>
      <c r="F52" s="58">
        <v>999500.53664372896</v>
      </c>
      <c r="G52" s="58"/>
      <c r="H52" s="58">
        <f t="shared" si="0"/>
        <v>999500.53664372896</v>
      </c>
      <c r="I52" s="59">
        <f>B52*VLOOKUP(I$9,'GI Factors'!A:M,4,FALSE)+C52*VLOOKUP(I$9,'GI Factors'!A:M,7,FALSE)+D52*VLOOKUP(I$9,'GI Factors'!A:M,10,FALSE)+E52*VLOOKUP(I$9,'GI Factors'!A:M,13,FALSE)</f>
        <v>997974.95041158632</v>
      </c>
      <c r="J52" s="60">
        <v>2629244</v>
      </c>
      <c r="K52" s="59">
        <v>100217</v>
      </c>
      <c r="L52" s="61"/>
      <c r="M52" s="59">
        <f t="shared" si="31"/>
        <v>2729461</v>
      </c>
      <c r="N52" s="62">
        <v>-1458440.1039681011</v>
      </c>
      <c r="O52" s="63"/>
      <c r="P52" s="62">
        <f t="shared" si="24"/>
        <v>1271020.8960318989</v>
      </c>
      <c r="Q52" s="63">
        <f t="shared" si="32"/>
        <v>0</v>
      </c>
      <c r="R52" s="63">
        <f t="shared" si="33"/>
        <v>0</v>
      </c>
      <c r="S52" s="60">
        <f t="shared" si="34"/>
        <v>0</v>
      </c>
      <c r="T52" s="46">
        <f t="shared" si="35"/>
        <v>0</v>
      </c>
      <c r="U52" s="46">
        <f t="shared" si="36"/>
        <v>0</v>
      </c>
      <c r="V52" s="46">
        <f t="shared" si="37"/>
        <v>0</v>
      </c>
      <c r="W52" s="64">
        <f t="shared" si="38"/>
        <v>50</v>
      </c>
      <c r="X52" s="59">
        <f t="shared" si="39"/>
        <v>1271020.8960318989</v>
      </c>
      <c r="Y52" s="65">
        <v>1989</v>
      </c>
      <c r="Z52" s="66">
        <v>2039</v>
      </c>
      <c r="AA52" s="50">
        <f t="shared" si="26"/>
        <v>22</v>
      </c>
      <c r="AB52" s="50">
        <f t="shared" si="27"/>
        <v>2044</v>
      </c>
      <c r="AC52" s="51">
        <f t="shared" si="28"/>
        <v>2045</v>
      </c>
      <c r="AD52" s="52">
        <f>(B52*$AD$10)*VLOOKUP(AB52,'GI Factors'!A:M,4,FALSE)+(C52*$AD$10)*VLOOKUP(AB52,'GI Factors'!A:M,7,FALSE)+(D52*$AD$10)*VLOOKUP(AB52,'GI Factors'!A:M,10,FALSE)+(E52*$AD$10)*VLOOKUP(AB52,'GI Factors'!A:M,13,FALSE)</f>
        <v>666366.90344621334</v>
      </c>
      <c r="AE52" s="52">
        <f>(B52*$AE$10)*VLOOKUP(AC52,'GI Factors'!A:M,4,FALSE)+(C52*$AE$10)*VLOOKUP(AC52,'GI Factors'!A:M,7,FALSE)+(D52*$AE$10)*VLOOKUP(AC52,'GI Factors'!A:M,10,FALSE)+(E52*$AE$10)*VLOOKUP(AC52,'GI Factors'!A:M,13,FALSE)</f>
        <v>1603313.2680393206</v>
      </c>
      <c r="AF52" s="53">
        <f t="shared" si="40"/>
        <v>2269680.1714855339</v>
      </c>
      <c r="AG52" s="53">
        <f t="shared" si="41"/>
        <v>998659.27545363503</v>
      </c>
      <c r="AH52" s="54">
        <f t="shared" si="29"/>
        <v>3.798260193133926E-2</v>
      </c>
      <c r="AI52" s="53">
        <f t="shared" si="42"/>
        <v>439780.23612324207</v>
      </c>
      <c r="AJ52" s="53"/>
      <c r="AK52" s="55">
        <f t="shared" si="30"/>
        <v>29848.323183241529</v>
      </c>
      <c r="AL52" s="55">
        <f t="shared" si="22"/>
        <v>30982.040161028555</v>
      </c>
      <c r="AM52" s="55">
        <f t="shared" si="25"/>
        <v>32158.818659485667</v>
      </c>
      <c r="AN52" s="55">
        <f t="shared" si="23"/>
        <v>33380.294267211037</v>
      </c>
      <c r="AO52" s="55">
        <f t="shared" si="43"/>
        <v>31592.369067741696</v>
      </c>
    </row>
    <row r="53" spans="1:41" s="56" customFormat="1" ht="12.75">
      <c r="A53" s="57" t="s">
        <v>81</v>
      </c>
      <c r="B53" s="38">
        <v>8470120.8228993118</v>
      </c>
      <c r="C53" s="38">
        <v>11215213.568624601</v>
      </c>
      <c r="D53" s="38">
        <v>829599.39023714548</v>
      </c>
      <c r="E53" s="39">
        <v>-5554476.2440460529</v>
      </c>
      <c r="F53" s="58">
        <v>14960457.537715005</v>
      </c>
      <c r="G53" s="58"/>
      <c r="H53" s="58">
        <f t="shared" si="0"/>
        <v>14960457.537715005</v>
      </c>
      <c r="I53" s="59">
        <f>B53*VLOOKUP(I$9,'GI Factors'!A:M,4,FALSE)+C53*VLOOKUP(I$9,'GI Factors'!A:M,7,FALSE)+D53*VLOOKUP(I$9,'GI Factors'!A:M,10,FALSE)+E53*VLOOKUP(I$9,'GI Factors'!A:M,13,FALSE)</f>
        <v>14953704.662484899</v>
      </c>
      <c r="J53" s="60">
        <v>18259841.52</v>
      </c>
      <c r="K53" s="59">
        <v>831142</v>
      </c>
      <c r="L53" s="61"/>
      <c r="M53" s="59">
        <f t="shared" si="31"/>
        <v>19090983.52</v>
      </c>
      <c r="N53" s="62"/>
      <c r="O53" s="63"/>
      <c r="P53" s="62">
        <f t="shared" si="24"/>
        <v>19183499.37825809</v>
      </c>
      <c r="Q53" s="63">
        <f t="shared" si="32"/>
        <v>-92515.858258090913</v>
      </c>
      <c r="R53" s="63">
        <f t="shared" si="33"/>
        <v>0</v>
      </c>
      <c r="S53" s="60">
        <f t="shared" si="34"/>
        <v>-92515.858258090913</v>
      </c>
      <c r="T53" s="46">
        <f t="shared" si="35"/>
        <v>2.1066419147600492E-12</v>
      </c>
      <c r="U53" s="46">
        <f t="shared" si="36"/>
        <v>0</v>
      </c>
      <c r="V53" s="46">
        <f t="shared" si="37"/>
        <v>2.1066419147600492E-12</v>
      </c>
      <c r="W53" s="64">
        <f t="shared" si="38"/>
        <v>50</v>
      </c>
      <c r="X53" s="59">
        <f t="shared" si="39"/>
        <v>19090983.52</v>
      </c>
      <c r="Y53" s="65">
        <v>1989</v>
      </c>
      <c r="Z53" s="66">
        <v>2039</v>
      </c>
      <c r="AA53" s="50">
        <f t="shared" si="26"/>
        <v>22</v>
      </c>
      <c r="AB53" s="50">
        <f t="shared" si="27"/>
        <v>2044</v>
      </c>
      <c r="AC53" s="51">
        <f t="shared" si="28"/>
        <v>2045</v>
      </c>
      <c r="AD53" s="52">
        <f>(B53*$AD$10)*VLOOKUP(AB53,'GI Factors'!A:M,4,FALSE)+(C53*$AD$10)*VLOOKUP(AB53,'GI Factors'!A:M,7,FALSE)+(D53*$AD$10)*VLOOKUP(AB53,'GI Factors'!A:M,10,FALSE)+(E53*$AD$10)*VLOOKUP(AB53,'GI Factors'!A:M,13,FALSE)</f>
        <v>10055641.629186355</v>
      </c>
      <c r="AE53" s="52">
        <f>(B53*$AE$10)*VLOOKUP(AC53,'GI Factors'!A:M,4,FALSE)+(C53*$AE$10)*VLOOKUP(AC53,'GI Factors'!A:M,7,FALSE)+(D53*$AE$10)*VLOOKUP(AC53,'GI Factors'!A:M,10,FALSE)+(E53*$AE$10)*VLOOKUP(AC53,'GI Factors'!A:M,13,FALSE)</f>
        <v>24200607.260560237</v>
      </c>
      <c r="AF53" s="53">
        <f t="shared" si="40"/>
        <v>34256248.889746591</v>
      </c>
      <c r="AG53" s="53">
        <f t="shared" si="41"/>
        <v>15165265.369746592</v>
      </c>
      <c r="AH53" s="54">
        <f t="shared" si="29"/>
        <v>3.8375218783529064E-2</v>
      </c>
      <c r="AI53" s="53">
        <f t="shared" si="42"/>
        <v>6623005.0272720298</v>
      </c>
      <c r="AJ53" s="53"/>
      <c r="AK53" s="55">
        <f t="shared" si="30"/>
        <v>451214.61704316823</v>
      </c>
      <c r="AL53" s="55">
        <f t="shared" si="22"/>
        <v>468530.0766905261</v>
      </c>
      <c r="AM53" s="55">
        <f t="shared" si="25"/>
        <v>486510.02089018869</v>
      </c>
      <c r="AN53" s="55">
        <f t="shared" si="23"/>
        <v>505179.94938222901</v>
      </c>
      <c r="AO53" s="55">
        <f t="shared" si="43"/>
        <v>477858.66600152798</v>
      </c>
    </row>
    <row r="54" spans="1:41" s="56" customFormat="1" ht="12.75">
      <c r="A54" s="57" t="s">
        <v>82</v>
      </c>
      <c r="B54" s="38">
        <v>8292084.9991814019</v>
      </c>
      <c r="C54" s="38">
        <v>5754739.7903140308</v>
      </c>
      <c r="D54" s="38">
        <v>239758.63759551849</v>
      </c>
      <c r="E54" s="39">
        <v>-99201.294885700976</v>
      </c>
      <c r="F54" s="58">
        <v>14187382.132205252</v>
      </c>
      <c r="G54" s="58"/>
      <c r="H54" s="58">
        <f t="shared" si="0"/>
        <v>14187382.132205252</v>
      </c>
      <c r="I54" s="59">
        <f>B54*VLOOKUP(I$9,'GI Factors'!A:M,4,FALSE)+C54*VLOOKUP(I$9,'GI Factors'!A:M,7,FALSE)+D54*VLOOKUP(I$9,'GI Factors'!A:M,10,FALSE)+E54*VLOOKUP(I$9,'GI Factors'!A:M,13,FALSE)</f>
        <v>14163437.086053571</v>
      </c>
      <c r="J54" s="60">
        <v>10713388.48</v>
      </c>
      <c r="K54" s="59">
        <v>395707</v>
      </c>
      <c r="L54" s="61"/>
      <c r="M54" s="59">
        <f t="shared" si="31"/>
        <v>11109095.48</v>
      </c>
      <c r="N54" s="62"/>
      <c r="O54" s="63"/>
      <c r="P54" s="62">
        <f t="shared" si="24"/>
        <v>18421199.850128684</v>
      </c>
      <c r="Q54" s="63">
        <f t="shared" si="32"/>
        <v>-7312104.3701286837</v>
      </c>
      <c r="R54" s="63">
        <f t="shared" si="33"/>
        <v>0</v>
      </c>
      <c r="S54" s="60">
        <f t="shared" si="34"/>
        <v>-7312104.3701286837</v>
      </c>
      <c r="T54" s="46">
        <f t="shared" si="35"/>
        <v>1.6650102848574146E-10</v>
      </c>
      <c r="U54" s="46">
        <f t="shared" si="36"/>
        <v>0</v>
      </c>
      <c r="V54" s="46">
        <f t="shared" si="37"/>
        <v>1.6650102848574146E-10</v>
      </c>
      <c r="W54" s="64">
        <f t="shared" si="38"/>
        <v>50</v>
      </c>
      <c r="X54" s="59">
        <f t="shared" si="39"/>
        <v>11109095.48</v>
      </c>
      <c r="Y54" s="65">
        <v>1988</v>
      </c>
      <c r="Z54" s="66">
        <v>2038</v>
      </c>
      <c r="AA54" s="50">
        <f t="shared" si="26"/>
        <v>21</v>
      </c>
      <c r="AB54" s="50">
        <f t="shared" si="27"/>
        <v>2043</v>
      </c>
      <c r="AC54" s="51">
        <f t="shared" si="28"/>
        <v>2044</v>
      </c>
      <c r="AD54" s="52">
        <f>(B54*$AD$10)*VLOOKUP(AB54,'GI Factors'!A:M,4,FALSE)+(C54*$AD$10)*VLOOKUP(AB54,'GI Factors'!A:M,7,FALSE)+(D54*$AD$10)*VLOOKUP(AB54,'GI Factors'!A:M,10,FALSE)+(E54*$AD$10)*VLOOKUP(AB54,'GI Factors'!A:M,13,FALSE)</f>
        <v>9324623.1329505034</v>
      </c>
      <c r="AE54" s="52">
        <f>(B54*$AE$10)*VLOOKUP(AC54,'GI Factors'!A:M,4,FALSE)+(C54*$AE$10)*VLOOKUP(AC54,'GI Factors'!A:M,7,FALSE)+(D54*$AE$10)*VLOOKUP(AC54,'GI Factors'!A:M,10,FALSE)+(E54*$AE$10)*VLOOKUP(AC54,'GI Factors'!A:M,13,FALSE)</f>
        <v>22436066.263823088</v>
      </c>
      <c r="AF54" s="53">
        <f t="shared" si="40"/>
        <v>31760689.396773592</v>
      </c>
      <c r="AG54" s="53">
        <f t="shared" si="41"/>
        <v>20651593.916773591</v>
      </c>
      <c r="AH54" s="54">
        <f t="shared" si="29"/>
        <v>3.9120897195954379E-2</v>
      </c>
      <c r="AI54" s="53">
        <f t="shared" si="42"/>
        <v>9224990.3922474738</v>
      </c>
      <c r="AJ54" s="53"/>
      <c r="AK54" s="55">
        <f t="shared" si="30"/>
        <v>652245.5831555305</v>
      </c>
      <c r="AL54" s="55">
        <f t="shared" si="22"/>
        <v>677762.01556067343</v>
      </c>
      <c r="AM54" s="55">
        <f t="shared" si="25"/>
        <v>704276.6736947454</v>
      </c>
      <c r="AN54" s="55">
        <f t="shared" si="23"/>
        <v>731828.60904386628</v>
      </c>
      <c r="AO54" s="55">
        <f t="shared" si="43"/>
        <v>691528.22036370391</v>
      </c>
    </row>
    <row r="55" spans="1:41" s="56" customFormat="1" ht="12.75">
      <c r="A55" s="57" t="s">
        <v>83</v>
      </c>
      <c r="B55" s="38">
        <v>520217.43105171109</v>
      </c>
      <c r="C55" s="38">
        <v>568406.50031437713</v>
      </c>
      <c r="D55" s="38">
        <v>37619.327488126102</v>
      </c>
      <c r="E55" s="39">
        <v>-12837.725679812991</v>
      </c>
      <c r="F55" s="58">
        <v>1113405.5331744014</v>
      </c>
      <c r="G55" s="58"/>
      <c r="H55" s="58">
        <f t="shared" si="0"/>
        <v>1113405.5331744014</v>
      </c>
      <c r="I55" s="59">
        <f>B55*VLOOKUP(I$9,'GI Factors'!A:M,4,FALSE)+C55*VLOOKUP(I$9,'GI Factors'!A:M,7,FALSE)+D55*VLOOKUP(I$9,'GI Factors'!A:M,10,FALSE)+E55*VLOOKUP(I$9,'GI Factors'!A:M,13,FALSE)</f>
        <v>1103712.8635707966</v>
      </c>
      <c r="J55" s="60">
        <v>3311806.96</v>
      </c>
      <c r="K55" s="59">
        <v>134550</v>
      </c>
      <c r="L55" s="61"/>
      <c r="M55" s="59">
        <f t="shared" si="31"/>
        <v>3446356.96</v>
      </c>
      <c r="N55" s="62">
        <v>-2116861.6073687249</v>
      </c>
      <c r="O55" s="63"/>
      <c r="P55" s="62">
        <f t="shared" si="24"/>
        <v>1329495.3526312751</v>
      </c>
      <c r="Q55" s="63">
        <f t="shared" si="32"/>
        <v>0</v>
      </c>
      <c r="R55" s="63">
        <f t="shared" si="33"/>
        <v>0</v>
      </c>
      <c r="S55" s="60">
        <f t="shared" si="34"/>
        <v>0</v>
      </c>
      <c r="T55" s="46">
        <f t="shared" si="35"/>
        <v>0</v>
      </c>
      <c r="U55" s="46">
        <f t="shared" si="36"/>
        <v>0</v>
      </c>
      <c r="V55" s="46">
        <f t="shared" si="37"/>
        <v>0</v>
      </c>
      <c r="W55" s="64">
        <f t="shared" si="38"/>
        <v>50</v>
      </c>
      <c r="X55" s="59">
        <f t="shared" si="39"/>
        <v>1329495.3526312751</v>
      </c>
      <c r="Y55" s="65">
        <v>1988</v>
      </c>
      <c r="Z55" s="66">
        <v>2038</v>
      </c>
      <c r="AA55" s="50">
        <f t="shared" si="26"/>
        <v>21</v>
      </c>
      <c r="AB55" s="50">
        <f t="shared" si="27"/>
        <v>2043</v>
      </c>
      <c r="AC55" s="51">
        <f t="shared" si="28"/>
        <v>2044</v>
      </c>
      <c r="AD55" s="52">
        <f>(B55*$AD$10)*VLOOKUP(AB55,'GI Factors'!A:M,4,FALSE)+(C55*$AD$10)*VLOOKUP(AB55,'GI Factors'!A:M,7,FALSE)+(D55*$AD$10)*VLOOKUP(AB55,'GI Factors'!A:M,10,FALSE)+(E55*$AD$10)*VLOOKUP(AB55,'GI Factors'!A:M,13,FALSE)</f>
        <v>674219.101459653</v>
      </c>
      <c r="AE55" s="52">
        <f>(B55*$AE$10)*VLOOKUP(AC55,'GI Factors'!A:M,4,FALSE)+(C55*$AE$10)*VLOOKUP(AC55,'GI Factors'!A:M,7,FALSE)+(D55*$AE$10)*VLOOKUP(AC55,'GI Factors'!A:M,10,FALSE)+(E55*$AE$10)*VLOOKUP(AC55,'GI Factors'!A:M,13,FALSE)</f>
        <v>1618014.2651459933</v>
      </c>
      <c r="AF55" s="53">
        <f t="shared" si="40"/>
        <v>2292233.3666056464</v>
      </c>
      <c r="AG55" s="53">
        <f t="shared" si="41"/>
        <v>962738.01397437137</v>
      </c>
      <c r="AH55" s="54">
        <f t="shared" si="29"/>
        <v>3.4983897699830215E-2</v>
      </c>
      <c r="AI55" s="53">
        <f t="shared" si="42"/>
        <v>467630.32393324788</v>
      </c>
      <c r="AJ55" s="53"/>
      <c r="AK55" s="55">
        <f t="shared" si="30"/>
        <v>31811.145533981628</v>
      </c>
      <c r="AL55" s="55">
        <f t="shared" si="22"/>
        <v>32924.023395056851</v>
      </c>
      <c r="AM55" s="55">
        <f t="shared" si="25"/>
        <v>34075.834061376336</v>
      </c>
      <c r="AN55" s="55">
        <f t="shared" si="23"/>
        <v>35267.939554215918</v>
      </c>
      <c r="AO55" s="55">
        <f t="shared" si="43"/>
        <v>33519.735636157682</v>
      </c>
    </row>
    <row r="56" spans="1:41" s="56" customFormat="1" ht="12.75">
      <c r="A56" s="57" t="s">
        <v>84</v>
      </c>
      <c r="B56" s="38">
        <v>1959622.5233882442</v>
      </c>
      <c r="C56" s="38">
        <v>2141147.3625642876</v>
      </c>
      <c r="D56" s="38">
        <v>152475.15284445134</v>
      </c>
      <c r="E56" s="39">
        <v>-1090922.3395134397</v>
      </c>
      <c r="F56" s="58">
        <v>3162322.699283544</v>
      </c>
      <c r="G56" s="58"/>
      <c r="H56" s="58">
        <f t="shared" si="0"/>
        <v>3162322.699283544</v>
      </c>
      <c r="I56" s="59">
        <f>B56*VLOOKUP(I$9,'GI Factors'!A:M,4,FALSE)+C56*VLOOKUP(I$9,'GI Factors'!A:M,7,FALSE)+D56*VLOOKUP(I$9,'GI Factors'!A:M,10,FALSE)+E56*VLOOKUP(I$9,'GI Factors'!A:M,13,FALSE)</f>
        <v>3171034.1502597495</v>
      </c>
      <c r="J56" s="60">
        <v>5398792.4800000004</v>
      </c>
      <c r="K56" s="59">
        <v>205647</v>
      </c>
      <c r="L56" s="61"/>
      <c r="M56" s="59">
        <f t="shared" si="31"/>
        <v>5604439.4800000004</v>
      </c>
      <c r="N56" s="62">
        <v>-1320313.2354993355</v>
      </c>
      <c r="O56" s="63"/>
      <c r="P56" s="62">
        <f t="shared" si="24"/>
        <v>4284126.244500665</v>
      </c>
      <c r="Q56" s="63">
        <f t="shared" si="32"/>
        <v>0</v>
      </c>
      <c r="R56" s="63">
        <f t="shared" si="33"/>
        <v>0</v>
      </c>
      <c r="S56" s="60">
        <f t="shared" si="34"/>
        <v>0</v>
      </c>
      <c r="T56" s="46">
        <f t="shared" si="35"/>
        <v>0</v>
      </c>
      <c r="U56" s="46">
        <f t="shared" si="36"/>
        <v>0</v>
      </c>
      <c r="V56" s="46">
        <f t="shared" si="37"/>
        <v>0</v>
      </c>
      <c r="W56" s="64">
        <f t="shared" si="38"/>
        <v>51</v>
      </c>
      <c r="X56" s="59">
        <f t="shared" si="39"/>
        <v>4284126.244500665</v>
      </c>
      <c r="Y56" s="65">
        <v>1987</v>
      </c>
      <c r="Z56" s="66">
        <v>2038</v>
      </c>
      <c r="AA56" s="50">
        <f t="shared" si="26"/>
        <v>21</v>
      </c>
      <c r="AB56" s="50">
        <f t="shared" si="27"/>
        <v>2043</v>
      </c>
      <c r="AC56" s="51">
        <f t="shared" si="28"/>
        <v>2044</v>
      </c>
      <c r="AD56" s="52">
        <f>(B56*$AD$10)*VLOOKUP(AB56,'GI Factors'!A:M,4,FALSE)+(C56*$AD$10)*VLOOKUP(AB56,'GI Factors'!A:M,7,FALSE)+(D56*$AD$10)*VLOOKUP(AB56,'GI Factors'!A:M,10,FALSE)+(E56*$AD$10)*VLOOKUP(AB56,'GI Factors'!A:M,13,FALSE)</f>
        <v>2136479.2264046213</v>
      </c>
      <c r="AE56" s="52">
        <f>(B56*$AE$10)*VLOOKUP(AC56,'GI Factors'!A:M,4,FALSE)+(C56*$AE$10)*VLOOKUP(AC56,'GI Factors'!A:M,7,FALSE)+(D56*$AE$10)*VLOOKUP(AC56,'GI Factors'!A:M,10,FALSE)+(E56*$AE$10)*VLOOKUP(AC56,'GI Factors'!A:M,13,FALSE)</f>
        <v>5146535.3892465085</v>
      </c>
      <c r="AF56" s="53">
        <f t="shared" si="40"/>
        <v>7283014.6156511297</v>
      </c>
      <c r="AG56" s="53">
        <f t="shared" si="41"/>
        <v>2998888.3711504648</v>
      </c>
      <c r="AH56" s="54">
        <f t="shared" si="29"/>
        <v>4.0525238830380492E-2</v>
      </c>
      <c r="AI56" s="53">
        <f t="shared" si="42"/>
        <v>1302132.8761755736</v>
      </c>
      <c r="AJ56" s="53"/>
      <c r="AK56" s="55">
        <f t="shared" si="30"/>
        <v>93265.693283676737</v>
      </c>
      <c r="AL56" s="55">
        <f t="shared" si="22"/>
        <v>97045.307778678747</v>
      </c>
      <c r="AM56" s="55">
        <f t="shared" si="25"/>
        <v>100978.09205377748</v>
      </c>
      <c r="AN56" s="55">
        <f t="shared" si="23"/>
        <v>105070.25335089296</v>
      </c>
      <c r="AO56" s="55">
        <f t="shared" si="43"/>
        <v>99089.836616756482</v>
      </c>
    </row>
    <row r="57" spans="1:41" s="56" customFormat="1" ht="12.75">
      <c r="A57" s="57" t="s">
        <v>85</v>
      </c>
      <c r="B57" s="38">
        <v>1959622.5233882442</v>
      </c>
      <c r="C57" s="38">
        <v>2141147.3625642876</v>
      </c>
      <c r="D57" s="38">
        <v>152475.15284445134</v>
      </c>
      <c r="E57" s="39">
        <v>-1090922.3395134397</v>
      </c>
      <c r="F57" s="58">
        <v>3162322.699283544</v>
      </c>
      <c r="G57" s="58"/>
      <c r="H57" s="58">
        <f t="shared" si="0"/>
        <v>3162322.699283544</v>
      </c>
      <c r="I57" s="59">
        <f>B57*VLOOKUP(I$9,'GI Factors'!A:M,4,FALSE)+C57*VLOOKUP(I$9,'GI Factors'!A:M,7,FALSE)+D57*VLOOKUP(I$9,'GI Factors'!A:M,10,FALSE)+E57*VLOOKUP(I$9,'GI Factors'!A:M,13,FALSE)</f>
        <v>3171034.1502597495</v>
      </c>
      <c r="J57" s="60">
        <v>5290580</v>
      </c>
      <c r="K57" s="59">
        <v>206154</v>
      </c>
      <c r="L57" s="61"/>
      <c r="M57" s="59">
        <f t="shared" si="31"/>
        <v>5496734</v>
      </c>
      <c r="N57" s="62">
        <v>-1272585.5229223445</v>
      </c>
      <c r="O57" s="63"/>
      <c r="P57" s="62">
        <f t="shared" si="24"/>
        <v>4224148.4770776555</v>
      </c>
      <c r="Q57" s="63">
        <f t="shared" si="32"/>
        <v>0</v>
      </c>
      <c r="R57" s="63">
        <f t="shared" si="33"/>
        <v>0</v>
      </c>
      <c r="S57" s="60">
        <f t="shared" si="34"/>
        <v>0</v>
      </c>
      <c r="T57" s="46">
        <f t="shared" si="35"/>
        <v>0</v>
      </c>
      <c r="U57" s="46">
        <f t="shared" si="36"/>
        <v>0</v>
      </c>
      <c r="V57" s="46">
        <f t="shared" si="37"/>
        <v>0</v>
      </c>
      <c r="W57" s="64">
        <f t="shared" si="38"/>
        <v>50</v>
      </c>
      <c r="X57" s="59">
        <f t="shared" si="39"/>
        <v>4224148.4770776555</v>
      </c>
      <c r="Y57" s="65">
        <v>1988</v>
      </c>
      <c r="Z57" s="66">
        <v>2038</v>
      </c>
      <c r="AA57" s="50">
        <f t="shared" si="26"/>
        <v>21</v>
      </c>
      <c r="AB57" s="50">
        <f t="shared" si="27"/>
        <v>2043</v>
      </c>
      <c r="AC57" s="51">
        <f t="shared" si="28"/>
        <v>2044</v>
      </c>
      <c r="AD57" s="52">
        <f>(B57*$AD$10)*VLOOKUP(AB57,'GI Factors'!A:M,4,FALSE)+(C57*$AD$10)*VLOOKUP(AB57,'GI Factors'!A:M,7,FALSE)+(D57*$AD$10)*VLOOKUP(AB57,'GI Factors'!A:M,10,FALSE)+(E57*$AD$10)*VLOOKUP(AB57,'GI Factors'!A:M,13,FALSE)</f>
        <v>2136479.2264046213</v>
      </c>
      <c r="AE57" s="52">
        <f>(B57*$AE$10)*VLOOKUP(AC57,'GI Factors'!A:M,4,FALSE)+(C57*$AE$10)*VLOOKUP(AC57,'GI Factors'!A:M,7,FALSE)+(D57*$AE$10)*VLOOKUP(AC57,'GI Factors'!A:M,10,FALSE)+(E57*$AE$10)*VLOOKUP(AC57,'GI Factors'!A:M,13,FALSE)</f>
        <v>5146535.3892465085</v>
      </c>
      <c r="AF57" s="53">
        <f t="shared" si="40"/>
        <v>7283014.6156511297</v>
      </c>
      <c r="AG57" s="53">
        <f t="shared" si="41"/>
        <v>3058866.1385734743</v>
      </c>
      <c r="AH57" s="54">
        <f t="shared" si="29"/>
        <v>4.0525238830380492E-2</v>
      </c>
      <c r="AI57" s="53">
        <f t="shared" si="42"/>
        <v>1328175.533699085</v>
      </c>
      <c r="AJ57" s="53"/>
      <c r="AK57" s="55">
        <f t="shared" si="30"/>
        <v>95131.007149350262</v>
      </c>
      <c r="AL57" s="55">
        <f t="shared" si="22"/>
        <v>98986.213934252315</v>
      </c>
      <c r="AM57" s="55">
        <f t="shared" si="25"/>
        <v>102997.65389485304</v>
      </c>
      <c r="AN57" s="55">
        <f t="shared" si="23"/>
        <v>107171.65841791083</v>
      </c>
      <c r="AO57" s="55">
        <f t="shared" si="43"/>
        <v>101071.6333490916</v>
      </c>
    </row>
    <row r="58" spans="1:41" s="56" customFormat="1" ht="11.25">
      <c r="A58" s="57" t="s">
        <v>86</v>
      </c>
      <c r="B58" s="38">
        <v>408720</v>
      </c>
      <c r="C58" s="38">
        <v>518080</v>
      </c>
      <c r="D58" s="38">
        <v>223200</v>
      </c>
      <c r="E58" s="39">
        <v>-288800</v>
      </c>
      <c r="F58" s="58">
        <v>861200</v>
      </c>
      <c r="G58" s="58"/>
      <c r="H58" s="58">
        <f t="shared" si="0"/>
        <v>861200</v>
      </c>
      <c r="I58" s="59">
        <f>B58*VLOOKUP(I$9,'GI Factors'!A:M,4,FALSE)+C58*VLOOKUP(I$9,'GI Factors'!A:M,7,FALSE)+D58*VLOOKUP(I$9,'GI Factors'!A:M,10,FALSE)+E58*VLOOKUP(I$9,'GI Factors'!A:M,13,FALSE)</f>
        <v>865134.08350685181</v>
      </c>
      <c r="J58" s="60">
        <v>198016</v>
      </c>
      <c r="K58" s="59">
        <v>37856</v>
      </c>
      <c r="L58" s="61"/>
      <c r="M58" s="59">
        <f t="shared" si="31"/>
        <v>235872</v>
      </c>
      <c r="N58" s="62"/>
      <c r="O58" s="63"/>
      <c r="P58" s="62">
        <f t="shared" si="24"/>
        <v>514380.7450482659</v>
      </c>
      <c r="Q58" s="63">
        <f t="shared" si="32"/>
        <v>-278508.7450482659</v>
      </c>
      <c r="R58" s="63">
        <f t="shared" si="33"/>
        <v>0</v>
      </c>
      <c r="S58" s="60">
        <f t="shared" si="34"/>
        <v>-278508.7450482659</v>
      </c>
      <c r="T58" s="46">
        <f t="shared" si="35"/>
        <v>6.3418121713699422E-12</v>
      </c>
      <c r="U58" s="46">
        <f t="shared" si="36"/>
        <v>0</v>
      </c>
      <c r="V58" s="46">
        <f t="shared" si="37"/>
        <v>6.3418121713699422E-12</v>
      </c>
      <c r="W58" s="64">
        <f t="shared" si="38"/>
        <v>31</v>
      </c>
      <c r="X58" s="59">
        <f t="shared" si="39"/>
        <v>235872</v>
      </c>
      <c r="Y58" s="65">
        <v>2009</v>
      </c>
      <c r="Z58" s="66">
        <v>2040</v>
      </c>
      <c r="AA58" s="50">
        <f t="shared" si="26"/>
        <v>23</v>
      </c>
      <c r="AB58" s="50">
        <f t="shared" si="27"/>
        <v>2045</v>
      </c>
      <c r="AC58" s="51">
        <f t="shared" si="28"/>
        <v>2046</v>
      </c>
      <c r="AD58" s="52">
        <f>(B58*$AD$10)*VLOOKUP(AB58,'GI Factors'!A:M,4,FALSE)+(C58*$AD$10)*VLOOKUP(AB58,'GI Factors'!A:M,7,FALSE)+(D58*$AD$10)*VLOOKUP(AB58,'GI Factors'!A:M,10,FALSE)+(E58*$AD$10)*VLOOKUP(AB58,'GI Factors'!A:M,13,FALSE)</f>
        <v>585437.05422799429</v>
      </c>
      <c r="AE58" s="52">
        <f>(B58*$AE$10)*VLOOKUP(AC58,'GI Factors'!A:M,4,FALSE)+(C58*$AE$10)*VLOOKUP(AC58,'GI Factors'!A:M,7,FALSE)+(D58*$AE$10)*VLOOKUP(AC58,'GI Factors'!A:M,10,FALSE)+(E58*$AE$10)*VLOOKUP(AC58,'GI Factors'!A:M,13,FALSE)</f>
        <v>1407788.3328340366</v>
      </c>
      <c r="AF58" s="53">
        <f t="shared" si="40"/>
        <v>1993225.3870620308</v>
      </c>
      <c r="AG58" s="53">
        <f t="shared" si="41"/>
        <v>1757353.3870620308</v>
      </c>
      <c r="AH58" s="54">
        <f t="shared" si="29"/>
        <v>3.7159992809899858E-2</v>
      </c>
      <c r="AI58" s="53">
        <f t="shared" si="42"/>
        <v>759288.31067548809</v>
      </c>
      <c r="AJ58" s="53"/>
      <c r="AK58" s="55">
        <f t="shared" si="30"/>
        <v>49680.113419395384</v>
      </c>
      <c r="AL58" s="55">
        <f t="shared" si="22"/>
        <v>51526.22607685512</v>
      </c>
      <c r="AM58" s="55">
        <f t="shared" si="25"/>
        <v>53440.940267392325</v>
      </c>
      <c r="AN58" s="55">
        <f t="shared" si="23"/>
        <v>55426.805223482908</v>
      </c>
      <c r="AO58" s="55">
        <f t="shared" si="43"/>
        <v>52518.521246781427</v>
      </c>
    </row>
    <row r="59" spans="1:41" s="56" customFormat="1" ht="11.25">
      <c r="A59" s="57" t="s">
        <v>87</v>
      </c>
      <c r="B59" s="38">
        <v>6243015.7948123608</v>
      </c>
      <c r="C59" s="38">
        <v>7402053.1287854528</v>
      </c>
      <c r="D59" s="38">
        <v>693298.24437493307</v>
      </c>
      <c r="E59" s="39">
        <v>-570761.13812949113</v>
      </c>
      <c r="F59" s="58">
        <v>13767606.029843254</v>
      </c>
      <c r="G59" s="58"/>
      <c r="H59" s="58">
        <f t="shared" si="0"/>
        <v>13767606.029843254</v>
      </c>
      <c r="I59" s="59">
        <f>B59*VLOOKUP(I$9,'GI Factors'!A:M,4,FALSE)+C59*VLOOKUP(I$9,'GI Factors'!A:M,7,FALSE)+D59*VLOOKUP(I$9,'GI Factors'!A:M,10,FALSE)+E59*VLOOKUP(I$9,'GI Factors'!A:M,13,FALSE)</f>
        <v>13647893.181905357</v>
      </c>
      <c r="J59" s="60">
        <v>10307951.390000001</v>
      </c>
      <c r="K59" s="59">
        <v>340067</v>
      </c>
      <c r="L59" s="61"/>
      <c r="M59" s="59">
        <f t="shared" si="31"/>
        <v>10648018.390000001</v>
      </c>
      <c r="N59" s="62"/>
      <c r="O59" s="63"/>
      <c r="P59" s="62">
        <f t="shared" si="24"/>
        <v>22764463.219622627</v>
      </c>
      <c r="Q59" s="63">
        <f t="shared" si="32"/>
        <v>-12116444.829622626</v>
      </c>
      <c r="R59" s="63">
        <f t="shared" si="33"/>
        <v>0</v>
      </c>
      <c r="S59" s="60">
        <f t="shared" si="34"/>
        <v>-12116444.829622626</v>
      </c>
      <c r="T59" s="46">
        <f t="shared" si="35"/>
        <v>2.7589875959161236E-10</v>
      </c>
      <c r="U59" s="46">
        <f t="shared" si="36"/>
        <v>0</v>
      </c>
      <c r="V59" s="46">
        <f t="shared" si="37"/>
        <v>2.7589875959161236E-10</v>
      </c>
      <c r="W59" s="64">
        <f t="shared" si="38"/>
        <v>80</v>
      </c>
      <c r="X59" s="59">
        <f t="shared" si="39"/>
        <v>10648018.390000001</v>
      </c>
      <c r="Y59" s="65">
        <v>1967</v>
      </c>
      <c r="Z59" s="66">
        <v>2047</v>
      </c>
      <c r="AA59" s="50">
        <f t="shared" si="26"/>
        <v>30</v>
      </c>
      <c r="AB59" s="50">
        <f t="shared" si="27"/>
        <v>2052</v>
      </c>
      <c r="AC59" s="51">
        <f t="shared" si="28"/>
        <v>2053</v>
      </c>
      <c r="AD59" s="52">
        <f>(B59*$AD$10)*VLOOKUP(AB59,'GI Factors'!A:M,4,FALSE)+(C59*$AD$10)*VLOOKUP(AB59,'GI Factors'!A:M,7,FALSE)+(D59*$AD$10)*VLOOKUP(AB59,'GI Factors'!A:M,10,FALSE)+(E59*$AD$10)*VLOOKUP(AB59,'GI Factors'!A:M,13,FALSE)</f>
        <v>10703895.711459327</v>
      </c>
      <c r="AE59" s="52">
        <f>(B59*$AE$10)*VLOOKUP(AC59,'GI Factors'!A:M,4,FALSE)+(C59*$AE$10)*VLOOKUP(AC59,'GI Factors'!A:M,7,FALSE)+(D59*$AE$10)*VLOOKUP(AC59,'GI Factors'!A:M,10,FALSE)+(E59*$AE$10)*VLOOKUP(AC59,'GI Factors'!A:M,13,FALSE)</f>
        <v>25719245.439936869</v>
      </c>
      <c r="AF59" s="53">
        <f t="shared" si="40"/>
        <v>36423141.1513962</v>
      </c>
      <c r="AG59" s="53">
        <f t="shared" si="41"/>
        <v>25775122.761396199</v>
      </c>
      <c r="AH59" s="54">
        <f t="shared" si="29"/>
        <v>3.2961096948835832E-2</v>
      </c>
      <c r="AI59" s="53">
        <f t="shared" si="42"/>
        <v>9742754.8622105997</v>
      </c>
      <c r="AJ59" s="53"/>
      <c r="AK59" s="55">
        <f t="shared" si="30"/>
        <v>516281.42995218962</v>
      </c>
      <c r="AL59" s="55">
        <f t="shared" si="22"/>
        <v>533298.63221772737</v>
      </c>
      <c r="AM59" s="55">
        <f t="shared" si="25"/>
        <v>550876.74013693747</v>
      </c>
      <c r="AN59" s="55">
        <f t="shared" si="23"/>
        <v>569034.24177544971</v>
      </c>
      <c r="AO59" s="55">
        <f t="shared" si="43"/>
        <v>542372.761020576</v>
      </c>
    </row>
    <row r="60" spans="1:41" s="56" customFormat="1" ht="11.25">
      <c r="A60" s="57" t="s">
        <v>88</v>
      </c>
      <c r="B60" s="38">
        <f>8635409.27017889+B$74</f>
        <v>8390215.5808806773</v>
      </c>
      <c r="C60" s="38">
        <f>8135427.8807389+C$74</f>
        <v>7904430.6559766056</v>
      </c>
      <c r="D60" s="38">
        <f>379691.177100255+D$74</f>
        <v>368910.23116076231</v>
      </c>
      <c r="E60" s="39">
        <v>-3487936.2873023134</v>
      </c>
      <c r="F60" s="58">
        <v>13662592.04071573</v>
      </c>
      <c r="G60" s="61">
        <v>-486971.86</v>
      </c>
      <c r="H60" s="58">
        <f>F60+G60</f>
        <v>13175620.18071573</v>
      </c>
      <c r="I60" s="59">
        <f>B60*VLOOKUP(I$9,'GI Factors'!A:M,4,FALSE)+C60*VLOOKUP(I$9,'GI Factors'!A:M,7,FALSE)+D60*VLOOKUP(I$9,'GI Factors'!A:M,10,FALSE)+E60*VLOOKUP(I$9,'GI Factors'!A:M,13,FALSE)</f>
        <v>13211486.390829971</v>
      </c>
      <c r="J60" s="60">
        <v>5840955.9900000002</v>
      </c>
      <c r="K60" s="59">
        <v>224640</v>
      </c>
      <c r="L60" s="61">
        <v>-486971.86</v>
      </c>
      <c r="M60" s="59">
        <f t="shared" si="31"/>
        <v>5578624.1299999999</v>
      </c>
      <c r="N60" s="62"/>
      <c r="O60" s="63"/>
      <c r="P60" s="62">
        <f t="shared" si="24"/>
        <v>25632270.792256013</v>
      </c>
      <c r="Q60" s="63">
        <f t="shared" si="32"/>
        <v>-20053646.662256014</v>
      </c>
      <c r="R60" s="63">
        <f t="shared" si="33"/>
        <v>0</v>
      </c>
      <c r="S60" s="60">
        <f t="shared" si="34"/>
        <v>-20053646.662256014</v>
      </c>
      <c r="T60" s="46">
        <f t="shared" si="35"/>
        <v>4.56633634469925E-10</v>
      </c>
      <c r="U60" s="46">
        <f t="shared" si="36"/>
        <v>0</v>
      </c>
      <c r="V60" s="46">
        <f t="shared" si="37"/>
        <v>4.56633634469925E-10</v>
      </c>
      <c r="W60" s="64">
        <f t="shared" si="38"/>
        <v>80</v>
      </c>
      <c r="X60" s="59">
        <f t="shared" si="39"/>
        <v>5578624.1299999999</v>
      </c>
      <c r="Y60" s="65">
        <v>1967</v>
      </c>
      <c r="Z60" s="66">
        <v>2047</v>
      </c>
      <c r="AA60" s="50">
        <f t="shared" si="26"/>
        <v>30</v>
      </c>
      <c r="AB60" s="50">
        <f t="shared" si="27"/>
        <v>2052</v>
      </c>
      <c r="AC60" s="51">
        <f t="shared" si="28"/>
        <v>2053</v>
      </c>
      <c r="AD60" s="52">
        <f>(B60*$AD$10)*VLOOKUP(AB60,'GI Factors'!A:M,4,FALSE)+(C60*$AD$10)*VLOOKUP(AB60,'GI Factors'!A:M,7,FALSE)+(D60*$AD$10)*VLOOKUP(AB60,'GI Factors'!A:M,10,FALSE)+(E60*$AD$10)*VLOOKUP(AB60,'GI Factors'!A:M,13,FALSE)</f>
        <v>12021098.108567992</v>
      </c>
      <c r="AE60" s="52">
        <f>(B60*$AE$10)*VLOOKUP(AC60,'GI Factors'!A:M,4,FALSE)+(C60*$AE$10)*VLOOKUP(AC60,'GI Factors'!A:M,7,FALSE)+(D60*$AE$10)*VLOOKUP(AC60,'GI Factors'!A:M,10,FALSE)+(E60*$AE$10)*VLOOKUP(AC60,'GI Factors'!A:M,13,FALSE)</f>
        <v>28990535.159041625</v>
      </c>
      <c r="AF60" s="53">
        <f t="shared" si="40"/>
        <v>41011633.267609619</v>
      </c>
      <c r="AG60" s="53">
        <f t="shared" si="41"/>
        <v>35433009.137609616</v>
      </c>
      <c r="AH60" s="54">
        <f t="shared" si="29"/>
        <v>3.7319317153992615E-2</v>
      </c>
      <c r="AI60" s="53">
        <f t="shared" si="42"/>
        <v>11804132.390027361</v>
      </c>
      <c r="AJ60" s="53"/>
      <c r="AK60" s="55">
        <f t="shared" si="30"/>
        <v>660591.10220108938</v>
      </c>
      <c r="AL60" s="55">
        <f t="shared" si="22"/>
        <v>685243.91105323727</v>
      </c>
      <c r="AM60" s="55">
        <f t="shared" si="25"/>
        <v>710816.74589767528</v>
      </c>
      <c r="AN60" s="55">
        <f t="shared" si="23"/>
        <v>737343.94147619954</v>
      </c>
      <c r="AO60" s="55">
        <f t="shared" si="43"/>
        <v>698498.92515705037</v>
      </c>
    </row>
    <row r="61" spans="1:41" s="56" customFormat="1" ht="11.25">
      <c r="A61" s="57" t="s">
        <v>89</v>
      </c>
      <c r="B61" s="38">
        <f>8635409.27017889+B$75</f>
        <v>5345932.1297491081</v>
      </c>
      <c r="C61" s="38">
        <f>8135427.8807389+C$75</f>
        <v>5036408.111783429</v>
      </c>
      <c r="D61" s="38">
        <f>379691.177100255+D$75</f>
        <v>235055.8264855076</v>
      </c>
      <c r="E61" s="39">
        <v>-3487936.2873023134</v>
      </c>
      <c r="F61" s="58">
        <v>13662592.04071573</v>
      </c>
      <c r="G61" s="61">
        <v>-6533132.2599999998</v>
      </c>
      <c r="H61" s="58">
        <f>F61+G61</f>
        <v>7129459.78071573</v>
      </c>
      <c r="I61" s="59">
        <f>B61*VLOOKUP(I$9,'GI Factors'!A:M,4,FALSE)+C61*VLOOKUP(I$9,'GI Factors'!A:M,7,FALSE)+D61*VLOOKUP(I$9,'GI Factors'!A:M,10,FALSE)+E61*VLOOKUP(I$9,'GI Factors'!A:M,13,FALSE)</f>
        <v>7207037.9016009662</v>
      </c>
      <c r="J61" s="60">
        <v>-9612609.9099999983</v>
      </c>
      <c r="K61" s="59">
        <v>222014</v>
      </c>
      <c r="L61" s="61">
        <v>-6533132.2599999998</v>
      </c>
      <c r="M61" s="59">
        <f t="shared" si="31"/>
        <v>-15923728.169999998</v>
      </c>
      <c r="N61" s="62"/>
      <c r="O61" s="63"/>
      <c r="P61" s="62">
        <f t="shared" si="24"/>
        <v>2213077.5799813196</v>
      </c>
      <c r="Q61" s="63">
        <f t="shared" si="32"/>
        <v>-18136805.749981318</v>
      </c>
      <c r="R61" s="63">
        <f t="shared" si="33"/>
        <v>0</v>
      </c>
      <c r="S61" s="60">
        <f t="shared" si="34"/>
        <v>-18136805.749981318</v>
      </c>
      <c r="T61" s="46">
        <f t="shared" si="35"/>
        <v>4.1298601031386184E-10</v>
      </c>
      <c r="U61" s="46">
        <f t="shared" si="36"/>
        <v>0</v>
      </c>
      <c r="V61" s="46">
        <f t="shared" si="37"/>
        <v>4.1298601031386184E-10</v>
      </c>
      <c r="W61" s="64">
        <f t="shared" si="38"/>
        <v>33</v>
      </c>
      <c r="X61" s="59">
        <f t="shared" si="39"/>
        <v>-15923728.169999998</v>
      </c>
      <c r="Y61" s="65">
        <v>2014</v>
      </c>
      <c r="Z61" s="66">
        <v>2047</v>
      </c>
      <c r="AA61" s="50">
        <f t="shared" si="26"/>
        <v>30</v>
      </c>
      <c r="AB61" s="50">
        <f t="shared" si="27"/>
        <v>2052</v>
      </c>
      <c r="AC61" s="51">
        <f t="shared" si="28"/>
        <v>2053</v>
      </c>
      <c r="AD61" s="52">
        <f>(B61*$AD$10)*VLOOKUP(AB61,'GI Factors'!A:M,4,FALSE)+(C61*$AD$10)*VLOOKUP(AB61,'GI Factors'!A:M,7,FALSE)+(D61*$AD$10)*VLOOKUP(AB61,'GI Factors'!A:M,10,FALSE)+(E61*$AD$10)*VLOOKUP(AB61,'GI Factors'!A:M,13,FALSE)</f>
        <v>7126187.9297901634</v>
      </c>
      <c r="AE61" s="52">
        <f>(B61*$AE$10)*VLOOKUP(AC61,'GI Factors'!A:M,4,FALSE)+(C61*$AE$10)*VLOOKUP(AC61,'GI Factors'!A:M,7,FALSE)+(D61*$AE$10)*VLOOKUP(AC61,'GI Factors'!A:M,10,FALSE)+(E61*$AE$10)*VLOOKUP(AC61,'GI Factors'!A:M,13,FALSE)</f>
        <v>17217665.45000435</v>
      </c>
      <c r="AF61" s="53">
        <f t="shared" si="40"/>
        <v>24343853.379794516</v>
      </c>
      <c r="AG61" s="53">
        <f t="shared" si="41"/>
        <v>40267581.54979451</v>
      </c>
      <c r="AH61" s="54">
        <f t="shared" si="29"/>
        <v>1.9440478860026662E-2</v>
      </c>
      <c r="AI61" s="53">
        <f t="shared" si="42"/>
        <v>22599525.662511889</v>
      </c>
      <c r="AJ61" s="53"/>
      <c r="AK61" s="55">
        <f t="shared" si="30"/>
        <v>1001320.4013613639</v>
      </c>
      <c r="AL61" s="55">
        <f t="shared" si="22"/>
        <v>1020786.5494561429</v>
      </c>
      <c r="AM61" s="55">
        <f t="shared" si="25"/>
        <v>1040631.1287914446</v>
      </c>
      <c r="AN61" s="55">
        <f t="shared" si="23"/>
        <v>1060861.4962518003</v>
      </c>
      <c r="AO61" s="55">
        <f t="shared" si="43"/>
        <v>1030899.8939651879</v>
      </c>
    </row>
    <row r="62" spans="1:41" s="56" customFormat="1" ht="11.25">
      <c r="A62" s="57" t="s">
        <v>90</v>
      </c>
      <c r="B62" s="38">
        <v>7984819.964898265</v>
      </c>
      <c r="C62" s="38">
        <v>7710002.5508594345</v>
      </c>
      <c r="D62" s="38">
        <v>284605.98951803031</v>
      </c>
      <c r="E62" s="39">
        <v>-6130061.7267366266</v>
      </c>
      <c r="F62" s="58">
        <v>9849366.7785391025</v>
      </c>
      <c r="G62" s="58"/>
      <c r="H62" s="58">
        <f>F62</f>
        <v>9849366.7785391025</v>
      </c>
      <c r="I62" s="59">
        <f>B62*VLOOKUP(I$9,'GI Factors'!A:M,4,FALSE)+C62*VLOOKUP(I$9,'GI Factors'!A:M,7,FALSE)+D62*VLOOKUP(I$9,'GI Factors'!A:M,10,FALSE)+E62*VLOOKUP(I$9,'GI Factors'!A:M,13,FALSE)</f>
        <v>9996244.1599564292</v>
      </c>
      <c r="J62" s="60">
        <v>3260062</v>
      </c>
      <c r="K62" s="59">
        <v>417079</v>
      </c>
      <c r="L62" s="61"/>
      <c r="M62" s="59">
        <f t="shared" si="31"/>
        <v>3677141</v>
      </c>
      <c r="N62" s="62"/>
      <c r="O62" s="63"/>
      <c r="P62" s="62">
        <f t="shared" si="24"/>
        <v>8794157.7882683873</v>
      </c>
      <c r="Q62" s="63">
        <f t="shared" si="32"/>
        <v>-5117016.7882683873</v>
      </c>
      <c r="R62" s="63">
        <f t="shared" si="33"/>
        <v>0</v>
      </c>
      <c r="S62" s="60">
        <f t="shared" si="34"/>
        <v>-5117016.7882683873</v>
      </c>
      <c r="T62" s="46">
        <f t="shared" si="35"/>
        <v>1.1651755977472435E-10</v>
      </c>
      <c r="U62" s="46">
        <f t="shared" si="36"/>
        <v>0</v>
      </c>
      <c r="V62" s="46">
        <f t="shared" si="37"/>
        <v>1.1651755977472435E-10</v>
      </c>
      <c r="W62" s="64">
        <f t="shared" si="38"/>
        <v>40</v>
      </c>
      <c r="X62" s="59">
        <f t="shared" si="39"/>
        <v>3677141</v>
      </c>
      <c r="Y62" s="65">
        <v>2007</v>
      </c>
      <c r="Z62" s="66">
        <v>2047</v>
      </c>
      <c r="AA62" s="50">
        <f t="shared" si="26"/>
        <v>30</v>
      </c>
      <c r="AB62" s="50">
        <f t="shared" si="27"/>
        <v>2052</v>
      </c>
      <c r="AC62" s="51">
        <f t="shared" si="28"/>
        <v>2053</v>
      </c>
      <c r="AD62" s="52">
        <f>(B62*$AD$10)*VLOOKUP(AB62,'GI Factors'!A:M,4,FALSE)+(C62*$AD$10)*VLOOKUP(AB62,'GI Factors'!A:M,7,FALSE)+(D62*$AD$10)*VLOOKUP(AB62,'GI Factors'!A:M,10,FALSE)+(E62*$AD$10)*VLOOKUP(AB62,'GI Factors'!A:M,13,FALSE)</f>
        <v>10290993.807184841</v>
      </c>
      <c r="AE62" s="52">
        <f>(B62*$AE$10)*VLOOKUP(AC62,'GI Factors'!A:M,4,FALSE)+(C62*$AE$10)*VLOOKUP(AC62,'GI Factors'!A:M,7,FALSE)+(D62*$AE$10)*VLOOKUP(AC62,'GI Factors'!A:M,10,FALSE)+(E62*$AE$10)*VLOOKUP(AC62,'GI Factors'!A:M,13,FALSE)</f>
        <v>24885637.345888712</v>
      </c>
      <c r="AF62" s="53">
        <f t="shared" si="40"/>
        <v>35176631.153073549</v>
      </c>
      <c r="AG62" s="53">
        <f t="shared" si="41"/>
        <v>31499490.153073549</v>
      </c>
      <c r="AH62" s="54">
        <f t="shared" si="29"/>
        <v>4.3345621481143515E-2</v>
      </c>
      <c r="AI62" s="53">
        <f t="shared" si="42"/>
        <v>8819776.7007456478</v>
      </c>
      <c r="AJ62" s="53"/>
      <c r="AK62" s="55">
        <f t="shared" si="30"/>
        <v>530968.53439898789</v>
      </c>
      <c r="AL62" s="55">
        <f t="shared" si="22"/>
        <v>553983.69550944387</v>
      </c>
      <c r="AM62" s="55">
        <f t="shared" si="25"/>
        <v>577996.46308172122</v>
      </c>
      <c r="AN62" s="55">
        <f t="shared" si="23"/>
        <v>603050.07898790122</v>
      </c>
      <c r="AO62" s="55">
        <f t="shared" si="43"/>
        <v>566499.69299451355</v>
      </c>
    </row>
    <row r="63" spans="1:41" s="56" customFormat="1" ht="11.25">
      <c r="A63" s="57" t="s">
        <v>91</v>
      </c>
      <c r="B63" s="38">
        <v>8219196.206779154</v>
      </c>
      <c r="C63" s="38">
        <v>11514564.150811948</v>
      </c>
      <c r="D63" s="38">
        <v>930865.62975609617</v>
      </c>
      <c r="E63" s="39">
        <v>-976809.62883638474</v>
      </c>
      <c r="F63" s="58">
        <v>19687816.358510811</v>
      </c>
      <c r="G63" s="58"/>
      <c r="H63" s="58">
        <f>F63</f>
        <v>19687816.358510811</v>
      </c>
      <c r="I63" s="59">
        <f>B63*VLOOKUP(I$9,'GI Factors'!A:M,4,FALSE)+C63*VLOOKUP(I$9,'GI Factors'!A:M,7,FALSE)+D63*VLOOKUP(I$9,'GI Factors'!A:M,10,FALSE)+E63*VLOOKUP(I$9,'GI Factors'!A:M,13,FALSE)</f>
        <v>19465356.326141439</v>
      </c>
      <c r="J63" s="60">
        <v>0</v>
      </c>
      <c r="K63" s="59">
        <v>0</v>
      </c>
      <c r="L63" s="61"/>
      <c r="M63" s="59">
        <f t="shared" si="31"/>
        <v>0</v>
      </c>
      <c r="N63" s="62"/>
      <c r="O63" s="63"/>
      <c r="P63" s="62">
        <f t="shared" si="24"/>
        <v>10719098.739135914</v>
      </c>
      <c r="Q63" s="63">
        <f t="shared" si="32"/>
        <v>-10719098.739135914</v>
      </c>
      <c r="R63" s="63">
        <f t="shared" si="33"/>
        <v>0</v>
      </c>
      <c r="S63" s="60">
        <f t="shared" si="34"/>
        <v>-10719098.739135914</v>
      </c>
      <c r="T63" s="46">
        <f t="shared" si="35"/>
        <v>2.4408034598047392E-10</v>
      </c>
      <c r="U63" s="46">
        <f t="shared" si="36"/>
        <v>0</v>
      </c>
      <c r="V63" s="46">
        <f t="shared" si="37"/>
        <v>2.4408034598047392E-10</v>
      </c>
      <c r="W63" s="64">
        <f t="shared" si="38"/>
        <v>42</v>
      </c>
      <c r="X63" s="59">
        <f t="shared" si="39"/>
        <v>0</v>
      </c>
      <c r="Y63" s="65">
        <v>2009</v>
      </c>
      <c r="Z63" s="66">
        <v>2051</v>
      </c>
      <c r="AA63" s="50">
        <f t="shared" si="26"/>
        <v>34</v>
      </c>
      <c r="AB63" s="50">
        <f t="shared" si="27"/>
        <v>2056</v>
      </c>
      <c r="AC63" s="51">
        <f t="shared" si="28"/>
        <v>2057</v>
      </c>
      <c r="AD63" s="52">
        <f>(B63*$AD$10)*VLOOKUP(AB63,'GI Factors'!A:M,4,FALSE)+(C63*$AD$10)*VLOOKUP(AB63,'GI Factors'!A:M,7,FALSE)+(D63*$AD$10)*VLOOKUP(AB63,'GI Factors'!A:M,10,FALSE)+(E63*$AD$10)*VLOOKUP(AB63,'GI Factors'!A:M,13,FALSE)</f>
        <v>16540597.774927586</v>
      </c>
      <c r="AE63" s="52">
        <f>(B63*$AE$10)*VLOOKUP(AC63,'GI Factors'!A:M,4,FALSE)+(C63*$AE$10)*VLOOKUP(AC63,'GI Factors'!A:M,7,FALSE)+(D63*$AE$10)*VLOOKUP(AC63,'GI Factors'!A:M,10,FALSE)+(E63*$AE$10)*VLOOKUP(AC63,'GI Factors'!A:M,13,FALSE)</f>
        <v>39734670.605535962</v>
      </c>
      <c r="AF63" s="53">
        <f t="shared" si="40"/>
        <v>56275268.380463548</v>
      </c>
      <c r="AG63" s="53">
        <f t="shared" si="41"/>
        <v>56275268.380463548</v>
      </c>
      <c r="AH63" s="54">
        <f t="shared" si="29"/>
        <v>3.1371900218289527E-2</v>
      </c>
      <c r="AI63" s="53">
        <f t="shared" si="42"/>
        <v>19687816.358510785</v>
      </c>
      <c r="AJ63" s="53"/>
      <c r="AK63" s="55">
        <f t="shared" si="30"/>
        <v>950000.39025053475</v>
      </c>
      <c r="AL63" s="55">
        <f t="shared" si="22"/>
        <v>979803.70770081063</v>
      </c>
      <c r="AM63" s="55">
        <f t="shared" si="25"/>
        <v>1010542.0118523105</v>
      </c>
      <c r="AN63" s="55">
        <f t="shared" si="23"/>
        <v>1042244.6350145307</v>
      </c>
      <c r="AO63" s="55">
        <f t="shared" si="43"/>
        <v>995647.68620454671</v>
      </c>
    </row>
    <row r="64" spans="1:41" s="56" customFormat="1" ht="11.25">
      <c r="A64" s="57" t="s">
        <v>92</v>
      </c>
      <c r="B64" s="38">
        <v>5239859.051998564</v>
      </c>
      <c r="C64" s="38">
        <v>5725240.5784746846</v>
      </c>
      <c r="D64" s="38">
        <v>389331.1315095704</v>
      </c>
      <c r="E64" s="39">
        <v>-5046891.4185842089</v>
      </c>
      <c r="F64" s="58">
        <v>6307539.3433986101</v>
      </c>
      <c r="G64" s="58"/>
      <c r="H64" s="58">
        <f>F64</f>
        <v>6307539.3433986101</v>
      </c>
      <c r="I64" s="59">
        <f>B64*VLOOKUP(I$9,'GI Factors'!A:M,4,FALSE)+C64*VLOOKUP(I$9,'GI Factors'!A:M,7,FALSE)+D64*VLOOKUP(I$9,'GI Factors'!A:M,10,FALSE)+E64*VLOOKUP(I$9,'GI Factors'!A:M,13,FALSE)</f>
        <v>6422693.9765374213</v>
      </c>
      <c r="J64" s="60">
        <v>3000744</v>
      </c>
      <c r="K64" s="59">
        <v>549432</v>
      </c>
      <c r="L64" s="61"/>
      <c r="M64" s="59">
        <f t="shared" si="31"/>
        <v>3550176</v>
      </c>
      <c r="N64" s="62"/>
      <c r="O64" s="63"/>
      <c r="P64" s="62">
        <f t="shared" si="24"/>
        <v>4947932.7333339043</v>
      </c>
      <c r="Q64" s="63">
        <f t="shared" si="32"/>
        <v>-1397756.7333339043</v>
      </c>
      <c r="R64" s="63">
        <f t="shared" si="33"/>
        <v>0</v>
      </c>
      <c r="S64" s="60">
        <f t="shared" si="34"/>
        <v>-1397756.7333339043</v>
      </c>
      <c r="T64" s="46">
        <f t="shared" si="35"/>
        <v>3.1827764196542731E-11</v>
      </c>
      <c r="U64" s="46">
        <f t="shared" si="36"/>
        <v>0</v>
      </c>
      <c r="V64" s="46">
        <f t="shared" si="37"/>
        <v>3.1827764196542731E-11</v>
      </c>
      <c r="W64" s="64">
        <f t="shared" si="38"/>
        <v>40</v>
      </c>
      <c r="X64" s="59">
        <f t="shared" si="39"/>
        <v>3550176</v>
      </c>
      <c r="Y64" s="65">
        <v>2009</v>
      </c>
      <c r="Z64" s="66">
        <v>2049</v>
      </c>
      <c r="AA64" s="50">
        <f t="shared" si="26"/>
        <v>32</v>
      </c>
      <c r="AB64" s="50">
        <f t="shared" si="27"/>
        <v>2054</v>
      </c>
      <c r="AC64" s="51">
        <f t="shared" si="28"/>
        <v>2055</v>
      </c>
      <c r="AD64" s="52">
        <f>(B64*$AD$10)*VLOOKUP(AB64,'GI Factors'!A:M,4,FALSE)+(C64*$AD$10)*VLOOKUP(AB64,'GI Factors'!A:M,7,FALSE)+(D64*$AD$10)*VLOOKUP(AB64,'GI Factors'!A:M,10,FALSE)+(E64*$AD$10)*VLOOKUP(AB64,'GI Factors'!A:M,13,FALSE)</f>
        <v>7235397.9030180313</v>
      </c>
      <c r="AE64" s="52">
        <f>(B64*$AE$10)*VLOOKUP(AC64,'GI Factors'!A:M,4,FALSE)+(C64*$AE$10)*VLOOKUP(AC64,'GI Factors'!A:M,7,FALSE)+(D64*$AE$10)*VLOOKUP(AC64,'GI Factors'!A:M,10,FALSE)+(E64*$AE$10)*VLOOKUP(AC64,'GI Factors'!A:M,13,FALSE)</f>
        <v>17504265.763651501</v>
      </c>
      <c r="AF64" s="53">
        <f t="shared" si="40"/>
        <v>24739663.666669533</v>
      </c>
      <c r="AG64" s="53">
        <f t="shared" si="41"/>
        <v>21189487.666669533</v>
      </c>
      <c r="AH64" s="54">
        <f t="shared" si="29"/>
        <v>4.3633309507639405E-2</v>
      </c>
      <c r="AI64" s="53">
        <f t="shared" si="42"/>
        <v>5402398.7118322309</v>
      </c>
      <c r="AJ64" s="53"/>
      <c r="AK64" s="55">
        <f t="shared" si="30"/>
        <v>316390.3201556385</v>
      </c>
      <c r="AL64" s="55">
        <f t="shared" si="22"/>
        <v>330195.47692021058</v>
      </c>
      <c r="AM64" s="55">
        <f t="shared" si="25"/>
        <v>344602.99836269271</v>
      </c>
      <c r="AN64" s="55">
        <f t="shared" si="23"/>
        <v>359639.16764751263</v>
      </c>
      <c r="AO64" s="55">
        <f t="shared" si="43"/>
        <v>337706.99077151361</v>
      </c>
    </row>
    <row r="65" spans="1:41" s="56" customFormat="1" ht="11.25">
      <c r="A65" s="57" t="s">
        <v>93</v>
      </c>
      <c r="B65" s="38">
        <v>5258677.0656779213</v>
      </c>
      <c r="C65" s="38">
        <v>5745801.7528219707</v>
      </c>
      <c r="D65" s="38">
        <v>389340.09611438861</v>
      </c>
      <c r="E65" s="39">
        <v>-5060497.6222042087</v>
      </c>
      <c r="F65" s="58">
        <v>6333321.2924100719</v>
      </c>
      <c r="G65" s="58"/>
      <c r="H65" s="58">
        <f>F65</f>
        <v>6333321.2924100719</v>
      </c>
      <c r="I65" s="59">
        <f>B65*VLOOKUP(I$9,'GI Factors'!A:M,4,FALSE)+C65*VLOOKUP(I$9,'GI Factors'!A:M,7,FALSE)+D65*VLOOKUP(I$9,'GI Factors'!A:M,10,FALSE)+E65*VLOOKUP(I$9,'GI Factors'!A:M,13,FALSE)</f>
        <v>6448675.9929062072</v>
      </c>
      <c r="J65" s="60">
        <v>3000744</v>
      </c>
      <c r="K65" s="59">
        <v>549432</v>
      </c>
      <c r="L65" s="61"/>
      <c r="M65" s="59">
        <f t="shared" si="31"/>
        <v>3550176</v>
      </c>
      <c r="N65" s="62"/>
      <c r="O65" s="63"/>
      <c r="P65" s="62">
        <f t="shared" si="24"/>
        <v>4966360.0920004882</v>
      </c>
      <c r="Q65" s="63">
        <f t="shared" si="32"/>
        <v>-1416184.0920004882</v>
      </c>
      <c r="R65" s="63">
        <f t="shared" si="33"/>
        <v>0</v>
      </c>
      <c r="S65" s="60">
        <f t="shared" si="34"/>
        <v>-1416184.0920004882</v>
      </c>
      <c r="T65" s="46">
        <f t="shared" si="35"/>
        <v>3.2247366272081465E-11</v>
      </c>
      <c r="U65" s="46">
        <f t="shared" si="36"/>
        <v>0</v>
      </c>
      <c r="V65" s="46">
        <f t="shared" si="37"/>
        <v>3.2247366272081465E-11</v>
      </c>
      <c r="W65" s="64">
        <f t="shared" si="38"/>
        <v>40</v>
      </c>
      <c r="X65" s="59">
        <f t="shared" si="39"/>
        <v>3550176</v>
      </c>
      <c r="Y65" s="65">
        <v>2009</v>
      </c>
      <c r="Z65" s="66">
        <v>2049</v>
      </c>
      <c r="AA65" s="50">
        <f t="shared" si="26"/>
        <v>32</v>
      </c>
      <c r="AB65" s="50">
        <f t="shared" si="27"/>
        <v>2054</v>
      </c>
      <c r="AC65" s="51">
        <f t="shared" si="28"/>
        <v>2055</v>
      </c>
      <c r="AD65" s="52">
        <f>(B65*$AD$10)*VLOOKUP(AB65,'GI Factors'!A:M,4,FALSE)+(C65*$AD$10)*VLOOKUP(AB65,'GI Factors'!A:M,7,FALSE)+(D65*$AD$10)*VLOOKUP(AB65,'GI Factors'!A:M,10,FALSE)+(E65*$AD$10)*VLOOKUP(AB65,'GI Factors'!A:M,13,FALSE)</f>
        <v>7262372.9597301241</v>
      </c>
      <c r="AE65" s="52">
        <f>(B65*$AE$10)*VLOOKUP(AC65,'GI Factors'!A:M,4,FALSE)+(C65*$AE$10)*VLOOKUP(AC65,'GI Factors'!A:M,7,FALSE)+(D65*$AE$10)*VLOOKUP(AC65,'GI Factors'!A:M,10,FALSE)+(E65*$AE$10)*VLOOKUP(AC65,'GI Factors'!A:M,13,FALSE)</f>
        <v>17569427.500272326</v>
      </c>
      <c r="AF65" s="53">
        <f t="shared" si="40"/>
        <v>24831800.460002452</v>
      </c>
      <c r="AG65" s="53">
        <f t="shared" si="41"/>
        <v>21281624.460002452</v>
      </c>
      <c r="AH65" s="54">
        <f t="shared" si="29"/>
        <v>4.3621509538311315E-2</v>
      </c>
      <c r="AI65" s="53">
        <f t="shared" si="42"/>
        <v>5427853.1090288721</v>
      </c>
      <c r="AJ65" s="53"/>
      <c r="AK65" s="55">
        <f t="shared" si="30"/>
        <v>317834.44482460414</v>
      </c>
      <c r="AL65" s="55">
        <f t="shared" si="22"/>
        <v>331698.86309112445</v>
      </c>
      <c r="AM65" s="55">
        <f t="shared" si="25"/>
        <v>346168.06821130094</v>
      </c>
      <c r="AN65" s="55">
        <f t="shared" si="23"/>
        <v>361268.44190063898</v>
      </c>
      <c r="AO65" s="55">
        <f t="shared" si="43"/>
        <v>339242.45450691716</v>
      </c>
    </row>
    <row r="66" spans="1:41" s="56" customFormat="1" ht="11.25">
      <c r="A66" s="71" t="s">
        <v>94</v>
      </c>
      <c r="B66" s="72">
        <v>5277495.0793572795</v>
      </c>
      <c r="C66" s="72">
        <v>5766362.9271692587</v>
      </c>
      <c r="D66" s="72">
        <v>389349.06071920681</v>
      </c>
      <c r="E66" s="73">
        <v>-5073234.8425842077</v>
      </c>
      <c r="F66" s="74">
        <v>6359972.2246615365</v>
      </c>
      <c r="G66" s="74"/>
      <c r="H66" s="74">
        <f>F66</f>
        <v>6359972.2246615365</v>
      </c>
      <c r="I66" s="75">
        <f>B66*VLOOKUP(I$9,'GI Factors'!A:M,4,FALSE)+C66*VLOOKUP(I$9,'GI Factors'!A:M,7,FALSE)+D66*VLOOKUP(I$9,'GI Factors'!A:M,10,FALSE)+E66*VLOOKUP(I$9,'GI Factors'!A:M,13,FALSE)</f>
        <v>6475489.4156353194</v>
      </c>
      <c r="J66" s="76">
        <v>1457555</v>
      </c>
      <c r="K66" s="75">
        <v>344513</v>
      </c>
      <c r="L66" s="77"/>
      <c r="M66" s="75">
        <f t="shared" si="31"/>
        <v>1802068</v>
      </c>
      <c r="N66" s="78"/>
      <c r="O66" s="79"/>
      <c r="P66" s="78">
        <f t="shared" si="24"/>
        <v>4019284.5920416079</v>
      </c>
      <c r="Q66" s="79">
        <f t="shared" si="32"/>
        <v>-2217216.5920416079</v>
      </c>
      <c r="R66" s="79">
        <f t="shared" si="33"/>
        <v>0</v>
      </c>
      <c r="S66" s="76">
        <f t="shared" si="34"/>
        <v>-2217216.5920416079</v>
      </c>
      <c r="T66" s="46">
        <f t="shared" si="35"/>
        <v>5.0487359625048883E-11</v>
      </c>
      <c r="U66" s="46">
        <f t="shared" si="36"/>
        <v>0</v>
      </c>
      <c r="V66" s="46">
        <f t="shared" si="37"/>
        <v>5.0487359625048883E-11</v>
      </c>
      <c r="W66" s="80">
        <f t="shared" si="38"/>
        <v>40</v>
      </c>
      <c r="X66" s="75">
        <f t="shared" si="39"/>
        <v>1802068</v>
      </c>
      <c r="Y66" s="81">
        <v>2011</v>
      </c>
      <c r="Z66" s="82">
        <v>2051</v>
      </c>
      <c r="AA66" s="83">
        <f t="shared" si="26"/>
        <v>34</v>
      </c>
      <c r="AB66" s="84">
        <f t="shared" si="27"/>
        <v>2056</v>
      </c>
      <c r="AC66" s="85">
        <f t="shared" si="28"/>
        <v>2057</v>
      </c>
      <c r="AD66" s="52">
        <f>(B66*$AD$10)*VLOOKUP(AB66,'GI Factors'!A:M,4,FALSE)+(C66*$AD$10)*VLOOKUP(AB66,'GI Factors'!A:M,7,FALSE)+(D66*$AD$10)*VLOOKUP(AB66,'GI Factors'!A:M,10,FALSE)+(E66*$AD$10)*VLOOKUP(AB66,'GI Factors'!A:M,13,FALSE)</f>
        <v>7836423.8578319978</v>
      </c>
      <c r="AE66" s="52">
        <f>(B66*$AE$10)*VLOOKUP(AC66,'GI Factors'!A:M,4,FALSE)+(C66*$AE$10)*VLOOKUP(AC66,'GI Factors'!A:M,7,FALSE)+(D66*$AE$10)*VLOOKUP(AC66,'GI Factors'!A:M,10,FALSE)+(E66*$AE$10)*VLOOKUP(AC66,'GI Factors'!A:M,13,FALSE)</f>
        <v>18958806.755778711</v>
      </c>
      <c r="AF66" s="53">
        <f t="shared" si="40"/>
        <v>26795230.613610707</v>
      </c>
      <c r="AG66" s="53">
        <f t="shared" si="41"/>
        <v>24993162.613610707</v>
      </c>
      <c r="AH66" s="54">
        <f t="shared" si="29"/>
        <v>4.3207390941134058E-2</v>
      </c>
      <c r="AI66" s="53">
        <f t="shared" si="42"/>
        <v>5932243.0294095362</v>
      </c>
      <c r="AJ66" s="53"/>
      <c r="AK66" s="86">
        <f t="shared" si="30"/>
        <v>336089.03433666303</v>
      </c>
      <c r="AL66" s="86">
        <f t="shared" si="22"/>
        <v>350610.56463427545</v>
      </c>
      <c r="AM66" s="86">
        <f t="shared" si="25"/>
        <v>365759.53236852039</v>
      </c>
      <c r="AN66" s="86">
        <f t="shared" si="23"/>
        <v>381563.04747401347</v>
      </c>
      <c r="AO66" s="86">
        <f t="shared" si="43"/>
        <v>358505.54470336804</v>
      </c>
    </row>
    <row r="67" spans="1:41" s="56" customFormat="1" ht="11.25">
      <c r="B67" s="87"/>
      <c r="C67" s="87"/>
      <c r="D67" s="87"/>
      <c r="E67" s="87"/>
      <c r="F67" s="87"/>
      <c r="G67" s="87"/>
      <c r="H67" s="87"/>
      <c r="I67" s="87"/>
      <c r="J67" s="79"/>
      <c r="K67" s="79"/>
      <c r="L67" s="88"/>
      <c r="M67" s="79"/>
      <c r="N67" s="88"/>
      <c r="O67" s="88"/>
      <c r="P67" s="88"/>
      <c r="Q67" s="88"/>
      <c r="R67" s="88"/>
      <c r="S67" s="88"/>
      <c r="T67" s="89"/>
      <c r="U67" s="89"/>
      <c r="V67" s="89"/>
      <c r="W67" s="90"/>
      <c r="X67" s="79"/>
      <c r="Y67" s="91"/>
      <c r="Z67" s="84"/>
      <c r="AA67" s="84"/>
      <c r="AB67" s="84"/>
      <c r="AC67" s="84"/>
      <c r="AD67" s="52"/>
      <c r="AE67" s="52"/>
      <c r="AF67" s="53"/>
      <c r="AG67" s="53"/>
      <c r="AH67" s="54"/>
      <c r="AI67" s="53"/>
      <c r="AJ67" s="53"/>
      <c r="AK67" s="53"/>
      <c r="AL67" s="53"/>
      <c r="AM67" s="53"/>
      <c r="AN67" s="53"/>
      <c r="AO67" s="53"/>
    </row>
    <row r="68" spans="1:41" s="56" customFormat="1" thickBot="1">
      <c r="B68" s="92">
        <f>SUM(B14:B67)</f>
        <v>276215373.47102141</v>
      </c>
      <c r="C68" s="92">
        <f>SUM(C14:C67)</f>
        <v>295621808.51793879</v>
      </c>
      <c r="D68" s="92">
        <f t="shared" ref="D68:I68" si="44">SUM(D14:D67)</f>
        <v>25647017.427667931</v>
      </c>
      <c r="E68" s="92">
        <f t="shared" si="44"/>
        <v>-137259168.61671227</v>
      </c>
      <c r="F68" s="92">
        <f>SUM(F14:F67)</f>
        <v>467245134.91991603</v>
      </c>
      <c r="G68" s="92">
        <f>SUM(G14:G67)</f>
        <v>-7020104.1200000001</v>
      </c>
      <c r="H68" s="92">
        <f>SUM(H14:H67)</f>
        <v>460225030.79991597</v>
      </c>
      <c r="I68" s="92">
        <f t="shared" si="44"/>
        <v>461054475.47365534</v>
      </c>
      <c r="J68" s="92">
        <f>SUM(J14:J67)</f>
        <v>316259490.75999999</v>
      </c>
      <c r="K68" s="92">
        <f>SUM(K14:K67)</f>
        <v>15644577</v>
      </c>
      <c r="L68" s="92">
        <f>SUM(L14:L67)</f>
        <v>-7020104.1200000001</v>
      </c>
      <c r="M68" s="92">
        <f>SUM(M14:M67)</f>
        <v>324883963.63999999</v>
      </c>
      <c r="N68" s="92">
        <f t="shared" ref="N68:X68" si="45">SUM(N14:N67)</f>
        <v>-51101219.515553489</v>
      </c>
      <c r="O68" s="92">
        <f t="shared" si="45"/>
        <v>51101219.515553452</v>
      </c>
      <c r="P68" s="92">
        <f t="shared" si="45"/>
        <v>468034716.24631077</v>
      </c>
      <c r="Q68" s="92">
        <f t="shared" si="45"/>
        <v>-143150752.60631078</v>
      </c>
      <c r="R68" s="92">
        <f t="shared" si="45"/>
        <v>3.2596290111541748E-9</v>
      </c>
      <c r="S68" s="92">
        <f t="shared" si="45"/>
        <v>-143150752.60631078</v>
      </c>
      <c r="T68" s="93">
        <f t="shared" si="45"/>
        <v>3.259629011154174E-9</v>
      </c>
      <c r="U68" s="93">
        <f t="shared" si="45"/>
        <v>-3.259629011154174E-9</v>
      </c>
      <c r="V68" s="93"/>
      <c r="W68" s="94"/>
      <c r="X68" s="92">
        <f t="shared" si="45"/>
        <v>324883963.63999993</v>
      </c>
      <c r="Y68" s="93"/>
      <c r="Z68" s="93"/>
      <c r="AA68" s="93"/>
      <c r="AB68" s="93"/>
      <c r="AC68" s="93"/>
      <c r="AD68" s="92">
        <f t="shared" ref="AD68:AG68" si="46">SUM(AD14:AD67)</f>
        <v>357473070.02122772</v>
      </c>
      <c r="AE68" s="92">
        <f t="shared" si="46"/>
        <v>861141352.49247622</v>
      </c>
      <c r="AF68" s="92">
        <f t="shared" si="46"/>
        <v>1218614422.5137038</v>
      </c>
      <c r="AG68" s="92">
        <f t="shared" si="46"/>
        <v>893730458.87370431</v>
      </c>
      <c r="AH68" s="93"/>
      <c r="AI68" s="92">
        <f t="shared" ref="AI68" si="47">SUM(AI14:AI67)</f>
        <v>312484168.58874243</v>
      </c>
      <c r="AJ68" s="53"/>
      <c r="AK68" s="92">
        <f t="shared" ref="AK68:AN68" si="48">SUM(AK14:AK67)</f>
        <v>18825554.885658674</v>
      </c>
      <c r="AL68" s="92">
        <f t="shared" si="48"/>
        <v>19545689.039509032</v>
      </c>
      <c r="AM68" s="92">
        <f t="shared" si="48"/>
        <v>20906887.905123543</v>
      </c>
      <c r="AN68" s="92">
        <f t="shared" si="48"/>
        <v>21710330.167667255</v>
      </c>
      <c r="AO68" s="92">
        <f>SUM(AO14:AO67)</f>
        <v>20247115.499489624</v>
      </c>
    </row>
    <row r="69" spans="1:41" s="56" customFormat="1" thickTop="1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95"/>
      <c r="U69" s="95"/>
      <c r="V69" s="95"/>
      <c r="W69" s="96"/>
      <c r="X69" s="53"/>
      <c r="Y69" s="97"/>
      <c r="AD69" s="53"/>
      <c r="AE69" s="53"/>
      <c r="AF69" s="53"/>
      <c r="AG69" s="53"/>
      <c r="AI69" s="53"/>
      <c r="AJ69" s="53"/>
      <c r="AK69" s="53"/>
      <c r="AL69" s="53"/>
      <c r="AM69" s="53"/>
      <c r="AN69" s="53"/>
      <c r="AO69" s="53"/>
    </row>
    <row r="70" spans="1:41" s="56" customFormat="1" ht="11.25">
      <c r="A70" s="98" t="s">
        <v>95</v>
      </c>
      <c r="B70" s="99">
        <v>0</v>
      </c>
      <c r="C70" s="100">
        <v>0</v>
      </c>
      <c r="D70" s="100">
        <v>0</v>
      </c>
      <c r="E70" s="100">
        <v>0</v>
      </c>
      <c r="F70" s="101">
        <v>4520250</v>
      </c>
      <c r="G70" s="101">
        <v>0</v>
      </c>
      <c r="H70" s="101">
        <v>4520250</v>
      </c>
      <c r="I70" s="101">
        <v>4520250</v>
      </c>
      <c r="J70" s="102" t="s">
        <v>96</v>
      </c>
      <c r="K70" s="102" t="s">
        <v>96</v>
      </c>
      <c r="L70" s="102" t="s">
        <v>96</v>
      </c>
      <c r="M70" s="102" t="s">
        <v>96</v>
      </c>
      <c r="N70" s="102" t="s">
        <v>96</v>
      </c>
      <c r="O70" s="102" t="s">
        <v>96</v>
      </c>
      <c r="P70" s="102" t="s">
        <v>96</v>
      </c>
      <c r="Q70" s="102" t="s">
        <v>96</v>
      </c>
      <c r="R70" s="102" t="s">
        <v>96</v>
      </c>
      <c r="S70" s="102" t="s">
        <v>96</v>
      </c>
      <c r="T70" s="103" t="s">
        <v>96</v>
      </c>
      <c r="U70" s="103" t="s">
        <v>96</v>
      </c>
      <c r="V70" s="103" t="s">
        <v>96</v>
      </c>
      <c r="W70" s="103" t="s">
        <v>96</v>
      </c>
      <c r="X70" s="102">
        <v>0</v>
      </c>
      <c r="Y70" s="103" t="s">
        <v>96</v>
      </c>
      <c r="Z70" s="104">
        <v>2016</v>
      </c>
      <c r="AA70" s="104">
        <v>0</v>
      </c>
      <c r="AB70" s="103" t="s">
        <v>96</v>
      </c>
      <c r="AC70" s="103" t="s">
        <v>96</v>
      </c>
      <c r="AD70" s="102" t="s">
        <v>96</v>
      </c>
      <c r="AE70" s="105" t="s">
        <v>96</v>
      </c>
      <c r="AF70" s="106">
        <v>4520250</v>
      </c>
      <c r="AG70" s="107">
        <f t="shared" ref="AG70" si="49">AF70-X70</f>
        <v>4520250</v>
      </c>
      <c r="AH70" s="108" t="s">
        <v>96</v>
      </c>
      <c r="AI70" s="106">
        <v>4520250</v>
      </c>
      <c r="AJ70" s="53"/>
      <c r="AK70" s="101">
        <v>4520250</v>
      </c>
      <c r="AL70" s="107">
        <v>0</v>
      </c>
      <c r="AM70" s="107">
        <v>0</v>
      </c>
      <c r="AN70" s="107">
        <v>0</v>
      </c>
      <c r="AO70" s="107">
        <f t="shared" ref="AO70" si="50">SUM(AK70:AN70)/4</f>
        <v>1130062.5</v>
      </c>
    </row>
    <row r="71" spans="1:41" s="56" customFormat="1" ht="11.2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95"/>
      <c r="U71" s="95"/>
      <c r="V71" s="95"/>
      <c r="W71" s="96"/>
      <c r="X71" s="53"/>
      <c r="Y71" s="97"/>
      <c r="AD71" s="53"/>
      <c r="AE71" s="53"/>
      <c r="AF71" s="53"/>
      <c r="AG71" s="53"/>
      <c r="AI71" s="53"/>
      <c r="AJ71" s="53"/>
      <c r="AK71" s="53"/>
      <c r="AL71" s="53"/>
      <c r="AM71" s="53"/>
      <c r="AN71" s="53"/>
      <c r="AO71" s="53"/>
    </row>
    <row r="72" spans="1:41" s="56" customFormat="1" thickBot="1">
      <c r="A72" s="109" t="s">
        <v>97</v>
      </c>
      <c r="B72" s="110">
        <f>B68+B70</f>
        <v>276215373.47102141</v>
      </c>
      <c r="C72" s="110">
        <f t="shared" ref="C72:I72" si="51">C68+C70</f>
        <v>295621808.51793879</v>
      </c>
      <c r="D72" s="110">
        <f t="shared" si="51"/>
        <v>25647017.427667931</v>
      </c>
      <c r="E72" s="110">
        <f t="shared" si="51"/>
        <v>-137259168.61671227</v>
      </c>
      <c r="F72" s="110">
        <f t="shared" si="51"/>
        <v>471765384.91991603</v>
      </c>
      <c r="G72" s="110">
        <f>G68+G70</f>
        <v>-7020104.1200000001</v>
      </c>
      <c r="H72" s="110">
        <f t="shared" ref="H72" si="52">H68+H70</f>
        <v>464745280.79991597</v>
      </c>
      <c r="I72" s="110">
        <f t="shared" si="51"/>
        <v>465574725.47365534</v>
      </c>
      <c r="J72" s="110">
        <f>J68</f>
        <v>316259490.75999999</v>
      </c>
      <c r="K72" s="110">
        <f t="shared" ref="K72:X72" si="53">K68</f>
        <v>15644577</v>
      </c>
      <c r="L72" s="110">
        <f t="shared" si="53"/>
        <v>-7020104.1200000001</v>
      </c>
      <c r="M72" s="110">
        <f t="shared" si="53"/>
        <v>324883963.63999999</v>
      </c>
      <c r="N72" s="110">
        <f t="shared" si="53"/>
        <v>-51101219.515553489</v>
      </c>
      <c r="O72" s="110">
        <f t="shared" si="53"/>
        <v>51101219.515553452</v>
      </c>
      <c r="P72" s="110">
        <f t="shared" si="53"/>
        <v>468034716.24631077</v>
      </c>
      <c r="Q72" s="110">
        <f>Q68</f>
        <v>-143150752.60631078</v>
      </c>
      <c r="R72" s="110">
        <f>R68</f>
        <v>3.2596290111541748E-9</v>
      </c>
      <c r="S72" s="110">
        <f>S68</f>
        <v>-143150752.60631078</v>
      </c>
      <c r="T72" s="111">
        <f>T68</f>
        <v>3.259629011154174E-9</v>
      </c>
      <c r="U72" s="111">
        <f t="shared" si="53"/>
        <v>-3.259629011154174E-9</v>
      </c>
      <c r="V72" s="111"/>
      <c r="W72" s="111"/>
      <c r="X72" s="110">
        <f t="shared" si="53"/>
        <v>324883963.63999993</v>
      </c>
      <c r="Y72" s="111"/>
      <c r="Z72" s="111"/>
      <c r="AA72" s="111"/>
      <c r="AB72" s="111"/>
      <c r="AC72" s="111"/>
      <c r="AD72" s="110">
        <f>AD68</f>
        <v>357473070.02122772</v>
      </c>
      <c r="AE72" s="110">
        <f>AE68</f>
        <v>861141352.49247622</v>
      </c>
      <c r="AF72" s="110">
        <f>AF68+AF70</f>
        <v>1223134672.5137038</v>
      </c>
      <c r="AG72" s="110">
        <f t="shared" ref="AG72:AO72" si="54">AG68+AG70</f>
        <v>898250708.87370431</v>
      </c>
      <c r="AH72" s="111"/>
      <c r="AI72" s="110">
        <f t="shared" si="54"/>
        <v>317004418.58874243</v>
      </c>
      <c r="AJ72" s="110"/>
      <c r="AK72" s="110">
        <f t="shared" si="54"/>
        <v>23345804.885658674</v>
      </c>
      <c r="AL72" s="110">
        <f t="shared" si="54"/>
        <v>19545689.039509032</v>
      </c>
      <c r="AM72" s="110">
        <f t="shared" si="54"/>
        <v>20906887.905123543</v>
      </c>
      <c r="AN72" s="110">
        <f t="shared" si="54"/>
        <v>21710330.167667255</v>
      </c>
      <c r="AO72" s="110">
        <f t="shared" si="54"/>
        <v>21377177.999489624</v>
      </c>
    </row>
    <row r="73" spans="1:41" s="56" customFormat="1" thickTop="1">
      <c r="L73" s="95"/>
      <c r="N73" s="95"/>
      <c r="O73" s="95"/>
      <c r="P73" s="95"/>
      <c r="Q73" s="95"/>
      <c r="R73" s="95"/>
      <c r="S73" s="95"/>
      <c r="T73" s="95"/>
      <c r="U73" s="95"/>
      <c r="V73" s="95"/>
      <c r="W73" s="96"/>
      <c r="Y73" s="97"/>
    </row>
    <row r="74" spans="1:41" s="56" customFormat="1" ht="11.25">
      <c r="A74" s="112" t="s">
        <v>98</v>
      </c>
      <c r="B74" s="113">
        <v>-245193.68929821294</v>
      </c>
      <c r="C74" s="113">
        <v>-230997.22476229433</v>
      </c>
      <c r="D74" s="114">
        <v>-10780.945939492685</v>
      </c>
      <c r="E74" s="115"/>
      <c r="L74" s="95"/>
      <c r="O74" s="95"/>
      <c r="P74" s="95"/>
      <c r="Q74" s="95"/>
      <c r="R74" s="95"/>
      <c r="S74" s="95"/>
      <c r="T74" s="95"/>
      <c r="U74" s="95"/>
      <c r="V74" s="95"/>
      <c r="W74" s="96"/>
      <c r="Y74" s="97"/>
    </row>
    <row r="75" spans="1:41" s="56" customFormat="1" ht="11.25">
      <c r="A75" s="116" t="s">
        <v>99</v>
      </c>
      <c r="B75" s="117">
        <v>-3289477.1404297813</v>
      </c>
      <c r="C75" s="117">
        <v>-3099019.768955471</v>
      </c>
      <c r="D75" s="118">
        <v>-144635.35061474738</v>
      </c>
      <c r="E75" s="115"/>
      <c r="L75" s="95"/>
      <c r="N75" s="95"/>
      <c r="O75" s="95"/>
      <c r="P75" s="95"/>
      <c r="Q75" s="95"/>
      <c r="R75" s="95"/>
      <c r="S75" s="95"/>
      <c r="T75" s="95"/>
      <c r="U75" s="95"/>
      <c r="V75" s="95"/>
      <c r="W75" s="96"/>
      <c r="Y75" s="97"/>
    </row>
    <row r="76" spans="1:41" s="56" customFormat="1" ht="11.25">
      <c r="L76" s="95"/>
      <c r="N76" s="95"/>
      <c r="O76" s="95"/>
      <c r="P76" s="95"/>
      <c r="Q76" s="95"/>
      <c r="R76" s="95"/>
      <c r="S76" s="95"/>
      <c r="T76" s="95"/>
      <c r="U76" s="95"/>
      <c r="V76" s="95"/>
      <c r="W76" s="96"/>
      <c r="Y76" s="97"/>
    </row>
    <row r="77" spans="1:41" s="56" customFormat="1" ht="11.25">
      <c r="L77" s="95"/>
      <c r="N77" s="95"/>
      <c r="O77" s="95"/>
      <c r="P77" s="95"/>
      <c r="Q77" s="95"/>
      <c r="R77" s="95"/>
      <c r="S77" s="95"/>
      <c r="T77" s="95"/>
      <c r="U77" s="95"/>
      <c r="V77" s="95"/>
      <c r="W77" s="96"/>
      <c r="Y77" s="97"/>
    </row>
    <row r="78" spans="1:41" s="56" customFormat="1" ht="11.25">
      <c r="A78" s="119" t="s">
        <v>159</v>
      </c>
      <c r="G78" s="120"/>
      <c r="H78" s="120"/>
      <c r="I78" s="120" t="s">
        <v>100</v>
      </c>
      <c r="J78" s="121">
        <v>3548353.07</v>
      </c>
      <c r="K78" s="121">
        <v>273208</v>
      </c>
      <c r="L78" s="63"/>
      <c r="M78" s="53">
        <f t="shared" ref="M78:M83" si="55">J78+K78+L78</f>
        <v>3821561.07</v>
      </c>
      <c r="N78" s="63">
        <f>-M78</f>
        <v>-3821561.07</v>
      </c>
      <c r="O78" s="63"/>
      <c r="P78" s="122"/>
      <c r="Q78" s="122"/>
      <c r="R78" s="122"/>
      <c r="S78" s="122"/>
      <c r="T78" s="122"/>
      <c r="U78" s="122"/>
      <c r="V78" s="122"/>
      <c r="W78" s="123"/>
      <c r="X78" s="63"/>
      <c r="Y78" s="124"/>
      <c r="AG78" s="125"/>
      <c r="AK78" s="126"/>
      <c r="AL78" s="127" t="s">
        <v>101</v>
      </c>
      <c r="AM78" s="128"/>
      <c r="AN78" s="128"/>
      <c r="AO78" s="129"/>
    </row>
    <row r="79" spans="1:41" s="56" customFormat="1" ht="11.25">
      <c r="A79" s="119" t="s">
        <v>102</v>
      </c>
      <c r="G79" s="130"/>
      <c r="H79" s="130"/>
      <c r="I79" s="130" t="s">
        <v>103</v>
      </c>
      <c r="J79" s="121">
        <v>5752698.1600000001</v>
      </c>
      <c r="K79" s="121">
        <v>361621</v>
      </c>
      <c r="L79" s="53"/>
      <c r="M79" s="53">
        <f t="shared" si="55"/>
        <v>6114319.1600000001</v>
      </c>
      <c r="N79" s="63">
        <f t="shared" ref="N79:N83" si="56">-M79</f>
        <v>-6114319.1600000001</v>
      </c>
      <c r="O79" s="131"/>
      <c r="P79" s="122"/>
      <c r="Q79" s="122"/>
      <c r="R79" s="122"/>
      <c r="S79" s="122"/>
      <c r="T79" s="122"/>
      <c r="U79" s="122"/>
      <c r="V79" s="122"/>
      <c r="W79" s="123"/>
      <c r="X79" s="46"/>
      <c r="Y79" s="132"/>
      <c r="AK79" s="133"/>
      <c r="AL79" s="134"/>
      <c r="AM79" s="135" t="s">
        <v>104</v>
      </c>
      <c r="AN79" s="136">
        <f>AVERAGE(AK68:AN68)+AVERAGE(AK70:AN70)</f>
        <v>21377177.999489628</v>
      </c>
      <c r="AO79" s="137"/>
    </row>
    <row r="80" spans="1:41" s="56" customFormat="1" ht="11.25">
      <c r="A80" s="119" t="s">
        <v>105</v>
      </c>
      <c r="G80" s="138"/>
      <c r="H80" s="138"/>
      <c r="I80" s="138" t="s">
        <v>106</v>
      </c>
      <c r="J80" s="121">
        <v>34167539.129999995</v>
      </c>
      <c r="K80" s="121">
        <v>3022617</v>
      </c>
      <c r="L80" s="53">
        <v>-300150</v>
      </c>
      <c r="M80" s="53">
        <f t="shared" si="55"/>
        <v>36890006.129999995</v>
      </c>
      <c r="N80" s="63">
        <f t="shared" si="56"/>
        <v>-36890006.129999995</v>
      </c>
      <c r="O80" s="63"/>
      <c r="P80" s="122"/>
      <c r="Q80" s="122"/>
      <c r="R80" s="122"/>
      <c r="S80" s="122"/>
      <c r="T80" s="122"/>
      <c r="U80" s="122"/>
      <c r="V80" s="122"/>
      <c r="W80" s="123"/>
      <c r="Y80" s="97"/>
      <c r="AK80" s="133"/>
      <c r="AL80" s="134"/>
      <c r="AM80" s="134"/>
      <c r="AN80" s="139"/>
      <c r="AO80" s="137"/>
    </row>
    <row r="81" spans="1:41" s="56" customFormat="1" ht="12.75">
      <c r="A81" s="56" t="s">
        <v>107</v>
      </c>
      <c r="G81" s="140"/>
      <c r="H81" s="140"/>
      <c r="I81" s="140" t="s">
        <v>108</v>
      </c>
      <c r="J81" s="121">
        <v>5743621.75</v>
      </c>
      <c r="K81" s="121">
        <v>439075</v>
      </c>
      <c r="L81" s="53">
        <v>-4031999.99</v>
      </c>
      <c r="M81" s="53">
        <f t="shared" si="55"/>
        <v>2150696.7599999998</v>
      </c>
      <c r="N81" s="63">
        <f t="shared" si="56"/>
        <v>-2150696.7599999998</v>
      </c>
      <c r="O81" s="63"/>
      <c r="P81" s="122"/>
      <c r="Q81" s="122"/>
      <c r="R81" s="122"/>
      <c r="S81" s="122"/>
      <c r="T81" s="122"/>
      <c r="U81" s="122"/>
      <c r="V81" s="122"/>
      <c r="W81" s="123"/>
      <c r="Y81" s="97"/>
      <c r="AG81" s="125"/>
      <c r="AK81" s="133"/>
      <c r="AL81" s="134"/>
      <c r="AM81" s="135" t="s">
        <v>109</v>
      </c>
      <c r="AN81" s="141">
        <v>18468386.57</v>
      </c>
      <c r="AO81" s="137"/>
    </row>
    <row r="82" spans="1:41" s="56" customFormat="1" ht="12.75">
      <c r="A82" s="56" t="s">
        <v>162</v>
      </c>
      <c r="G82" s="142"/>
      <c r="H82" s="142"/>
      <c r="I82" s="142" t="s">
        <v>110</v>
      </c>
      <c r="J82" s="121">
        <v>4277511.21</v>
      </c>
      <c r="K82" s="121">
        <v>96616</v>
      </c>
      <c r="L82" s="53"/>
      <c r="M82" s="53">
        <f t="shared" si="55"/>
        <v>4374127.21</v>
      </c>
      <c r="N82" s="63">
        <f t="shared" si="56"/>
        <v>-4374127.21</v>
      </c>
      <c r="O82" s="63"/>
      <c r="P82" s="122"/>
      <c r="Q82" s="122"/>
      <c r="R82" s="122"/>
      <c r="S82" s="122"/>
      <c r="T82" s="122"/>
      <c r="U82" s="122"/>
      <c r="V82" s="122"/>
      <c r="W82" s="123"/>
      <c r="Y82" s="97"/>
      <c r="AG82" s="143"/>
      <c r="AK82" s="133"/>
      <c r="AL82" s="134"/>
      <c r="AM82" s="144"/>
      <c r="AN82" s="141"/>
      <c r="AO82" s="137"/>
    </row>
    <row r="83" spans="1:41" s="56" customFormat="1" ht="12.75">
      <c r="A83" s="56" t="s">
        <v>164</v>
      </c>
      <c r="G83" s="145"/>
      <c r="H83" s="145"/>
      <c r="I83" s="145" t="s">
        <v>111</v>
      </c>
      <c r="J83" s="121">
        <v>-3819732.77</v>
      </c>
      <c r="K83" s="121">
        <v>137137</v>
      </c>
      <c r="L83" s="53"/>
      <c r="M83" s="53">
        <f t="shared" si="55"/>
        <v>-3682595.77</v>
      </c>
      <c r="N83" s="63">
        <f t="shared" si="56"/>
        <v>3682595.77</v>
      </c>
      <c r="O83" s="63"/>
      <c r="P83" s="122"/>
      <c r="Q83" s="122"/>
      <c r="R83" s="122"/>
      <c r="S83" s="122"/>
      <c r="T83" s="122"/>
      <c r="U83" s="122"/>
      <c r="V83" s="122"/>
      <c r="W83" s="123"/>
      <c r="X83" s="146"/>
      <c r="Y83" s="147"/>
      <c r="AK83" s="148"/>
      <c r="AL83" s="149"/>
      <c r="AM83" s="150" t="s">
        <v>112</v>
      </c>
      <c r="AN83" s="151">
        <f>AN79-AN81</f>
        <v>2908791.4294896275</v>
      </c>
      <c r="AO83" s="152">
        <f>AN83/AN81</f>
        <v>0.15750111242606654</v>
      </c>
    </row>
    <row r="84" spans="1:41" s="56" customFormat="1" thickBot="1">
      <c r="J84" s="110">
        <f>SUM(J78:J83)</f>
        <v>49669990.549999997</v>
      </c>
      <c r="K84" s="110">
        <f>SUM(K78:K83)</f>
        <v>4330274</v>
      </c>
      <c r="L84" s="110">
        <f>SUM(L78:L83)</f>
        <v>-4332149.99</v>
      </c>
      <c r="M84" s="110">
        <f>SUM(M78:M83)</f>
        <v>49668114.559999995</v>
      </c>
      <c r="N84" s="110">
        <f>SUM(N78:N83)</f>
        <v>-49668114.559999995</v>
      </c>
      <c r="O84" s="153"/>
      <c r="P84" s="154"/>
      <c r="Q84" s="154"/>
      <c r="R84" s="154"/>
      <c r="S84" s="154"/>
      <c r="T84" s="154"/>
      <c r="U84" s="154"/>
      <c r="V84" s="154"/>
      <c r="W84" s="155"/>
      <c r="X84" s="156"/>
      <c r="Y84" s="157"/>
    </row>
    <row r="85" spans="1:41" s="56" customFormat="1" ht="12.75" thickTop="1">
      <c r="J85" s="53"/>
      <c r="K85" s="53"/>
      <c r="L85" s="53"/>
      <c r="M85" s="53"/>
      <c r="N85" s="53"/>
      <c r="O85" s="53"/>
      <c r="P85" s="95"/>
      <c r="Q85" s="95"/>
      <c r="R85" s="95"/>
      <c r="S85" s="95"/>
      <c r="T85" s="95"/>
      <c r="U85" s="95"/>
      <c r="V85" s="95"/>
      <c r="W85" s="96"/>
      <c r="X85" s="158"/>
      <c r="Y85" s="159"/>
      <c r="AI85" s="2"/>
      <c r="AJ85" s="2"/>
      <c r="AK85" s="2"/>
      <c r="AL85" s="2"/>
      <c r="AM85" s="2"/>
      <c r="AN85" s="2"/>
      <c r="AO85" s="2"/>
    </row>
    <row r="86" spans="1:41" s="56" customFormat="1">
      <c r="J86" s="53"/>
      <c r="K86" s="53"/>
      <c r="L86" s="160"/>
      <c r="M86" s="53"/>
      <c r="N86" s="160"/>
      <c r="O86" s="53"/>
      <c r="P86" s="95"/>
      <c r="Q86" s="95"/>
      <c r="R86" s="95"/>
      <c r="S86" s="95"/>
      <c r="T86" s="95"/>
      <c r="U86" s="95"/>
      <c r="V86" s="95"/>
      <c r="W86" s="96"/>
      <c r="X86" s="161"/>
      <c r="Y86" s="162"/>
      <c r="AI86" s="2"/>
      <c r="AJ86" s="2"/>
      <c r="AK86" s="2"/>
      <c r="AL86" s="2"/>
      <c r="AM86" s="2"/>
      <c r="AN86" s="2"/>
      <c r="AO86" s="2"/>
    </row>
    <row r="87" spans="1:41">
      <c r="J87" s="163"/>
      <c r="K87" s="163"/>
      <c r="L87" s="163"/>
      <c r="M87" s="163"/>
      <c r="N87" s="53"/>
      <c r="O87" s="53"/>
      <c r="P87" s="95"/>
      <c r="Q87" s="95"/>
      <c r="R87" s="95"/>
      <c r="S87" s="95"/>
      <c r="T87" s="95"/>
      <c r="U87" s="95"/>
      <c r="V87" s="95"/>
    </row>
    <row r="88" spans="1:41">
      <c r="J88" s="53"/>
      <c r="K88" s="121"/>
      <c r="L88" s="163"/>
      <c r="M88" s="163"/>
      <c r="N88" s="163"/>
      <c r="O88" s="163"/>
    </row>
    <row r="89" spans="1:41">
      <c r="J89" s="163"/>
      <c r="K89" s="163"/>
      <c r="L89" s="163"/>
      <c r="M89" s="163"/>
      <c r="N89" s="163"/>
      <c r="O89" s="163"/>
    </row>
    <row r="90" spans="1:41">
      <c r="K90" s="164"/>
    </row>
    <row r="91" spans="1:41">
      <c r="K91" s="164"/>
    </row>
  </sheetData>
  <mergeCells count="6">
    <mergeCell ref="Z9:AC9"/>
    <mergeCell ref="AD9:AG9"/>
    <mergeCell ref="B11:F11"/>
    <mergeCell ref="B12:F12"/>
    <mergeCell ref="AK12:AO12"/>
    <mergeCell ref="N9:O11"/>
  </mergeCells>
  <pageMargins left="0.7" right="0.7" top="0.75" bottom="0.75" header="0.3" footer="0.3"/>
  <pageSetup paperSize="17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Normal="100" workbookViewId="0">
      <pane ySplit="10" topLeftCell="A11" activePane="bottomLeft" state="frozen"/>
      <selection activeCell="A7" sqref="A7"/>
      <selection pane="bottomLeft" activeCell="D31" sqref="D31"/>
    </sheetView>
  </sheetViews>
  <sheetFormatPr defaultColWidth="8.85546875" defaultRowHeight="12.75"/>
  <cols>
    <col min="1" max="1" width="23.85546875" style="216" bestFit="1" customWidth="1"/>
    <col min="2" max="2" width="11.140625" style="216" customWidth="1"/>
    <col min="4" max="4" width="23.85546875" bestFit="1" customWidth="1"/>
    <col min="5" max="5" width="11.7109375" bestFit="1" customWidth="1"/>
    <col min="6" max="6" width="15" bestFit="1" customWidth="1"/>
    <col min="7" max="7" width="10.85546875" bestFit="1" customWidth="1"/>
    <col min="9" max="9" width="12.42578125" bestFit="1" customWidth="1"/>
  </cols>
  <sheetData>
    <row r="1" spans="1:7" ht="15">
      <c r="A1" s="298" t="s">
        <v>171</v>
      </c>
      <c r="B1" s="251"/>
    </row>
    <row r="2" spans="1:7" ht="15">
      <c r="A2" s="298" t="s">
        <v>172</v>
      </c>
      <c r="B2" s="251"/>
    </row>
    <row r="3" spans="1:7" ht="15">
      <c r="A3" s="298" t="s">
        <v>173</v>
      </c>
      <c r="B3" s="251"/>
    </row>
    <row r="4" spans="1:7" ht="15">
      <c r="A4" s="298" t="s">
        <v>174</v>
      </c>
      <c r="B4" s="251"/>
    </row>
    <row r="5" spans="1:7" ht="15">
      <c r="A5" s="298" t="s">
        <v>175</v>
      </c>
      <c r="B5" s="251"/>
    </row>
    <row r="6" spans="1:7" ht="15">
      <c r="A6" s="298" t="s">
        <v>178</v>
      </c>
      <c r="B6" s="251"/>
    </row>
    <row r="7" spans="1:7">
      <c r="A7" s="251"/>
      <c r="B7" s="251"/>
    </row>
    <row r="8" spans="1:7">
      <c r="A8" s="251"/>
      <c r="B8" s="251"/>
    </row>
    <row r="9" spans="1:7" ht="15.75">
      <c r="A9" s="309" t="s">
        <v>140</v>
      </c>
      <c r="B9" s="310"/>
      <c r="D9" s="311" t="s">
        <v>141</v>
      </c>
      <c r="E9" s="312"/>
      <c r="F9" s="312"/>
      <c r="G9" s="313"/>
    </row>
    <row r="10" spans="1:7" s="208" customFormat="1">
      <c r="B10" s="209" t="s">
        <v>41</v>
      </c>
      <c r="D10" s="210" t="s">
        <v>7</v>
      </c>
      <c r="E10" s="210" t="s">
        <v>142</v>
      </c>
      <c r="F10" s="209" t="s">
        <v>143</v>
      </c>
    </row>
    <row r="11" spans="1:7" s="208" customFormat="1">
      <c r="A11" s="211" t="s">
        <v>42</v>
      </c>
      <c r="B11" s="212">
        <v>379314.62360971246</v>
      </c>
      <c r="D11" s="205" t="s">
        <v>42</v>
      </c>
      <c r="E11" s="205" t="s">
        <v>137</v>
      </c>
      <c r="F11" s="227">
        <v>0</v>
      </c>
    </row>
    <row r="12" spans="1:7" s="208" customFormat="1">
      <c r="A12" s="211" t="s">
        <v>43</v>
      </c>
      <c r="B12" s="212">
        <v>428489.9905049231</v>
      </c>
      <c r="D12" s="213" t="s">
        <v>43</v>
      </c>
      <c r="E12" s="213" t="s">
        <v>137</v>
      </c>
      <c r="F12" s="227">
        <v>0</v>
      </c>
    </row>
    <row r="13" spans="1:7" s="208" customFormat="1">
      <c r="A13" s="211" t="s">
        <v>44</v>
      </c>
      <c r="B13" s="212">
        <v>390468.35957233381</v>
      </c>
      <c r="D13" s="213" t="s">
        <v>44</v>
      </c>
      <c r="E13" s="213" t="s">
        <v>137</v>
      </c>
      <c r="F13" s="227">
        <v>0</v>
      </c>
    </row>
    <row r="14" spans="1:7" s="208" customFormat="1">
      <c r="A14" s="211" t="s">
        <v>45</v>
      </c>
      <c r="B14" s="212">
        <v>379314.62360971246</v>
      </c>
      <c r="D14" s="205" t="s">
        <v>45</v>
      </c>
      <c r="E14" s="205" t="s">
        <v>137</v>
      </c>
      <c r="F14" s="227">
        <v>0</v>
      </c>
    </row>
    <row r="15" spans="1:7" s="208" customFormat="1">
      <c r="A15" s="214" t="s">
        <v>46</v>
      </c>
      <c r="B15" s="212">
        <v>145559.89250907136</v>
      </c>
      <c r="D15" s="215" t="s">
        <v>46</v>
      </c>
      <c r="E15" s="215" t="s">
        <v>135</v>
      </c>
      <c r="F15" s="254">
        <f t="shared" ref="F15:F63" si="0">B15</f>
        <v>145559.89250907136</v>
      </c>
    </row>
    <row r="16" spans="1:7" s="208" customFormat="1">
      <c r="A16" s="211" t="s">
        <v>47</v>
      </c>
      <c r="B16" s="212">
        <v>790969.34008651355</v>
      </c>
      <c r="D16" s="205" t="s">
        <v>47</v>
      </c>
      <c r="E16" s="205" t="s">
        <v>137</v>
      </c>
      <c r="F16" s="254">
        <f t="shared" si="0"/>
        <v>790969.34008651355</v>
      </c>
    </row>
    <row r="17" spans="1:6" s="208" customFormat="1">
      <c r="A17" s="211" t="s">
        <v>48</v>
      </c>
      <c r="B17" s="212">
        <v>29386.818011912386</v>
      </c>
      <c r="D17" s="205" t="s">
        <v>48</v>
      </c>
      <c r="E17" s="205" t="s">
        <v>137</v>
      </c>
      <c r="F17" s="254">
        <f t="shared" si="0"/>
        <v>29386.818011912386</v>
      </c>
    </row>
    <row r="18" spans="1:6" s="208" customFormat="1">
      <c r="A18" s="211" t="s">
        <v>49</v>
      </c>
      <c r="B18" s="212">
        <v>160873.89822369313</v>
      </c>
      <c r="D18" s="205" t="s">
        <v>49</v>
      </c>
      <c r="E18" s="205" t="s">
        <v>137</v>
      </c>
      <c r="F18" s="254">
        <f t="shared" si="0"/>
        <v>160873.89822369313</v>
      </c>
    </row>
    <row r="19" spans="1:6" s="208" customFormat="1">
      <c r="A19" s="211" t="s">
        <v>50</v>
      </c>
      <c r="B19" s="212">
        <v>160703.31962311477</v>
      </c>
      <c r="D19" s="205" t="s">
        <v>50</v>
      </c>
      <c r="E19" s="205" t="s">
        <v>137</v>
      </c>
      <c r="F19" s="254">
        <f t="shared" si="0"/>
        <v>160703.31962311477</v>
      </c>
    </row>
    <row r="20" spans="1:6" s="208" customFormat="1">
      <c r="A20" s="211" t="s">
        <v>51</v>
      </c>
      <c r="B20" s="212">
        <v>223319.66236826987</v>
      </c>
      <c r="D20" s="205" t="s">
        <v>51</v>
      </c>
      <c r="E20" s="205" t="s">
        <v>137</v>
      </c>
      <c r="F20" s="293">
        <v>0</v>
      </c>
    </row>
    <row r="21" spans="1:6" s="208" customFormat="1">
      <c r="A21" s="211" t="s">
        <v>52</v>
      </c>
      <c r="B21" s="212">
        <v>867714.48038896732</v>
      </c>
      <c r="D21" s="205" t="s">
        <v>52</v>
      </c>
      <c r="E21" s="205" t="s">
        <v>137</v>
      </c>
      <c r="F21" s="254">
        <f t="shared" si="0"/>
        <v>867714.48038896732</v>
      </c>
    </row>
    <row r="22" spans="1:6" s="208" customFormat="1">
      <c r="A22" s="211" t="s">
        <v>53</v>
      </c>
      <c r="B22" s="212">
        <v>19956.771004535873</v>
      </c>
      <c r="D22" s="205" t="s">
        <v>53</v>
      </c>
      <c r="E22" s="205" t="s">
        <v>137</v>
      </c>
      <c r="F22" s="254">
        <f t="shared" si="0"/>
        <v>19956.771004535873</v>
      </c>
    </row>
    <row r="23" spans="1:6" s="208" customFormat="1">
      <c r="A23" s="211" t="s">
        <v>54</v>
      </c>
      <c r="B23" s="212">
        <v>401111.80302401009</v>
      </c>
      <c r="D23" s="205" t="s">
        <v>54</v>
      </c>
      <c r="E23" s="205" t="s">
        <v>137</v>
      </c>
      <c r="F23" s="254">
        <f t="shared" si="0"/>
        <v>401111.80302401009</v>
      </c>
    </row>
    <row r="24" spans="1:6" s="208" customFormat="1">
      <c r="A24" s="211" t="s">
        <v>55</v>
      </c>
      <c r="B24" s="212">
        <v>68497.757387421851</v>
      </c>
      <c r="D24" s="205" t="s">
        <v>55</v>
      </c>
      <c r="E24" s="205" t="s">
        <v>137</v>
      </c>
      <c r="F24" s="254">
        <f t="shared" si="0"/>
        <v>68497.757387421851</v>
      </c>
    </row>
    <row r="25" spans="1:6" s="208" customFormat="1">
      <c r="A25" s="211" t="s">
        <v>56</v>
      </c>
      <c r="B25" s="212">
        <v>91109.642095461371</v>
      </c>
      <c r="D25" s="205" t="s">
        <v>56</v>
      </c>
      <c r="E25" s="205" t="s">
        <v>137</v>
      </c>
      <c r="F25" s="293">
        <v>0</v>
      </c>
    </row>
    <row r="26" spans="1:6" s="208" customFormat="1">
      <c r="A26" s="211" t="s">
        <v>57</v>
      </c>
      <c r="B26" s="212">
        <v>806099.53707113501</v>
      </c>
      <c r="D26" s="205" t="s">
        <v>57</v>
      </c>
      <c r="E26" s="205" t="s">
        <v>136</v>
      </c>
      <c r="F26" s="254">
        <f t="shared" si="0"/>
        <v>806099.53707113501</v>
      </c>
    </row>
    <row r="27" spans="1:6" s="208" customFormat="1">
      <c r="A27" s="211" t="s">
        <v>58</v>
      </c>
      <c r="B27" s="212">
        <v>379314.62360971246</v>
      </c>
      <c r="D27" s="205" t="s">
        <v>58</v>
      </c>
      <c r="E27" s="205" t="s">
        <v>137</v>
      </c>
      <c r="F27" s="293">
        <v>0</v>
      </c>
    </row>
    <row r="28" spans="1:6" s="208" customFormat="1">
      <c r="A28" s="211" t="s">
        <v>59</v>
      </c>
      <c r="B28" s="212">
        <v>285008.8597274709</v>
      </c>
      <c r="D28" s="205" t="s">
        <v>59</v>
      </c>
      <c r="E28" s="205" t="s">
        <v>136</v>
      </c>
      <c r="F28" s="254">
        <f t="shared" si="0"/>
        <v>285008.8597274709</v>
      </c>
    </row>
    <row r="29" spans="1:6" s="208" customFormat="1">
      <c r="A29" s="211" t="s">
        <v>60</v>
      </c>
      <c r="B29" s="212">
        <v>290597.26874173497</v>
      </c>
      <c r="D29" s="205" t="s">
        <v>60</v>
      </c>
      <c r="E29" s="205" t="s">
        <v>136</v>
      </c>
      <c r="F29" s="254">
        <f t="shared" si="0"/>
        <v>290597.26874173497</v>
      </c>
    </row>
    <row r="30" spans="1:6" s="208" customFormat="1">
      <c r="A30" s="211" t="s">
        <v>61</v>
      </c>
      <c r="B30" s="212">
        <v>304227.22269537137</v>
      </c>
      <c r="D30" s="205" t="s">
        <v>61</v>
      </c>
      <c r="E30" s="205" t="s">
        <v>137</v>
      </c>
      <c r="F30" s="254">
        <f t="shared" si="0"/>
        <v>304227.22269537137</v>
      </c>
    </row>
    <row r="31" spans="1:6" s="208" customFormat="1">
      <c r="A31" s="211" t="s">
        <v>62</v>
      </c>
      <c r="B31" s="212">
        <v>1237374.9466185695</v>
      </c>
      <c r="D31" s="205" t="s">
        <v>62</v>
      </c>
      <c r="E31" s="205" t="s">
        <v>136</v>
      </c>
      <c r="F31" s="254">
        <f t="shared" si="0"/>
        <v>1237374.9466185695</v>
      </c>
    </row>
    <row r="32" spans="1:6" s="208" customFormat="1">
      <c r="A32" s="211" t="s">
        <v>63</v>
      </c>
      <c r="B32" s="212">
        <v>585209.35657864879</v>
      </c>
      <c r="D32" s="205" t="s">
        <v>63</v>
      </c>
      <c r="E32" s="205" t="s">
        <v>135</v>
      </c>
      <c r="F32" s="254">
        <f t="shared" si="0"/>
        <v>585209.35657864879</v>
      </c>
    </row>
    <row r="33" spans="1:6" s="208" customFormat="1">
      <c r="A33" s="211" t="s">
        <v>64</v>
      </c>
      <c r="B33" s="212">
        <v>291932.18431613775</v>
      </c>
      <c r="D33" s="205" t="s">
        <v>64</v>
      </c>
      <c r="E33" s="205" t="s">
        <v>136</v>
      </c>
      <c r="F33" s="254">
        <f t="shared" si="0"/>
        <v>291932.18431613775</v>
      </c>
    </row>
    <row r="34" spans="1:6" s="208" customFormat="1">
      <c r="A34" s="211" t="s">
        <v>65</v>
      </c>
      <c r="B34" s="212">
        <v>297770.82800246048</v>
      </c>
      <c r="D34" s="205" t="s">
        <v>65</v>
      </c>
      <c r="E34" s="205" t="s">
        <v>136</v>
      </c>
      <c r="F34" s="254">
        <f t="shared" si="0"/>
        <v>297770.82800246048</v>
      </c>
    </row>
    <row r="35" spans="1:6" s="208" customFormat="1">
      <c r="A35" s="211" t="s">
        <v>66</v>
      </c>
      <c r="B35" s="212">
        <v>112662.13340904775</v>
      </c>
      <c r="D35" s="205" t="s">
        <v>66</v>
      </c>
      <c r="E35" s="205" t="s">
        <v>137</v>
      </c>
      <c r="F35" s="254">
        <f t="shared" si="0"/>
        <v>112662.13340904775</v>
      </c>
    </row>
    <row r="36" spans="1:6" s="208" customFormat="1">
      <c r="A36" s="211" t="s">
        <v>67</v>
      </c>
      <c r="B36" s="212">
        <v>112488.50320861935</v>
      </c>
      <c r="D36" s="205" t="s">
        <v>67</v>
      </c>
      <c r="E36" s="205" t="s">
        <v>137</v>
      </c>
      <c r="F36" s="254">
        <f t="shared" si="0"/>
        <v>112488.50320861935</v>
      </c>
    </row>
    <row r="37" spans="1:6" s="208" customFormat="1">
      <c r="A37" s="211" t="s">
        <v>68</v>
      </c>
      <c r="B37" s="212">
        <v>317989.97688680043</v>
      </c>
      <c r="D37" s="205" t="s">
        <v>68</v>
      </c>
      <c r="E37" s="205" t="s">
        <v>137</v>
      </c>
      <c r="F37" s="254">
        <f t="shared" si="0"/>
        <v>317989.97688680043</v>
      </c>
    </row>
    <row r="38" spans="1:6" s="208" customFormat="1">
      <c r="A38" s="211" t="s">
        <v>69</v>
      </c>
      <c r="B38" s="212">
        <v>137180.31088842737</v>
      </c>
      <c r="D38" s="205" t="s">
        <v>69</v>
      </c>
      <c r="E38" s="205" t="s">
        <v>137</v>
      </c>
      <c r="F38" s="293">
        <v>0</v>
      </c>
    </row>
    <row r="39" spans="1:6" s="208" customFormat="1">
      <c r="A39" s="211" t="s">
        <v>70</v>
      </c>
      <c r="B39" s="212">
        <v>175406.33887915878</v>
      </c>
      <c r="D39" s="205" t="s">
        <v>70</v>
      </c>
      <c r="E39" s="205" t="s">
        <v>137</v>
      </c>
      <c r="F39" s="293">
        <v>0</v>
      </c>
    </row>
    <row r="40" spans="1:6" s="208" customFormat="1">
      <c r="A40" s="211" t="s">
        <v>71</v>
      </c>
      <c r="B40" s="212">
        <v>312440.60985073459</v>
      </c>
      <c r="D40" s="205" t="s">
        <v>71</v>
      </c>
      <c r="E40" s="205" t="s">
        <v>137</v>
      </c>
      <c r="F40" s="293">
        <v>0</v>
      </c>
    </row>
    <row r="41" spans="1:6" s="208" customFormat="1">
      <c r="A41" s="211" t="s">
        <v>72</v>
      </c>
      <c r="B41" s="212">
        <v>-8.149072527885437E-10</v>
      </c>
      <c r="D41" s="205" t="s">
        <v>72</v>
      </c>
      <c r="E41" s="205" t="s">
        <v>137</v>
      </c>
      <c r="F41" s="254">
        <f t="shared" si="0"/>
        <v>-8.149072527885437E-10</v>
      </c>
    </row>
    <row r="42" spans="1:6" s="208" customFormat="1">
      <c r="A42" s="211" t="s">
        <v>73</v>
      </c>
      <c r="B42" s="212">
        <v>331277.01752110489</v>
      </c>
      <c r="D42" s="205" t="s">
        <v>73</v>
      </c>
      <c r="E42" s="205" t="s">
        <v>137</v>
      </c>
      <c r="F42" s="293">
        <v>0</v>
      </c>
    </row>
    <row r="43" spans="1:6" s="208" customFormat="1">
      <c r="A43" s="211" t="s">
        <v>74</v>
      </c>
      <c r="B43" s="212">
        <v>310164.60649765376</v>
      </c>
      <c r="D43" s="205" t="s">
        <v>74</v>
      </c>
      <c r="E43" s="205" t="s">
        <v>137</v>
      </c>
      <c r="F43" s="293">
        <v>0</v>
      </c>
    </row>
    <row r="44" spans="1:6" s="208" customFormat="1">
      <c r="A44" s="211" t="s">
        <v>75</v>
      </c>
      <c r="B44" s="212">
        <v>379874.29535644717</v>
      </c>
      <c r="D44" s="205" t="s">
        <v>75</v>
      </c>
      <c r="E44" s="205" t="s">
        <v>137</v>
      </c>
      <c r="F44" s="293">
        <v>0</v>
      </c>
    </row>
    <row r="45" spans="1:6" s="208" customFormat="1">
      <c r="A45" s="211" t="s">
        <v>76</v>
      </c>
      <c r="B45" s="212">
        <v>401282.38567435968</v>
      </c>
      <c r="D45" s="205" t="s">
        <v>76</v>
      </c>
      <c r="E45" s="205" t="s">
        <v>137</v>
      </c>
      <c r="F45" s="254">
        <f t="shared" si="0"/>
        <v>401282.38567435968</v>
      </c>
    </row>
    <row r="46" spans="1:6" s="208" customFormat="1">
      <c r="A46" s="211" t="s">
        <v>77</v>
      </c>
      <c r="B46" s="212">
        <v>279666.27283885947</v>
      </c>
      <c r="D46" s="205" t="s">
        <v>77</v>
      </c>
      <c r="E46" s="205" t="s">
        <v>137</v>
      </c>
      <c r="F46" s="254">
        <f t="shared" si="0"/>
        <v>279666.27283885947</v>
      </c>
    </row>
    <row r="47" spans="1:6" s="208" customFormat="1">
      <c r="A47" s="211" t="s">
        <v>78</v>
      </c>
      <c r="B47" s="212">
        <v>274684.73550871626</v>
      </c>
      <c r="D47" s="205" t="s">
        <v>78</v>
      </c>
      <c r="E47" s="205" t="s">
        <v>137</v>
      </c>
      <c r="F47" s="254">
        <f t="shared" si="0"/>
        <v>274684.73550871626</v>
      </c>
    </row>
    <row r="48" spans="1:6" s="208" customFormat="1">
      <c r="A48" s="211" t="s">
        <v>79</v>
      </c>
      <c r="B48" s="212">
        <v>1731119.5719833688</v>
      </c>
      <c r="D48" s="205" t="s">
        <v>144</v>
      </c>
      <c r="E48" s="205" t="s">
        <v>136</v>
      </c>
      <c r="F48" s="254">
        <f t="shared" si="0"/>
        <v>1731119.5719833688</v>
      </c>
    </row>
    <row r="49" spans="1:6" s="208" customFormat="1">
      <c r="A49" s="211" t="s">
        <v>80</v>
      </c>
      <c r="B49" s="212">
        <v>31592.369067741696</v>
      </c>
      <c r="D49" s="205" t="s">
        <v>145</v>
      </c>
      <c r="E49" s="205" t="s">
        <v>136</v>
      </c>
      <c r="F49" s="254">
        <f t="shared" si="0"/>
        <v>31592.369067741696</v>
      </c>
    </row>
    <row r="50" spans="1:6" s="208" customFormat="1">
      <c r="A50" s="211" t="s">
        <v>81</v>
      </c>
      <c r="B50" s="212">
        <v>477858.66600152798</v>
      </c>
      <c r="D50" s="205" t="s">
        <v>146</v>
      </c>
      <c r="E50" s="205" t="s">
        <v>136</v>
      </c>
      <c r="F50" s="254">
        <f t="shared" si="0"/>
        <v>477858.66600152798</v>
      </c>
    </row>
    <row r="51" spans="1:6" s="208" customFormat="1">
      <c r="A51" s="211" t="s">
        <v>82</v>
      </c>
      <c r="B51" s="212">
        <v>691528.22036370391</v>
      </c>
      <c r="D51" s="205" t="s">
        <v>147</v>
      </c>
      <c r="E51" s="205" t="s">
        <v>136</v>
      </c>
      <c r="F51" s="254">
        <f t="shared" si="0"/>
        <v>691528.22036370391</v>
      </c>
    </row>
    <row r="52" spans="1:6" s="208" customFormat="1">
      <c r="A52" s="211" t="s">
        <v>83</v>
      </c>
      <c r="B52" s="212">
        <v>33519.735636157682</v>
      </c>
      <c r="D52" s="205" t="s">
        <v>148</v>
      </c>
      <c r="E52" s="205" t="s">
        <v>136</v>
      </c>
      <c r="F52" s="254">
        <f t="shared" si="0"/>
        <v>33519.735636157682</v>
      </c>
    </row>
    <row r="53" spans="1:6" s="208" customFormat="1">
      <c r="A53" s="211" t="s">
        <v>84</v>
      </c>
      <c r="B53" s="212">
        <v>99089.836616756482</v>
      </c>
      <c r="D53" s="205" t="s">
        <v>149</v>
      </c>
      <c r="E53" s="205" t="s">
        <v>136</v>
      </c>
      <c r="F53" s="254">
        <f t="shared" si="0"/>
        <v>99089.836616756482</v>
      </c>
    </row>
    <row r="54" spans="1:6" s="208" customFormat="1">
      <c r="A54" s="211" t="s">
        <v>85</v>
      </c>
      <c r="B54" s="212">
        <v>101071.6333490916</v>
      </c>
      <c r="D54" s="205" t="s">
        <v>150</v>
      </c>
      <c r="E54" s="205" t="s">
        <v>136</v>
      </c>
      <c r="F54" s="254">
        <f t="shared" si="0"/>
        <v>101071.6333490916</v>
      </c>
    </row>
    <row r="55" spans="1:6" s="208" customFormat="1">
      <c r="A55" s="211" t="s">
        <v>86</v>
      </c>
      <c r="B55" s="212">
        <v>52518.521246781427</v>
      </c>
      <c r="D55" s="205" t="s">
        <v>86</v>
      </c>
      <c r="E55" s="205" t="s">
        <v>135</v>
      </c>
      <c r="F55" s="254">
        <f t="shared" si="0"/>
        <v>52518.521246781427</v>
      </c>
    </row>
    <row r="56" spans="1:6" s="208" customFormat="1">
      <c r="A56" s="211" t="s">
        <v>87</v>
      </c>
      <c r="B56" s="212">
        <v>542372.761020576</v>
      </c>
      <c r="D56" s="205" t="s">
        <v>87</v>
      </c>
      <c r="E56" s="205" t="s">
        <v>136</v>
      </c>
      <c r="F56" s="254">
        <f t="shared" si="0"/>
        <v>542372.761020576</v>
      </c>
    </row>
    <row r="57" spans="1:6" s="208" customFormat="1">
      <c r="A57" s="211" t="s">
        <v>88</v>
      </c>
      <c r="B57" s="212">
        <v>698498.92515705037</v>
      </c>
      <c r="D57" s="205" t="s">
        <v>88</v>
      </c>
      <c r="E57" s="205" t="s">
        <v>136</v>
      </c>
      <c r="F57" s="254">
        <f>B57</f>
        <v>698498.92515705037</v>
      </c>
    </row>
    <row r="58" spans="1:6" s="208" customFormat="1">
      <c r="A58" s="211" t="s">
        <v>89</v>
      </c>
      <c r="B58" s="212">
        <v>1030899.8939651879</v>
      </c>
      <c r="D58" s="205" t="s">
        <v>89</v>
      </c>
      <c r="E58" s="205" t="s">
        <v>136</v>
      </c>
      <c r="F58" s="254">
        <f>B58</f>
        <v>1030899.8939651879</v>
      </c>
    </row>
    <row r="59" spans="1:6" s="208" customFormat="1">
      <c r="A59" s="211" t="s">
        <v>90</v>
      </c>
      <c r="B59" s="212">
        <v>566499.69299451355</v>
      </c>
      <c r="D59" s="205" t="s">
        <v>90</v>
      </c>
      <c r="E59" s="205" t="s">
        <v>137</v>
      </c>
      <c r="F59" s="254">
        <f t="shared" si="0"/>
        <v>566499.69299451355</v>
      </c>
    </row>
    <row r="60" spans="1:6" s="208" customFormat="1">
      <c r="A60" s="211" t="s">
        <v>91</v>
      </c>
      <c r="B60" s="212">
        <v>995647.68620454671</v>
      </c>
      <c r="D60" s="205" t="s">
        <v>91</v>
      </c>
      <c r="E60" s="205" t="s">
        <v>137</v>
      </c>
      <c r="F60" s="254">
        <f t="shared" si="0"/>
        <v>995647.68620454671</v>
      </c>
    </row>
    <row r="61" spans="1:6" s="208" customFormat="1">
      <c r="A61" s="211" t="s">
        <v>92</v>
      </c>
      <c r="B61" s="212">
        <v>337706.99077151361</v>
      </c>
      <c r="D61" s="205" t="s">
        <v>92</v>
      </c>
      <c r="E61" s="205" t="s">
        <v>137</v>
      </c>
      <c r="F61" s="254">
        <f t="shared" si="0"/>
        <v>337706.99077151361</v>
      </c>
    </row>
    <row r="62" spans="1:6" s="208" customFormat="1">
      <c r="A62" s="211" t="s">
        <v>93</v>
      </c>
      <c r="B62" s="212">
        <v>339242.45450691716</v>
      </c>
      <c r="D62" s="205" t="s">
        <v>93</v>
      </c>
      <c r="E62" s="205" t="s">
        <v>137</v>
      </c>
      <c r="F62" s="254">
        <f t="shared" si="0"/>
        <v>339242.45450691716</v>
      </c>
    </row>
    <row r="63" spans="1:6" s="208" customFormat="1">
      <c r="A63" s="211" t="s">
        <v>94</v>
      </c>
      <c r="B63" s="212">
        <v>358505.54470336804</v>
      </c>
      <c r="D63" s="205" t="s">
        <v>94</v>
      </c>
      <c r="E63" s="205" t="s">
        <v>137</v>
      </c>
      <c r="F63" s="254">
        <f t="shared" si="0"/>
        <v>358505.54470336804</v>
      </c>
    </row>
    <row r="64" spans="1:6" s="208" customFormat="1">
      <c r="A64" s="134" t="s">
        <v>95</v>
      </c>
      <c r="B64" s="212">
        <v>1130062.5</v>
      </c>
      <c r="D64" s="205" t="s">
        <v>151</v>
      </c>
      <c r="E64" s="205" t="s">
        <v>136</v>
      </c>
      <c r="F64" s="227">
        <v>0</v>
      </c>
    </row>
    <row r="65" spans="1:9">
      <c r="D65" s="205"/>
      <c r="E65" s="205"/>
      <c r="F65" s="95"/>
    </row>
    <row r="66" spans="1:9" ht="13.5" thickBot="1">
      <c r="B66" s="93">
        <f>SUM(B11:B65)</f>
        <v>21377177.999489624</v>
      </c>
      <c r="F66" s="93">
        <f>SUM(F11:F65)</f>
        <v>16329440.795125976</v>
      </c>
    </row>
    <row r="67" spans="1:9" ht="13.5" thickTop="1">
      <c r="F67" s="217"/>
    </row>
    <row r="68" spans="1:9" ht="35.25">
      <c r="A68" s="218" t="s">
        <v>152</v>
      </c>
      <c r="B68" s="219">
        <f>B66-'Accrual - Step 2'!AO72</f>
        <v>0</v>
      </c>
      <c r="D68" s="220"/>
      <c r="E68" s="221" t="s">
        <v>157</v>
      </c>
      <c r="F68" s="276" t="s">
        <v>153</v>
      </c>
      <c r="G68" s="222" t="s">
        <v>154</v>
      </c>
    </row>
    <row r="69" spans="1:9">
      <c r="D69" s="223" t="s">
        <v>135</v>
      </c>
      <c r="E69" s="243">
        <v>453816</v>
      </c>
      <c r="F69" s="279">
        <f>SUMIF($E$11:$E$64,D69,$F$11:$F$64)</f>
        <v>783287.77033450163</v>
      </c>
      <c r="G69" s="280">
        <f>F69-E69</f>
        <v>329471.77033450163</v>
      </c>
      <c r="I69" s="228"/>
    </row>
    <row r="70" spans="1:9">
      <c r="D70" s="223" t="s">
        <v>136</v>
      </c>
      <c r="E70" s="243">
        <v>6453610.79</v>
      </c>
      <c r="F70" s="279">
        <f t="shared" ref="F70:F71" si="1">SUMIF($E$11:$E$64,D70,$F$11:$F$64)</f>
        <v>8646335.237638671</v>
      </c>
      <c r="G70" s="280">
        <f t="shared" ref="G70:G72" si="2">F70-E70</f>
        <v>2192724.4476386709</v>
      </c>
      <c r="I70" s="228"/>
    </row>
    <row r="71" spans="1:9">
      <c r="D71" s="224" t="s">
        <v>137</v>
      </c>
      <c r="E71" s="238">
        <v>7533738.6900000004</v>
      </c>
      <c r="F71" s="281">
        <f t="shared" si="1"/>
        <v>6899817.7871528016</v>
      </c>
      <c r="G71" s="282">
        <f t="shared" si="2"/>
        <v>-633920.90284719877</v>
      </c>
      <c r="I71" s="228"/>
    </row>
    <row r="72" spans="1:9" ht="13.5" thickBot="1">
      <c r="E72" s="283">
        <v>14441165.48</v>
      </c>
      <c r="F72" s="283">
        <f>SUM(F69:F71)</f>
        <v>16329440.795125972</v>
      </c>
      <c r="G72" s="283">
        <f t="shared" si="2"/>
        <v>1888275.315125972</v>
      </c>
    </row>
    <row r="73" spans="1:9" ht="13.5" thickTop="1">
      <c r="E73" s="216"/>
    </row>
    <row r="74" spans="1:9">
      <c r="D74" s="230" t="s">
        <v>152</v>
      </c>
      <c r="E74" s="233">
        <f>E72-'Step 1'!C16</f>
        <v>0</v>
      </c>
    </row>
    <row r="76" spans="1:9">
      <c r="A76" s="278" t="s">
        <v>138</v>
      </c>
    </row>
    <row r="77" spans="1:9">
      <c r="A77" s="56" t="s">
        <v>107</v>
      </c>
    </row>
    <row r="78" spans="1:9">
      <c r="A78" s="314" t="s">
        <v>165</v>
      </c>
      <c r="B78" s="314"/>
      <c r="C78" s="314"/>
      <c r="D78" s="314"/>
    </row>
  </sheetData>
  <autoFilter ref="D10:F63">
    <sortCondition ref="D1:D54"/>
  </autoFilter>
  <mergeCells count="3">
    <mergeCell ref="A9:B9"/>
    <mergeCell ref="D9:G9"/>
    <mergeCell ref="A78:D78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1"/>
  <sheetViews>
    <sheetView zoomScaleNormal="100" workbookViewId="0">
      <pane xSplit="1" ySplit="13" topLeftCell="B14" activePane="bottomRight" state="frozen"/>
      <selection activeCell="A7" sqref="A7"/>
      <selection pane="topRight" activeCell="A7" sqref="A7"/>
      <selection pane="bottomLeft" activeCell="A7" sqref="A7"/>
      <selection pane="bottomRight" activeCell="A7" sqref="A7"/>
    </sheetView>
  </sheetViews>
  <sheetFormatPr defaultColWidth="9.140625" defaultRowHeight="12"/>
  <cols>
    <col min="1" max="1" width="40.5703125" style="2" customWidth="1"/>
    <col min="2" max="2" width="10.42578125" style="2" customWidth="1"/>
    <col min="3" max="3" width="16" style="2" customWidth="1"/>
    <col min="4" max="4" width="10.42578125" style="2" customWidth="1"/>
    <col min="5" max="5" width="11.7109375" style="2" customWidth="1"/>
    <col min="6" max="6" width="16.85546875" style="2" customWidth="1"/>
    <col min="7" max="7" width="16.7109375" style="2" customWidth="1"/>
    <col min="8" max="8" width="16" style="2" customWidth="1"/>
    <col min="9" max="9" width="17.28515625" style="2" customWidth="1"/>
    <col min="10" max="10" width="12" style="2" customWidth="1"/>
    <col min="11" max="11" width="11.28515625" style="2" customWidth="1"/>
    <col min="12" max="12" width="12.42578125" style="4" bestFit="1" customWidth="1"/>
    <col min="13" max="13" width="13.28515625" style="2" customWidth="1"/>
    <col min="14" max="15" width="12.28515625" style="4" customWidth="1"/>
    <col min="16" max="16" width="16.140625" style="4" customWidth="1"/>
    <col min="17" max="17" width="16.7109375" style="4" customWidth="1"/>
    <col min="18" max="22" width="12.28515625" style="4" customWidth="1"/>
    <col min="23" max="23" width="10.85546875" style="5" customWidth="1"/>
    <col min="24" max="24" width="11.140625" style="2" customWidth="1"/>
    <col min="25" max="25" width="11.140625" style="6" customWidth="1"/>
    <col min="26" max="26" width="9.85546875" style="2" customWidth="1"/>
    <col min="27" max="27" width="12.5703125" style="2" bestFit="1" customWidth="1"/>
    <col min="28" max="28" width="8.7109375" style="2" bestFit="1" customWidth="1"/>
    <col min="29" max="29" width="9.28515625" style="2" bestFit="1" customWidth="1"/>
    <col min="30" max="30" width="12.5703125" style="2" customWidth="1"/>
    <col min="31" max="31" width="13.140625" style="2" customWidth="1"/>
    <col min="32" max="33" width="18" style="2" bestFit="1" customWidth="1"/>
    <col min="34" max="34" width="10.5703125" style="2" customWidth="1"/>
    <col min="35" max="35" width="12.85546875" style="2" customWidth="1"/>
    <col min="36" max="36" width="2.28515625" style="2" customWidth="1"/>
    <col min="37" max="37" width="11.7109375" style="2" bestFit="1" customWidth="1"/>
    <col min="38" max="38" width="15.7109375" style="2" bestFit="1" customWidth="1"/>
    <col min="39" max="39" width="16.85546875" style="2" bestFit="1" customWidth="1"/>
    <col min="40" max="40" width="11.85546875" style="2" bestFit="1" customWidth="1"/>
    <col min="41" max="41" width="13" style="2" customWidth="1"/>
    <col min="42" max="16384" width="9.140625" style="2"/>
  </cols>
  <sheetData>
    <row r="1" spans="1:41" ht="15">
      <c r="A1" s="298" t="s">
        <v>171</v>
      </c>
    </row>
    <row r="2" spans="1:41" ht="15">
      <c r="A2" s="298" t="s">
        <v>172</v>
      </c>
    </row>
    <row r="3" spans="1:41" ht="15">
      <c r="A3" s="298" t="s">
        <v>173</v>
      </c>
    </row>
    <row r="4" spans="1:41" ht="15">
      <c r="A4" s="298" t="s">
        <v>174</v>
      </c>
    </row>
    <row r="5" spans="1:41" ht="15">
      <c r="A5" s="298" t="s">
        <v>175</v>
      </c>
    </row>
    <row r="6" spans="1:41" ht="15">
      <c r="A6" s="298" t="s">
        <v>179</v>
      </c>
    </row>
    <row r="9" spans="1:41" ht="15.75">
      <c r="A9" s="297" t="s">
        <v>170</v>
      </c>
      <c r="I9" s="3">
        <v>2016</v>
      </c>
      <c r="Z9" s="299" t="s">
        <v>0</v>
      </c>
      <c r="AA9" s="300"/>
      <c r="AB9" s="300"/>
      <c r="AC9" s="301"/>
      <c r="AD9" s="302" t="s">
        <v>1</v>
      </c>
      <c r="AE9" s="302"/>
      <c r="AF9" s="302"/>
      <c r="AG9" s="302"/>
    </row>
    <row r="10" spans="1:41" ht="45">
      <c r="A10" s="295" t="s">
        <v>160</v>
      </c>
      <c r="Z10" s="7"/>
      <c r="AA10" s="7"/>
      <c r="AB10" s="7"/>
      <c r="AC10" s="7"/>
      <c r="AD10" s="8">
        <v>0.3</v>
      </c>
      <c r="AE10" s="8">
        <v>0.7</v>
      </c>
      <c r="AF10" s="7"/>
    </row>
    <row r="11" spans="1:41" s="9" customFormat="1" ht="11.25">
      <c r="A11" s="253"/>
      <c r="B11" s="303" t="s">
        <v>2</v>
      </c>
      <c r="C11" s="303"/>
      <c r="D11" s="303"/>
      <c r="E11" s="303"/>
      <c r="F11" s="303"/>
      <c r="K11" s="10"/>
      <c r="L11" s="11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2"/>
      <c r="X11" s="10"/>
      <c r="Y11" s="13"/>
      <c r="Z11" s="14"/>
      <c r="AA11" s="14"/>
      <c r="AB11" s="14"/>
      <c r="AC11" s="14"/>
      <c r="AD11" s="15" t="s">
        <v>3</v>
      </c>
      <c r="AE11" s="15" t="s">
        <v>4</v>
      </c>
      <c r="AF11" s="14"/>
      <c r="AL11" s="16"/>
    </row>
    <row r="12" spans="1:41" s="9" customFormat="1" ht="11.25">
      <c r="B12" s="304" t="s">
        <v>5</v>
      </c>
      <c r="C12" s="304"/>
      <c r="D12" s="304"/>
      <c r="E12" s="304"/>
      <c r="F12" s="304"/>
      <c r="G12" s="17"/>
      <c r="H12" s="17"/>
      <c r="I12" s="17"/>
      <c r="K12" s="10"/>
      <c r="L12" s="11"/>
      <c r="M12" s="10"/>
      <c r="N12" s="18"/>
      <c r="O12" s="18"/>
      <c r="P12" s="10"/>
      <c r="Q12" s="11"/>
      <c r="R12" s="11"/>
      <c r="S12" s="11"/>
      <c r="T12" s="11"/>
      <c r="U12" s="11"/>
      <c r="V12" s="11"/>
      <c r="W12" s="12"/>
      <c r="X12" s="10"/>
      <c r="Y12" s="13"/>
      <c r="Z12" s="14"/>
      <c r="AA12" s="14"/>
      <c r="AB12" s="14"/>
      <c r="AC12" s="14"/>
      <c r="AD12" s="15"/>
      <c r="AE12" s="15"/>
      <c r="AF12" s="14"/>
      <c r="AI12" s="19"/>
      <c r="AK12" s="305" t="s">
        <v>6</v>
      </c>
      <c r="AL12" s="306"/>
      <c r="AM12" s="306"/>
      <c r="AN12" s="306"/>
      <c r="AO12" s="307"/>
    </row>
    <row r="13" spans="1:41" s="34" customFormat="1" ht="33.75">
      <c r="A13" s="20" t="s">
        <v>7</v>
      </c>
      <c r="B13" s="21" t="s">
        <v>8</v>
      </c>
      <c r="C13" s="21" t="s">
        <v>9</v>
      </c>
      <c r="D13" s="21" t="s">
        <v>10</v>
      </c>
      <c r="E13" s="22" t="s">
        <v>11</v>
      </c>
      <c r="F13" s="23" t="s">
        <v>12</v>
      </c>
      <c r="G13" s="23" t="s">
        <v>13</v>
      </c>
      <c r="H13" s="24" t="s">
        <v>14</v>
      </c>
      <c r="I13" s="25" t="s">
        <v>15</v>
      </c>
      <c r="J13" s="26" t="s">
        <v>16</v>
      </c>
      <c r="K13" s="26" t="s">
        <v>17</v>
      </c>
      <c r="L13" s="27" t="s">
        <v>18</v>
      </c>
      <c r="M13" s="28" t="s">
        <v>19</v>
      </c>
      <c r="N13" s="275" t="s">
        <v>20</v>
      </c>
      <c r="O13" s="275" t="s">
        <v>21</v>
      </c>
      <c r="P13" s="29" t="s">
        <v>22</v>
      </c>
      <c r="Q13" s="29" t="s">
        <v>23</v>
      </c>
      <c r="R13" s="29" t="s">
        <v>24</v>
      </c>
      <c r="S13" s="29" t="s">
        <v>25</v>
      </c>
      <c r="T13" s="29" t="s">
        <v>26</v>
      </c>
      <c r="U13" s="29" t="s">
        <v>27</v>
      </c>
      <c r="V13" s="29"/>
      <c r="W13" s="30" t="s">
        <v>28</v>
      </c>
      <c r="X13" s="31" t="s">
        <v>29</v>
      </c>
      <c r="Y13" s="32" t="s">
        <v>30</v>
      </c>
      <c r="Z13" s="33" t="s">
        <v>31</v>
      </c>
      <c r="AA13" s="33" t="s">
        <v>32</v>
      </c>
      <c r="AB13" s="34" t="s">
        <v>33</v>
      </c>
      <c r="AC13" s="34" t="s">
        <v>34</v>
      </c>
      <c r="AD13" s="33" t="s">
        <v>35</v>
      </c>
      <c r="AE13" s="33" t="s">
        <v>36</v>
      </c>
      <c r="AF13" s="34" t="s">
        <v>37</v>
      </c>
      <c r="AG13" s="33" t="s">
        <v>38</v>
      </c>
      <c r="AH13" s="33" t="s">
        <v>39</v>
      </c>
      <c r="AI13" s="33" t="s">
        <v>40</v>
      </c>
      <c r="AK13" s="35">
        <v>2017</v>
      </c>
      <c r="AL13" s="35">
        <v>2018</v>
      </c>
      <c r="AM13" s="35">
        <v>2019</v>
      </c>
      <c r="AN13" s="35">
        <v>2020</v>
      </c>
      <c r="AO13" s="36" t="s">
        <v>41</v>
      </c>
    </row>
    <row r="14" spans="1:41" s="56" customFormat="1" ht="11.25">
      <c r="A14" s="37" t="s">
        <v>42</v>
      </c>
      <c r="B14" s="38">
        <v>3044964</v>
      </c>
      <c r="C14" s="38">
        <v>3859696</v>
      </c>
      <c r="D14" s="38">
        <v>1662840</v>
      </c>
      <c r="E14" s="39">
        <v>-2151560</v>
      </c>
      <c r="F14" s="40">
        <v>6415940</v>
      </c>
      <c r="G14" s="40"/>
      <c r="H14" s="40">
        <f t="shared" ref="H14:H59" si="0">F14</f>
        <v>6415940</v>
      </c>
      <c r="I14" s="41">
        <f>B14*VLOOKUP(I$9,'GI Factors'!A:M,4,FALSE)+C14*VLOOKUP(I$9,'GI Factors'!A:M,7,FALSE)+D14*VLOOKUP(I$9,'GI Factors'!A:M,10,FALSE)+E14*VLOOKUP(I$9,'GI Factors'!A:M,13,FALSE)</f>
        <v>6445248.9221260464</v>
      </c>
      <c r="J14" s="42">
        <v>0</v>
      </c>
      <c r="K14" s="41">
        <v>0</v>
      </c>
      <c r="L14" s="43"/>
      <c r="M14" s="42">
        <f t="shared" ref="M14:M45" si="1">J14+K14+L14</f>
        <v>0</v>
      </c>
      <c r="N14" s="239"/>
      <c r="O14" s="240"/>
      <c r="P14" s="44">
        <f t="shared" ref="P14:P40" si="2">AF14-((AA14/W14)*AF14)</f>
        <v>594224.43542699516</v>
      </c>
      <c r="Q14" s="45">
        <f t="shared" ref="Q14:Q45" si="3">X14-P14</f>
        <v>-594224.43542699516</v>
      </c>
      <c r="R14" s="45">
        <f t="shared" ref="R14:R45" si="4">IF(Q14&lt;0,0,+Q14)</f>
        <v>0</v>
      </c>
      <c r="S14" s="42">
        <f t="shared" ref="S14:S45" si="5">+IF(Q14&gt;0,0,+Q14)</f>
        <v>-594224.43542699516</v>
      </c>
      <c r="T14" s="46">
        <f t="shared" ref="T14:T45" si="6">+$R$68*(S14/$S$68)</f>
        <v>0</v>
      </c>
      <c r="U14" s="46" t="e">
        <f t="shared" ref="U14:U45" si="7">-$T$68*(R14/$R$68)</f>
        <v>#DIV/0!</v>
      </c>
      <c r="V14" s="46" t="e">
        <f t="shared" ref="V14:V45" si="8">T14+U14</f>
        <v>#DIV/0!</v>
      </c>
      <c r="W14" s="47">
        <f t="shared" ref="W14:W45" si="9">Z14-Y14</f>
        <v>30</v>
      </c>
      <c r="X14" s="41">
        <f t="shared" ref="X14:X45" si="10">M14+N14+O14</f>
        <v>0</v>
      </c>
      <c r="Y14" s="48">
        <v>2016</v>
      </c>
      <c r="Z14" s="49">
        <v>2046</v>
      </c>
      <c r="AA14" s="50">
        <f t="shared" ref="AA14:AA40" si="11">Z14-2017</f>
        <v>29</v>
      </c>
      <c r="AB14" s="50">
        <f t="shared" ref="AB14:AB43" si="12">Z14+5</f>
        <v>2051</v>
      </c>
      <c r="AC14" s="51">
        <f t="shared" ref="AC14:AC43" si="13">Z14+6</f>
        <v>2052</v>
      </c>
      <c r="AD14" s="52">
        <f>(B14*$AD$10)*VLOOKUP(AB14,'GI Factors'!A:M,4,FALSE)+(C14*$AD$10)*VLOOKUP(AB14,'GI Factors'!A:M,7,FALSE)+(D14*$AD$10)*VLOOKUP(AB14,'GI Factors'!A:M,10,FALSE)+(E14*$AD$10)*VLOOKUP(AB14,'GI Factors'!A:M,13,FALSE)</f>
        <v>5233642.9176673973</v>
      </c>
      <c r="AE14" s="52">
        <f>(B14*$AE$10)*VLOOKUP(AC14,'GI Factors'!A:M,4,FALSE)+(C14*$AE$10)*VLOOKUP(AC14,'GI Factors'!A:M,7,FALSE)+(D14*$AE$10)*VLOOKUP(AC14,'GI Factors'!A:M,10,FALSE)+(E14*$AE$10)*VLOOKUP(AC14,'GI Factors'!A:M,13,FALSE)</f>
        <v>12593090.145142481</v>
      </c>
      <c r="AF14" s="53">
        <f t="shared" ref="AF14:AF45" si="14">SUM(AD14:AE14)</f>
        <v>17826733.062809877</v>
      </c>
      <c r="AG14" s="53">
        <f t="shared" ref="AG14:AG45" si="15">AF14-X14</f>
        <v>17826733.062809877</v>
      </c>
      <c r="AH14" s="54">
        <f t="shared" ref="AH14:AH19" si="16">RATE(AA14,,-F14,AF14)</f>
        <v>3.5866632441817599E-2</v>
      </c>
      <c r="AI14" s="53">
        <f t="shared" ref="AI14:AI45" si="17">PV(AH14,AA14,,-AG14)</f>
        <v>6415939.9999999925</v>
      </c>
      <c r="AJ14" s="53"/>
      <c r="AK14" s="55">
        <f t="shared" ref="AK14:AK40" si="18">PMT(AH14,AA14,-AI14)</f>
        <v>359506.56714384258</v>
      </c>
      <c r="AL14" s="55">
        <f t="shared" ref="AL14:AN40" si="19">IF(AL$13&lt;$Z14,AK14*(1+$AH14),0)</f>
        <v>372400.8570480104</v>
      </c>
      <c r="AM14" s="55">
        <f t="shared" si="19"/>
        <v>385757.62170876923</v>
      </c>
      <c r="AN14" s="55">
        <f t="shared" si="19"/>
        <v>399593.44853822736</v>
      </c>
      <c r="AO14" s="55">
        <f t="shared" ref="AO14:AO45" si="20">AVERAGE(AK14:AN14)</f>
        <v>379314.62360971246</v>
      </c>
    </row>
    <row r="15" spans="1:41" s="56" customFormat="1" ht="11.25">
      <c r="A15" s="57" t="s">
        <v>43</v>
      </c>
      <c r="B15" s="38">
        <v>3963283.137849912</v>
      </c>
      <c r="C15" s="38">
        <v>4657780.0246843081</v>
      </c>
      <c r="D15" s="38">
        <v>334053.39374473761</v>
      </c>
      <c r="E15" s="39">
        <v>-398357.96311416931</v>
      </c>
      <c r="F15" s="58">
        <v>8556758.5931647886</v>
      </c>
      <c r="G15" s="58"/>
      <c r="H15" s="58">
        <f t="shared" si="0"/>
        <v>8556758.5931647886</v>
      </c>
      <c r="I15" s="59">
        <f>B15*VLOOKUP(I$9,'GI Factors'!A:M,4,FALSE)+C15*VLOOKUP(I$9,'GI Factors'!A:M,7,FALSE)+D15*VLOOKUP(I$9,'GI Factors'!A:M,10,FALSE)+E15*VLOOKUP(I$9,'GI Factors'!A:M,13,FALSE)</f>
        <v>8482683.9857742395</v>
      </c>
      <c r="J15" s="60">
        <v>0</v>
      </c>
      <c r="K15" s="59">
        <v>0</v>
      </c>
      <c r="L15" s="61"/>
      <c r="M15" s="59">
        <f t="shared" si="1"/>
        <v>0</v>
      </c>
      <c r="N15" s="241"/>
      <c r="O15" s="243"/>
      <c r="P15" s="62">
        <f t="shared" si="2"/>
        <v>2727330.1412896812</v>
      </c>
      <c r="Q15" s="63">
        <f t="shared" si="3"/>
        <v>-2727330.1412896812</v>
      </c>
      <c r="R15" s="63">
        <f t="shared" si="4"/>
        <v>0</v>
      </c>
      <c r="S15" s="60">
        <f t="shared" si="5"/>
        <v>-2727330.1412896812</v>
      </c>
      <c r="T15" s="46">
        <f t="shared" si="6"/>
        <v>0</v>
      </c>
      <c r="U15" s="46" t="e">
        <f t="shared" si="7"/>
        <v>#DIV/0!</v>
      </c>
      <c r="V15" s="46" t="e">
        <f t="shared" si="8"/>
        <v>#DIV/0!</v>
      </c>
      <c r="W15" s="64">
        <f t="shared" si="9"/>
        <v>40</v>
      </c>
      <c r="X15" s="59">
        <f t="shared" si="10"/>
        <v>0</v>
      </c>
      <c r="Y15" s="65">
        <v>2013</v>
      </c>
      <c r="Z15" s="66">
        <v>2053</v>
      </c>
      <c r="AA15" s="50">
        <f t="shared" si="11"/>
        <v>36</v>
      </c>
      <c r="AB15" s="50">
        <f t="shared" si="12"/>
        <v>2058</v>
      </c>
      <c r="AC15" s="51">
        <f t="shared" si="13"/>
        <v>2059</v>
      </c>
      <c r="AD15" s="52">
        <f>(B15*$AD$10)*VLOOKUP(AB15,'GI Factors'!A:M,4,FALSE)+(C15*$AD$10)*VLOOKUP(AB15,'GI Factors'!A:M,7,FALSE)+(D15*$AD$10)*VLOOKUP(AB15,'GI Factors'!A:M,10,FALSE)+(E15*$AD$10)*VLOOKUP(AB15,'GI Factors'!A:M,13,FALSE)</f>
        <v>8008856.0717993286</v>
      </c>
      <c r="AE15" s="52">
        <f>(B15*$AE$10)*VLOOKUP(AC15,'GI Factors'!A:M,4,FALSE)+(C15*$AE$10)*VLOOKUP(AC15,'GI Factors'!A:M,7,FALSE)+(D15*$AE$10)*VLOOKUP(AC15,'GI Factors'!A:M,10,FALSE)+(E15*$AE$10)*VLOOKUP(AC15,'GI Factors'!A:M,13,FALSE)</f>
        <v>19264445.341097504</v>
      </c>
      <c r="AF15" s="53">
        <f t="shared" si="14"/>
        <v>27273301.412896834</v>
      </c>
      <c r="AG15" s="53">
        <f t="shared" si="15"/>
        <v>27273301.412896834</v>
      </c>
      <c r="AH15" s="54">
        <f t="shared" si="16"/>
        <v>3.2723650907957876E-2</v>
      </c>
      <c r="AI15" s="53">
        <f t="shared" si="17"/>
        <v>8556758.593164796</v>
      </c>
      <c r="AJ15" s="53"/>
      <c r="AK15" s="55">
        <f t="shared" si="18"/>
        <v>408021.55876783206</v>
      </c>
      <c r="AL15" s="55">
        <f t="shared" si="19"/>
        <v>421373.51381987141</v>
      </c>
      <c r="AM15" s="55">
        <f t="shared" si="19"/>
        <v>435162.39358797244</v>
      </c>
      <c r="AN15" s="55">
        <f t="shared" si="19"/>
        <v>449402.49584401661</v>
      </c>
      <c r="AO15" s="55">
        <f t="shared" si="20"/>
        <v>428489.9905049231</v>
      </c>
    </row>
    <row r="16" spans="1:41" s="56" customFormat="1" ht="11.25">
      <c r="A16" s="57" t="s">
        <v>44</v>
      </c>
      <c r="B16" s="38">
        <v>5159805.4786179485</v>
      </c>
      <c r="C16" s="38">
        <v>5637771.4381366847</v>
      </c>
      <c r="D16" s="38">
        <v>283942.02426468255</v>
      </c>
      <c r="E16" s="39">
        <v>-4218239.1345979208</v>
      </c>
      <c r="F16" s="58">
        <v>6863279.8064213945</v>
      </c>
      <c r="G16" s="58"/>
      <c r="H16" s="58">
        <f t="shared" si="0"/>
        <v>6863279.8064213945</v>
      </c>
      <c r="I16" s="59">
        <f>B16*VLOOKUP(I$9,'GI Factors'!A:M,4,FALSE)+C16*VLOOKUP(I$9,'GI Factors'!A:M,7,FALSE)+D16*VLOOKUP(I$9,'GI Factors'!A:M,10,FALSE)+E16*VLOOKUP(I$9,'GI Factors'!A:M,13,FALSE)</f>
        <v>6942881.8808789607</v>
      </c>
      <c r="J16" s="60">
        <v>0</v>
      </c>
      <c r="K16" s="59">
        <v>0</v>
      </c>
      <c r="L16" s="61"/>
      <c r="M16" s="59">
        <f t="shared" si="1"/>
        <v>0</v>
      </c>
      <c r="N16" s="241"/>
      <c r="O16" s="243"/>
      <c r="P16" s="62">
        <f t="shared" si="2"/>
        <v>2902128.1321946681</v>
      </c>
      <c r="Q16" s="63">
        <f t="shared" si="3"/>
        <v>-2902128.1321946681</v>
      </c>
      <c r="R16" s="63">
        <f t="shared" si="4"/>
        <v>0</v>
      </c>
      <c r="S16" s="60">
        <f t="shared" si="5"/>
        <v>-2902128.1321946681</v>
      </c>
      <c r="T16" s="46">
        <f t="shared" si="6"/>
        <v>0</v>
      </c>
      <c r="U16" s="46" t="e">
        <f t="shared" si="7"/>
        <v>#DIV/0!</v>
      </c>
      <c r="V16" s="46" t="e">
        <f t="shared" si="8"/>
        <v>#DIV/0!</v>
      </c>
      <c r="W16" s="64">
        <f t="shared" si="9"/>
        <v>40</v>
      </c>
      <c r="X16" s="59">
        <f t="shared" si="10"/>
        <v>0</v>
      </c>
      <c r="Y16" s="65">
        <v>2013</v>
      </c>
      <c r="Z16" s="66">
        <v>2053</v>
      </c>
      <c r="AA16" s="50">
        <f t="shared" si="11"/>
        <v>36</v>
      </c>
      <c r="AB16" s="50">
        <f t="shared" si="12"/>
        <v>2058</v>
      </c>
      <c r="AC16" s="51">
        <f t="shared" si="13"/>
        <v>2059</v>
      </c>
      <c r="AD16" s="52">
        <f>(B16*$AD$10)*VLOOKUP(AB16,'GI Factors'!A:M,4,FALSE)+(C16*$AD$10)*VLOOKUP(AB16,'GI Factors'!A:M,7,FALSE)+(D16*$AD$10)*VLOOKUP(AB16,'GI Factors'!A:M,10,FALSE)+(E16*$AD$10)*VLOOKUP(AB16,'GI Factors'!A:M,13,FALSE)</f>
        <v>8492962.2754825745</v>
      </c>
      <c r="AE16" s="52">
        <f>(B16*$AE$10)*VLOOKUP(AC16,'GI Factors'!A:M,4,FALSE)+(C16*$AE$10)*VLOOKUP(AC16,'GI Factors'!A:M,7,FALSE)+(D16*$AE$10)*VLOOKUP(AC16,'GI Factors'!A:M,10,FALSE)+(E16*$AE$10)*VLOOKUP(AC16,'GI Factors'!A:M,13,FALSE)</f>
        <v>20528319.046464097</v>
      </c>
      <c r="AF16" s="53">
        <f t="shared" si="14"/>
        <v>29021281.321946673</v>
      </c>
      <c r="AG16" s="53">
        <f t="shared" si="15"/>
        <v>29021281.321946673</v>
      </c>
      <c r="AH16" s="54">
        <f t="shared" si="16"/>
        <v>4.0864087220521178E-2</v>
      </c>
      <c r="AI16" s="53">
        <f t="shared" si="17"/>
        <v>6863279.8064213907</v>
      </c>
      <c r="AJ16" s="53"/>
      <c r="AK16" s="55">
        <f t="shared" si="18"/>
        <v>367332.62534983753</v>
      </c>
      <c r="AL16" s="55">
        <f t="shared" si="19"/>
        <v>382343.33779107634</v>
      </c>
      <c r="AM16" s="55">
        <f t="shared" si="19"/>
        <v>397967.44929475611</v>
      </c>
      <c r="AN16" s="55">
        <f t="shared" si="19"/>
        <v>414230.02585366537</v>
      </c>
      <c r="AO16" s="55">
        <f t="shared" si="20"/>
        <v>390468.35957233381</v>
      </c>
    </row>
    <row r="17" spans="1:41" s="56" customFormat="1" ht="11.25">
      <c r="A17" s="57" t="s">
        <v>45</v>
      </c>
      <c r="B17" s="38">
        <v>3044964</v>
      </c>
      <c r="C17" s="38">
        <v>3859696</v>
      </c>
      <c r="D17" s="38">
        <v>1662840</v>
      </c>
      <c r="E17" s="39">
        <v>-2151560</v>
      </c>
      <c r="F17" s="58">
        <v>6415940</v>
      </c>
      <c r="G17" s="58"/>
      <c r="H17" s="58">
        <f t="shared" si="0"/>
        <v>6415940</v>
      </c>
      <c r="I17" s="59">
        <f>B17*VLOOKUP(I$9,'GI Factors'!A:M,4,FALSE)+C17*VLOOKUP(I$9,'GI Factors'!A:M,7,FALSE)+D17*VLOOKUP(I$9,'GI Factors'!A:M,10,FALSE)+E17*VLOOKUP(I$9,'GI Factors'!A:M,13,FALSE)</f>
        <v>6445248.9221260464</v>
      </c>
      <c r="J17" s="60">
        <v>0</v>
      </c>
      <c r="K17" s="59"/>
      <c r="L17" s="61"/>
      <c r="M17" s="59">
        <f t="shared" si="1"/>
        <v>0</v>
      </c>
      <c r="N17" s="241"/>
      <c r="O17" s="243"/>
      <c r="P17" s="62">
        <f t="shared" si="2"/>
        <v>594224.43542699516</v>
      </c>
      <c r="Q17" s="63">
        <f t="shared" si="3"/>
        <v>-594224.43542699516</v>
      </c>
      <c r="R17" s="63">
        <f t="shared" si="4"/>
        <v>0</v>
      </c>
      <c r="S17" s="60">
        <f t="shared" si="5"/>
        <v>-594224.43542699516</v>
      </c>
      <c r="T17" s="46">
        <f t="shared" si="6"/>
        <v>0</v>
      </c>
      <c r="U17" s="46" t="e">
        <f t="shared" si="7"/>
        <v>#DIV/0!</v>
      </c>
      <c r="V17" s="46" t="e">
        <f t="shared" si="8"/>
        <v>#DIV/0!</v>
      </c>
      <c r="W17" s="64">
        <f t="shared" si="9"/>
        <v>30</v>
      </c>
      <c r="X17" s="59">
        <f t="shared" si="10"/>
        <v>0</v>
      </c>
      <c r="Y17" s="65">
        <v>2016</v>
      </c>
      <c r="Z17" s="66">
        <v>2046</v>
      </c>
      <c r="AA17" s="50">
        <f t="shared" si="11"/>
        <v>29</v>
      </c>
      <c r="AB17" s="50">
        <f t="shared" si="12"/>
        <v>2051</v>
      </c>
      <c r="AC17" s="51">
        <f t="shared" si="13"/>
        <v>2052</v>
      </c>
      <c r="AD17" s="52">
        <f>(B17*$AD$10)*VLOOKUP(AB17,'GI Factors'!A:M,4,FALSE)+(C17*$AD$10)*VLOOKUP(AB17,'GI Factors'!A:M,7,FALSE)+(D17*$AD$10)*VLOOKUP(AB17,'GI Factors'!A:M,10,FALSE)+(E17*$AD$10)*VLOOKUP(AB17,'GI Factors'!A:M,13,FALSE)</f>
        <v>5233642.9176673973</v>
      </c>
      <c r="AE17" s="52">
        <f>(B17*$AE$10)*VLOOKUP(AC17,'GI Factors'!A:M,4,FALSE)+(C17*$AE$10)*VLOOKUP(AC17,'GI Factors'!A:M,7,FALSE)+(D17*$AE$10)*VLOOKUP(AC17,'GI Factors'!A:M,10,FALSE)+(E17*$AE$10)*VLOOKUP(AC17,'GI Factors'!A:M,13,FALSE)</f>
        <v>12593090.145142481</v>
      </c>
      <c r="AF17" s="53">
        <f t="shared" si="14"/>
        <v>17826733.062809877</v>
      </c>
      <c r="AG17" s="53">
        <f t="shared" si="15"/>
        <v>17826733.062809877</v>
      </c>
      <c r="AH17" s="54">
        <f t="shared" si="16"/>
        <v>3.5866632441817599E-2</v>
      </c>
      <c r="AI17" s="53">
        <f t="shared" si="17"/>
        <v>6415939.9999999925</v>
      </c>
      <c r="AJ17" s="53"/>
      <c r="AK17" s="55">
        <f t="shared" si="18"/>
        <v>359506.56714384258</v>
      </c>
      <c r="AL17" s="55">
        <f t="shared" si="19"/>
        <v>372400.8570480104</v>
      </c>
      <c r="AM17" s="55">
        <f t="shared" si="19"/>
        <v>385757.62170876923</v>
      </c>
      <c r="AN17" s="55">
        <f t="shared" si="19"/>
        <v>399593.44853822736</v>
      </c>
      <c r="AO17" s="55">
        <f t="shared" si="20"/>
        <v>379314.62360971246</v>
      </c>
    </row>
    <row r="18" spans="1:41" s="56" customFormat="1" ht="11.25">
      <c r="A18" s="67" t="s">
        <v>46</v>
      </c>
      <c r="B18" s="68">
        <v>1067800</v>
      </c>
      <c r="C18" s="68">
        <v>1383509.21</v>
      </c>
      <c r="D18" s="68">
        <v>558000</v>
      </c>
      <c r="E18" s="39">
        <v>-735430.92099999997</v>
      </c>
      <c r="F18" s="69">
        <v>2273878.2889999999</v>
      </c>
      <c r="G18" s="69"/>
      <c r="H18" s="69">
        <f t="shared" si="0"/>
        <v>2273878.2889999999</v>
      </c>
      <c r="I18" s="59">
        <f>B18*VLOOKUP(I$9,'GI Factors'!A:M,4,FALSE)+C18*VLOOKUP(I$9,'GI Factors'!A:M,7,FALSE)+D18*VLOOKUP(I$9,'GI Factors'!A:M,10,FALSE)+E18*VLOOKUP(I$9,'GI Factors'!A:M,13,FALSE)</f>
        <v>2281735.6617501271</v>
      </c>
      <c r="J18" s="60">
        <v>430189</v>
      </c>
      <c r="K18" s="59">
        <v>78767</v>
      </c>
      <c r="L18" s="61"/>
      <c r="M18" s="59">
        <f t="shared" si="1"/>
        <v>508956</v>
      </c>
      <c r="N18" s="241"/>
      <c r="O18" s="243"/>
      <c r="P18" s="62">
        <f t="shared" si="2"/>
        <v>1352248.2810194874</v>
      </c>
      <c r="Q18" s="63">
        <f t="shared" si="3"/>
        <v>-843292.28101948742</v>
      </c>
      <c r="R18" s="63">
        <f t="shared" si="4"/>
        <v>0</v>
      </c>
      <c r="S18" s="60">
        <f t="shared" si="5"/>
        <v>-843292.28101948742</v>
      </c>
      <c r="T18" s="46">
        <f t="shared" si="6"/>
        <v>0</v>
      </c>
      <c r="U18" s="46" t="e">
        <f t="shared" si="7"/>
        <v>#DIV/0!</v>
      </c>
      <c r="V18" s="46" t="e">
        <f t="shared" si="8"/>
        <v>#DIV/0!</v>
      </c>
      <c r="W18" s="64">
        <f t="shared" si="9"/>
        <v>30</v>
      </c>
      <c r="X18" s="59">
        <f t="shared" si="10"/>
        <v>508956</v>
      </c>
      <c r="Y18" s="65">
        <v>2009</v>
      </c>
      <c r="Z18" s="66">
        <v>2039</v>
      </c>
      <c r="AA18" s="50">
        <f t="shared" si="11"/>
        <v>22</v>
      </c>
      <c r="AB18" s="50">
        <f t="shared" si="12"/>
        <v>2044</v>
      </c>
      <c r="AC18" s="51">
        <f t="shared" si="13"/>
        <v>2045</v>
      </c>
      <c r="AD18" s="52">
        <f>(B18*$AD$10)*VLOOKUP(AB18,'GI Factors'!A:M,4,FALSE)+(C18*$AD$10)*VLOOKUP(AB18,'GI Factors'!A:M,7,FALSE)+(D18*$AD$10)*VLOOKUP(AB18,'GI Factors'!A:M,10,FALSE)+(E18*$AD$10)*VLOOKUP(AB18,'GI Factors'!A:M,13,FALSE)</f>
        <v>1489722.0678544804</v>
      </c>
      <c r="AE18" s="52">
        <f>(B18*$AE$10)*VLOOKUP(AC18,'GI Factors'!A:M,4,FALSE)+(C18*$AE$10)*VLOOKUP(AC18,'GI Factors'!A:M,7,FALSE)+(D18*$AE$10)*VLOOKUP(AC18,'GI Factors'!A:M,10,FALSE)+(E18*$AE$10)*VLOOKUP(AC18,'GI Factors'!A:M,13,FALSE)</f>
        <v>3581208.9859685963</v>
      </c>
      <c r="AF18" s="53">
        <f t="shared" si="14"/>
        <v>5070931.0538230762</v>
      </c>
      <c r="AG18" s="53">
        <f t="shared" si="15"/>
        <v>4561975.0538230762</v>
      </c>
      <c r="AH18" s="54">
        <f t="shared" si="16"/>
        <v>3.7128931911961115E-2</v>
      </c>
      <c r="AI18" s="53">
        <f t="shared" si="17"/>
        <v>2045655.1114074355</v>
      </c>
      <c r="AJ18" s="53"/>
      <c r="AK18" s="55">
        <f t="shared" si="18"/>
        <v>137699.35882269731</v>
      </c>
      <c r="AL18" s="55">
        <f t="shared" si="19"/>
        <v>142811.98894074594</v>
      </c>
      <c r="AM18" s="55">
        <f t="shared" si="19"/>
        <v>148114.44555433866</v>
      </c>
      <c r="AN18" s="55">
        <f t="shared" si="19"/>
        <v>153613.77671850359</v>
      </c>
      <c r="AO18" s="55">
        <f t="shared" si="20"/>
        <v>145559.89250907136</v>
      </c>
    </row>
    <row r="19" spans="1:41" s="56" customFormat="1" ht="11.25">
      <c r="A19" s="57" t="s">
        <v>47</v>
      </c>
      <c r="B19" s="38">
        <v>8084987.3350533694</v>
      </c>
      <c r="C19" s="38">
        <v>10741005.968765283</v>
      </c>
      <c r="D19" s="38">
        <v>697254.03265045525</v>
      </c>
      <c r="E19" s="39">
        <v>-820745.70704456419</v>
      </c>
      <c r="F19" s="58">
        <v>18702501.629424542</v>
      </c>
      <c r="G19" s="58"/>
      <c r="H19" s="58">
        <f t="shared" si="0"/>
        <v>18702501.629424542</v>
      </c>
      <c r="I19" s="59">
        <f>B19*VLOOKUP(I$9,'GI Factors'!A:M,4,FALSE)+C19*VLOOKUP(I$9,'GI Factors'!A:M,7,FALSE)+D19*VLOOKUP(I$9,'GI Factors'!A:M,10,FALSE)+E19*VLOOKUP(I$9,'GI Factors'!A:M,13,FALSE)</f>
        <v>18499535.850634869</v>
      </c>
      <c r="J19" s="60">
        <v>0</v>
      </c>
      <c r="K19" s="59">
        <v>0</v>
      </c>
      <c r="L19" s="61"/>
      <c r="M19" s="59">
        <f t="shared" si="1"/>
        <v>0</v>
      </c>
      <c r="N19" s="241"/>
      <c r="O19" s="243"/>
      <c r="P19" s="62">
        <f t="shared" si="2"/>
        <v>19676516.080162887</v>
      </c>
      <c r="Q19" s="63">
        <f t="shared" si="3"/>
        <v>-19676516.080162887</v>
      </c>
      <c r="R19" s="63">
        <f t="shared" si="4"/>
        <v>0</v>
      </c>
      <c r="S19" s="60">
        <f t="shared" si="5"/>
        <v>-19676516.080162887</v>
      </c>
      <c r="T19" s="46">
        <f t="shared" si="6"/>
        <v>0</v>
      </c>
      <c r="U19" s="46" t="e">
        <f t="shared" si="7"/>
        <v>#DIV/0!</v>
      </c>
      <c r="V19" s="46" t="e">
        <f t="shared" si="8"/>
        <v>#DIV/0!</v>
      </c>
      <c r="W19" s="64">
        <f t="shared" si="9"/>
        <v>40</v>
      </c>
      <c r="X19" s="59">
        <f t="shared" si="10"/>
        <v>0</v>
      </c>
      <c r="Y19" s="65">
        <v>1993</v>
      </c>
      <c r="Z19" s="66">
        <v>2033</v>
      </c>
      <c r="AA19" s="50">
        <f t="shared" si="11"/>
        <v>16</v>
      </c>
      <c r="AB19" s="50">
        <f t="shared" si="12"/>
        <v>2038</v>
      </c>
      <c r="AC19" s="51">
        <f t="shared" si="13"/>
        <v>2039</v>
      </c>
      <c r="AD19" s="52">
        <f>(B19*$AD$10)*VLOOKUP(AB19,'GI Factors'!A:M,4,FALSE)+(C19*$AD$10)*VLOOKUP(AB19,'GI Factors'!A:M,7,FALSE)+(D19*$AD$10)*VLOOKUP(AB19,'GI Factors'!A:M,10,FALSE)+(E19*$AD$10)*VLOOKUP(AB19,'GI Factors'!A:M,13,FALSE)</f>
        <v>9661452.8885829318</v>
      </c>
      <c r="AE19" s="52">
        <f>(B19*$AE$10)*VLOOKUP(AC19,'GI Factors'!A:M,4,FALSE)+(C19*$AE$10)*VLOOKUP(AC19,'GI Factors'!A:M,7,FALSE)+(D19*$AE$10)*VLOOKUP(AC19,'GI Factors'!A:M,10,FALSE)+(E19*$AE$10)*VLOOKUP(AC19,'GI Factors'!A:M,13,FALSE)</f>
        <v>23132740.578355215</v>
      </c>
      <c r="AF19" s="53">
        <f t="shared" si="14"/>
        <v>32794193.466938145</v>
      </c>
      <c r="AG19" s="53">
        <f t="shared" si="15"/>
        <v>32794193.466938145</v>
      </c>
      <c r="AH19" s="54">
        <f t="shared" si="16"/>
        <v>3.5722899164621444E-2</v>
      </c>
      <c r="AI19" s="53">
        <f t="shared" si="17"/>
        <v>18702501.629424546</v>
      </c>
      <c r="AJ19" s="53"/>
      <c r="AK19" s="55">
        <f t="shared" si="18"/>
        <v>1554820.3496389585</v>
      </c>
      <c r="AL19" s="55">
        <f t="shared" si="19"/>
        <v>1610363.0402082126</v>
      </c>
      <c r="AM19" s="55">
        <f t="shared" si="19"/>
        <v>1667889.8767120037</v>
      </c>
      <c r="AN19" s="55">
        <f t="shared" si="19"/>
        <v>1727471.7385954796</v>
      </c>
      <c r="AO19" s="55">
        <f t="shared" si="20"/>
        <v>1640136.2512886636</v>
      </c>
    </row>
    <row r="20" spans="1:41" s="56" customFormat="1" ht="11.25">
      <c r="A20" s="57" t="s">
        <v>48</v>
      </c>
      <c r="B20" s="70">
        <v>271431.89180514473</v>
      </c>
      <c r="C20" s="70">
        <v>296575.32117438159</v>
      </c>
      <c r="D20" s="70">
        <v>30764.84081158552</v>
      </c>
      <c r="E20" s="39">
        <v>-331988.41350159526</v>
      </c>
      <c r="F20" s="58">
        <v>266783.64028951654</v>
      </c>
      <c r="G20" s="58"/>
      <c r="H20" s="58">
        <f t="shared" si="0"/>
        <v>266783.64028951654</v>
      </c>
      <c r="I20" s="59">
        <f>B20*VLOOKUP(I$9,'GI Factors'!A:M,4,FALSE)+C20*VLOOKUP(I$9,'GI Factors'!A:M,7,FALSE)+D20*VLOOKUP(I$9,'GI Factors'!A:M,10,FALSE)+E20*VLOOKUP(I$9,'GI Factors'!A:M,13,FALSE)</f>
        <v>275937.6237117112</v>
      </c>
      <c r="J20" s="60">
        <v>410083.62</v>
      </c>
      <c r="K20" s="59">
        <v>16744</v>
      </c>
      <c r="L20" s="61"/>
      <c r="M20" s="59">
        <f t="shared" si="1"/>
        <v>426827.62</v>
      </c>
      <c r="N20" s="241"/>
      <c r="O20" s="243">
        <v>-426827.62</v>
      </c>
      <c r="P20" s="62">
        <f t="shared" si="2"/>
        <v>859615.52971901628</v>
      </c>
      <c r="Q20" s="63">
        <f t="shared" si="3"/>
        <v>-859615.52971901628</v>
      </c>
      <c r="R20" s="63">
        <f t="shared" si="4"/>
        <v>0</v>
      </c>
      <c r="S20" s="60">
        <f t="shared" si="5"/>
        <v>-859615.52971901628</v>
      </c>
      <c r="T20" s="46">
        <f t="shared" si="6"/>
        <v>0</v>
      </c>
      <c r="U20" s="46" t="e">
        <f t="shared" si="7"/>
        <v>#DIV/0!</v>
      </c>
      <c r="V20" s="46" t="e">
        <f t="shared" si="8"/>
        <v>#DIV/0!</v>
      </c>
      <c r="W20" s="64">
        <f t="shared" si="9"/>
        <v>86</v>
      </c>
      <c r="X20" s="59">
        <f t="shared" si="10"/>
        <v>0</v>
      </c>
      <c r="Y20" s="65">
        <v>1970</v>
      </c>
      <c r="Z20" s="66">
        <v>2056</v>
      </c>
      <c r="AA20" s="50">
        <f t="shared" si="11"/>
        <v>39</v>
      </c>
      <c r="AB20" s="50">
        <f t="shared" si="12"/>
        <v>2061</v>
      </c>
      <c r="AC20" s="51">
        <f t="shared" si="13"/>
        <v>2062</v>
      </c>
      <c r="AD20" s="52">
        <f>(B20*$AD$10)*VLOOKUP(AB20,'GI Factors'!A:M,4,FALSE)+(C20*$AD$10)*VLOOKUP(AB20,'GI Factors'!A:M,7,FALSE)+(D20*$AD$10)*VLOOKUP(AB20,'GI Factors'!A:M,10,FALSE)+(E20*$AD$10)*VLOOKUP(AB20,'GI Factors'!A:M,13,FALSE)</f>
        <v>459426.99954118184</v>
      </c>
      <c r="AE20" s="52">
        <f>(B20*$AE$10)*VLOOKUP(AC20,'GI Factors'!A:M,4,FALSE)+(C20*$AE$10)*VLOOKUP(AC20,'GI Factors'!A:M,7,FALSE)+(D20*$AE$10)*VLOOKUP(AC20,'GI Factors'!A:M,10,FALSE)+(E20*$AE$10)*VLOOKUP(AC20,'GI Factors'!A:M,13,FALSE)</f>
        <v>1113486.5229234011</v>
      </c>
      <c r="AF20" s="53">
        <f t="shared" si="14"/>
        <v>1572913.5224645829</v>
      </c>
      <c r="AG20" s="53">
        <f t="shared" si="15"/>
        <v>1572913.5224645829</v>
      </c>
      <c r="AH20" s="54">
        <v>0</v>
      </c>
      <c r="AI20" s="53">
        <f t="shared" si="17"/>
        <v>1572913.5224645829</v>
      </c>
      <c r="AJ20" s="53"/>
      <c r="AK20" s="55">
        <f t="shared" si="18"/>
        <v>40331.115960630334</v>
      </c>
      <c r="AL20" s="55">
        <f t="shared" si="19"/>
        <v>40331.115960630334</v>
      </c>
      <c r="AM20" s="55">
        <f t="shared" si="19"/>
        <v>40331.115960630334</v>
      </c>
      <c r="AN20" s="55">
        <f t="shared" si="19"/>
        <v>40331.115960630334</v>
      </c>
      <c r="AO20" s="55">
        <f t="shared" si="20"/>
        <v>40331.115960630334</v>
      </c>
    </row>
    <row r="21" spans="1:41" s="56" customFormat="1" ht="11.25">
      <c r="A21" s="57" t="s">
        <v>49</v>
      </c>
      <c r="B21" s="38">
        <v>2874980.8662223225</v>
      </c>
      <c r="C21" s="38">
        <v>3141297.6865009856</v>
      </c>
      <c r="D21" s="38">
        <v>219857.01626059262</v>
      </c>
      <c r="E21" s="39">
        <v>-2033814.1653708604</v>
      </c>
      <c r="F21" s="58">
        <v>4202321.4036130402</v>
      </c>
      <c r="G21" s="58"/>
      <c r="H21" s="58">
        <f t="shared" si="0"/>
        <v>4202321.4036130402</v>
      </c>
      <c r="I21" s="59">
        <f>B21*VLOOKUP(I$9,'GI Factors'!A:M,4,FALSE)+C21*VLOOKUP(I$9,'GI Factors'!A:M,7,FALSE)+D21*VLOOKUP(I$9,'GI Factors'!A:M,10,FALSE)+E21*VLOOKUP(I$9,'GI Factors'!A:M,13,FALSE)</f>
        <v>4233789.4683695529</v>
      </c>
      <c r="J21" s="60">
        <v>14406436.52</v>
      </c>
      <c r="K21" s="59">
        <v>744341</v>
      </c>
      <c r="L21" s="61"/>
      <c r="M21" s="59">
        <f t="shared" si="1"/>
        <v>15150777.52</v>
      </c>
      <c r="N21" s="241">
        <v>-10004598.782986468</v>
      </c>
      <c r="O21" s="243"/>
      <c r="P21" s="62">
        <f t="shared" si="2"/>
        <v>5146178.7370135318</v>
      </c>
      <c r="Q21" s="63">
        <f t="shared" si="3"/>
        <v>0</v>
      </c>
      <c r="R21" s="63">
        <f t="shared" si="4"/>
        <v>0</v>
      </c>
      <c r="S21" s="60">
        <f t="shared" si="5"/>
        <v>0</v>
      </c>
      <c r="T21" s="46">
        <f t="shared" si="6"/>
        <v>0</v>
      </c>
      <c r="U21" s="46" t="e">
        <f t="shared" si="7"/>
        <v>#DIV/0!</v>
      </c>
      <c r="V21" s="46" t="e">
        <f t="shared" si="8"/>
        <v>#DIV/0!</v>
      </c>
      <c r="W21" s="64">
        <f t="shared" si="9"/>
        <v>40</v>
      </c>
      <c r="X21" s="59">
        <f t="shared" si="10"/>
        <v>5146178.7370135318</v>
      </c>
      <c r="Y21" s="65">
        <v>1993</v>
      </c>
      <c r="Z21" s="66">
        <v>2033</v>
      </c>
      <c r="AA21" s="50">
        <f t="shared" si="11"/>
        <v>16</v>
      </c>
      <c r="AB21" s="50">
        <f t="shared" si="12"/>
        <v>2038</v>
      </c>
      <c r="AC21" s="51">
        <f t="shared" si="13"/>
        <v>2039</v>
      </c>
      <c r="AD21" s="52">
        <f>(B21*$AD$10)*VLOOKUP(AB21,'GI Factors'!A:M,4,FALSE)+(C21*$AD$10)*VLOOKUP(AB21,'GI Factors'!A:M,7,FALSE)+(D21*$AD$10)*VLOOKUP(AB21,'GI Factors'!A:M,10,FALSE)+(E21*$AD$10)*VLOOKUP(AB21,'GI Factors'!A:M,13,FALSE)</f>
        <v>2515432.9016057714</v>
      </c>
      <c r="AE21" s="52">
        <f>(B21*$AE$10)*VLOOKUP(AC21,'GI Factors'!A:M,4,FALSE)+(C21*$AE$10)*VLOOKUP(AC21,'GI Factors'!A:M,7,FALSE)+(D21*$AE$10)*VLOOKUP(AC21,'GI Factors'!A:M,10,FALSE)+(E21*$AE$10)*VLOOKUP(AC21,'GI Factors'!A:M,13,FALSE)</f>
        <v>6061531.6600834485</v>
      </c>
      <c r="AF21" s="53">
        <f t="shared" si="14"/>
        <v>8576964.5616892204</v>
      </c>
      <c r="AG21" s="53">
        <f t="shared" si="15"/>
        <v>3430785.8246756885</v>
      </c>
      <c r="AH21" s="54">
        <f>RATE(AA21,,-F21,AF21)</f>
        <v>4.5599271297126515E-2</v>
      </c>
      <c r="AI21" s="53">
        <f t="shared" si="17"/>
        <v>1680928.561445215</v>
      </c>
      <c r="AJ21" s="53"/>
      <c r="AK21" s="55">
        <f t="shared" si="18"/>
        <v>150278.9463653873</v>
      </c>
      <c r="AL21" s="55">
        <f t="shared" si="19"/>
        <v>157131.55681094891</v>
      </c>
      <c r="AM21" s="55">
        <f t="shared" si="19"/>
        <v>164296.64129931122</v>
      </c>
      <c r="AN21" s="55">
        <f t="shared" si="19"/>
        <v>171788.4484191252</v>
      </c>
      <c r="AO21" s="55">
        <f t="shared" si="20"/>
        <v>160873.89822369313</v>
      </c>
    </row>
    <row r="22" spans="1:41" s="56" customFormat="1" ht="11.25">
      <c r="A22" s="57" t="s">
        <v>50</v>
      </c>
      <c r="B22" s="38">
        <v>2873673.6350777852</v>
      </c>
      <c r="C22" s="38">
        <v>3139869.3631968894</v>
      </c>
      <c r="D22" s="38">
        <v>221884.49033871724</v>
      </c>
      <c r="E22" s="39">
        <v>-2038541.4686474747</v>
      </c>
      <c r="F22" s="58">
        <v>4196886.0199659178</v>
      </c>
      <c r="G22" s="58"/>
      <c r="H22" s="58">
        <f t="shared" si="0"/>
        <v>4196886.0199659178</v>
      </c>
      <c r="I22" s="59">
        <f>B22*VLOOKUP(I$9,'GI Factors'!A:M,4,FALSE)+C22*VLOOKUP(I$9,'GI Factors'!A:M,7,FALSE)+D22*VLOOKUP(I$9,'GI Factors'!A:M,10,FALSE)+E22*VLOOKUP(I$9,'GI Factors'!A:M,13,FALSE)</f>
        <v>4228611.8814983144</v>
      </c>
      <c r="J22" s="60">
        <v>11279747.52</v>
      </c>
      <c r="K22" s="59">
        <v>594360</v>
      </c>
      <c r="L22" s="61"/>
      <c r="M22" s="59">
        <f t="shared" si="1"/>
        <v>11874107.52</v>
      </c>
      <c r="N22" s="241">
        <v>-6732479.331049555</v>
      </c>
      <c r="O22" s="243"/>
      <c r="P22" s="62">
        <f t="shared" si="2"/>
        <v>5141628.1889504446</v>
      </c>
      <c r="Q22" s="63">
        <f t="shared" si="3"/>
        <v>0</v>
      </c>
      <c r="R22" s="63">
        <f t="shared" si="4"/>
        <v>0</v>
      </c>
      <c r="S22" s="60">
        <f t="shared" si="5"/>
        <v>0</v>
      </c>
      <c r="T22" s="46">
        <f t="shared" si="6"/>
        <v>0</v>
      </c>
      <c r="U22" s="46" t="e">
        <f t="shared" si="7"/>
        <v>#DIV/0!</v>
      </c>
      <c r="V22" s="46" t="e">
        <f t="shared" si="8"/>
        <v>#DIV/0!</v>
      </c>
      <c r="W22" s="64">
        <f t="shared" si="9"/>
        <v>40</v>
      </c>
      <c r="X22" s="59">
        <f t="shared" si="10"/>
        <v>5141628.1889504446</v>
      </c>
      <c r="Y22" s="65">
        <v>1993</v>
      </c>
      <c r="Z22" s="66">
        <v>2033</v>
      </c>
      <c r="AA22" s="50">
        <f t="shared" si="11"/>
        <v>16</v>
      </c>
      <c r="AB22" s="50">
        <f t="shared" si="12"/>
        <v>2038</v>
      </c>
      <c r="AC22" s="51">
        <f t="shared" si="13"/>
        <v>2039</v>
      </c>
      <c r="AD22" s="52">
        <f>(B22*$AD$10)*VLOOKUP(AB22,'GI Factors'!A:M,4,FALSE)+(C22*$AD$10)*VLOOKUP(AB22,'GI Factors'!A:M,7,FALSE)+(D22*$AD$10)*VLOOKUP(AB22,'GI Factors'!A:M,10,FALSE)+(E22*$AD$10)*VLOOKUP(AB22,'GI Factors'!A:M,13,FALSE)</f>
        <v>2513180.2750754775</v>
      </c>
      <c r="AE22" s="52">
        <f>(B22*$AE$10)*VLOOKUP(AC22,'GI Factors'!A:M,4,FALSE)+(C22*$AE$10)*VLOOKUP(AC22,'GI Factors'!A:M,7,FALSE)+(D22*$AE$10)*VLOOKUP(AC22,'GI Factors'!A:M,10,FALSE)+(E22*$AE$10)*VLOOKUP(AC22,'GI Factors'!A:M,13,FALSE)</f>
        <v>6056200.0398419304</v>
      </c>
      <c r="AF22" s="53">
        <f t="shared" si="14"/>
        <v>8569380.3149174079</v>
      </c>
      <c r="AG22" s="53">
        <f t="shared" si="15"/>
        <v>3427752.1259669634</v>
      </c>
      <c r="AH22" s="54">
        <f>RATE(AA22,,-F22,AF22)</f>
        <v>4.5626039791357348E-2</v>
      </c>
      <c r="AI22" s="53">
        <f t="shared" si="17"/>
        <v>1678754.4079863681</v>
      </c>
      <c r="AJ22" s="53"/>
      <c r="AK22" s="55">
        <f t="shared" si="18"/>
        <v>150113.62305712869</v>
      </c>
      <c r="AL22" s="55">
        <f t="shared" si="19"/>
        <v>156962.71319595806</v>
      </c>
      <c r="AM22" s="55">
        <f t="shared" si="19"/>
        <v>164124.30019399623</v>
      </c>
      <c r="AN22" s="55">
        <f t="shared" si="19"/>
        <v>171612.64204537615</v>
      </c>
      <c r="AO22" s="55">
        <f t="shared" si="20"/>
        <v>160703.31962311477</v>
      </c>
    </row>
    <row r="23" spans="1:41" s="56" customFormat="1" ht="11.25">
      <c r="A23" s="57" t="s">
        <v>51</v>
      </c>
      <c r="B23" s="70">
        <v>3084619.4830904133</v>
      </c>
      <c r="C23" s="70">
        <v>3370355.6638621725</v>
      </c>
      <c r="D23" s="70">
        <v>253285.62576862256</v>
      </c>
      <c r="E23" s="39">
        <v>-2639363.6040507075</v>
      </c>
      <c r="F23" s="58">
        <v>4068897.1686705011</v>
      </c>
      <c r="G23" s="58"/>
      <c r="H23" s="58">
        <f t="shared" si="0"/>
        <v>4068897.1686705011</v>
      </c>
      <c r="I23" s="59">
        <f>B23*VLOOKUP(I$9,'GI Factors'!A:M,4,FALSE)+C23*VLOOKUP(I$9,'GI Factors'!A:M,7,FALSE)+D23*VLOOKUP(I$9,'GI Factors'!A:M,10,FALSE)+E23*VLOOKUP(I$9,'GI Factors'!A:M,13,FALSE)</f>
        <v>4122658.7634194768</v>
      </c>
      <c r="J23" s="60">
        <v>0</v>
      </c>
      <c r="K23" s="59">
        <v>0</v>
      </c>
      <c r="L23" s="61"/>
      <c r="M23" s="59">
        <f t="shared" si="1"/>
        <v>0</v>
      </c>
      <c r="N23" s="241"/>
      <c r="O23" s="243"/>
      <c r="P23" s="62">
        <f t="shared" si="2"/>
        <v>483390.87028995901</v>
      </c>
      <c r="Q23" s="63">
        <f t="shared" si="3"/>
        <v>-483390.87028995901</v>
      </c>
      <c r="R23" s="63">
        <f t="shared" si="4"/>
        <v>0</v>
      </c>
      <c r="S23" s="60">
        <f t="shared" si="5"/>
        <v>-483390.87028995901</v>
      </c>
      <c r="T23" s="46">
        <f t="shared" si="6"/>
        <v>0</v>
      </c>
      <c r="U23" s="46" t="e">
        <f t="shared" si="7"/>
        <v>#DIV/0!</v>
      </c>
      <c r="V23" s="46" t="e">
        <f t="shared" si="8"/>
        <v>#DIV/0!</v>
      </c>
      <c r="W23" s="64">
        <f t="shared" si="9"/>
        <v>40</v>
      </c>
      <c r="X23" s="59">
        <f t="shared" si="10"/>
        <v>0</v>
      </c>
      <c r="Y23" s="65">
        <v>2016</v>
      </c>
      <c r="Z23" s="66">
        <v>2056</v>
      </c>
      <c r="AA23" s="50">
        <f t="shared" si="11"/>
        <v>39</v>
      </c>
      <c r="AB23" s="50">
        <f t="shared" si="12"/>
        <v>2061</v>
      </c>
      <c r="AC23" s="51">
        <f t="shared" si="13"/>
        <v>2062</v>
      </c>
      <c r="AD23" s="52">
        <f>(B23*$AD$10)*VLOOKUP(AB23,'GI Factors'!A:M,4,FALSE)+(C23*$AD$10)*VLOOKUP(AB23,'GI Factors'!A:M,7,FALSE)+(D23*$AD$10)*VLOOKUP(AB23,'GI Factors'!A:M,10,FALSE)+(E23*$AD$10)*VLOOKUP(AB23,'GI Factors'!A:M,13,FALSE)</f>
        <v>5657566.0204576859</v>
      </c>
      <c r="AE23" s="52">
        <f>(B23*$AE$10)*VLOOKUP(AC23,'GI Factors'!A:M,4,FALSE)+(C23*$AE$10)*VLOOKUP(AC23,'GI Factors'!A:M,7,FALSE)+(D23*$AE$10)*VLOOKUP(AC23,'GI Factors'!A:M,10,FALSE)+(E23*$AE$10)*VLOOKUP(AC23,'GI Factors'!A:M,13,FALSE)</f>
        <v>13678068.79114072</v>
      </c>
      <c r="AF23" s="53">
        <f t="shared" si="14"/>
        <v>19335634.811598405</v>
      </c>
      <c r="AG23" s="53">
        <f t="shared" si="15"/>
        <v>19335634.811598405</v>
      </c>
      <c r="AH23" s="54">
        <f>RATE(AA23,,-F23,AF23)</f>
        <v>4.0772818916455338E-2</v>
      </c>
      <c r="AI23" s="53">
        <f t="shared" si="17"/>
        <v>4068897.1686704853</v>
      </c>
      <c r="AJ23" s="53"/>
      <c r="AK23" s="55">
        <f t="shared" si="18"/>
        <v>210116.25198088979</v>
      </c>
      <c r="AL23" s="55">
        <f t="shared" si="19"/>
        <v>218683.2838743109</v>
      </c>
      <c r="AM23" s="55">
        <f t="shared" si="19"/>
        <v>227599.61780777399</v>
      </c>
      <c r="AN23" s="55">
        <f t="shared" si="19"/>
        <v>236879.4958101048</v>
      </c>
      <c r="AO23" s="55">
        <f t="shared" si="20"/>
        <v>223319.66236826987</v>
      </c>
    </row>
    <row r="24" spans="1:41" s="56" customFormat="1" ht="11.25">
      <c r="A24" s="57" t="s">
        <v>52</v>
      </c>
      <c r="B24" s="38">
        <v>9005416.4712031446</v>
      </c>
      <c r="C24" s="38">
        <v>9885297.4769505262</v>
      </c>
      <c r="D24" s="38">
        <v>1126672.9458226848</v>
      </c>
      <c r="E24" s="39">
        <v>-743166.73079336248</v>
      </c>
      <c r="F24" s="58">
        <v>19274220.163182996</v>
      </c>
      <c r="G24" s="58"/>
      <c r="H24" s="58">
        <f t="shared" si="0"/>
        <v>19274220.163182996</v>
      </c>
      <c r="I24" s="59">
        <f>B24*VLOOKUP(I$9,'GI Factors'!A:M,4,FALSE)+C24*VLOOKUP(I$9,'GI Factors'!A:M,7,FALSE)+D24*VLOOKUP(I$9,'GI Factors'!A:M,10,FALSE)+E24*VLOOKUP(I$9,'GI Factors'!A:M,13,FALSE)</f>
        <v>19133215.604769081</v>
      </c>
      <c r="J24" s="60">
        <v>12074201.140000001</v>
      </c>
      <c r="K24" s="59">
        <v>362739</v>
      </c>
      <c r="L24" s="61"/>
      <c r="M24" s="59">
        <f t="shared" si="1"/>
        <v>12436940.140000001</v>
      </c>
      <c r="N24" s="241"/>
      <c r="O24" s="243"/>
      <c r="P24" s="62">
        <f t="shared" si="2"/>
        <v>31979934.003427695</v>
      </c>
      <c r="Q24" s="63">
        <f t="shared" si="3"/>
        <v>-19542993.863427695</v>
      </c>
      <c r="R24" s="63">
        <f t="shared" si="4"/>
        <v>0</v>
      </c>
      <c r="S24" s="60">
        <f t="shared" si="5"/>
        <v>-19542993.863427695</v>
      </c>
      <c r="T24" s="46">
        <f t="shared" si="6"/>
        <v>0</v>
      </c>
      <c r="U24" s="46" t="e">
        <f t="shared" si="7"/>
        <v>#DIV/0!</v>
      </c>
      <c r="V24" s="46" t="e">
        <f t="shared" si="8"/>
        <v>#DIV/0!</v>
      </c>
      <c r="W24" s="64">
        <f t="shared" si="9"/>
        <v>85</v>
      </c>
      <c r="X24" s="59">
        <f t="shared" si="10"/>
        <v>12436940.140000001</v>
      </c>
      <c r="Y24" s="65">
        <v>1958</v>
      </c>
      <c r="Z24" s="66">
        <v>2043</v>
      </c>
      <c r="AA24" s="50">
        <f t="shared" si="11"/>
        <v>26</v>
      </c>
      <c r="AB24" s="50">
        <f t="shared" si="12"/>
        <v>2048</v>
      </c>
      <c r="AC24" s="51">
        <f t="shared" si="13"/>
        <v>2049</v>
      </c>
      <c r="AD24" s="52">
        <f>(B24*$AD$10)*VLOOKUP(AB24,'GI Factors'!A:M,4,FALSE)+(C24*$AD$10)*VLOOKUP(AB24,'GI Factors'!A:M,7,FALSE)+(D24*$AD$10)*VLOOKUP(AB24,'GI Factors'!A:M,10,FALSE)+(E24*$AD$10)*VLOOKUP(AB24,'GI Factors'!A:M,13,FALSE)</f>
        <v>13542279.523671389</v>
      </c>
      <c r="AE24" s="52">
        <f>(B24*$AE$10)*VLOOKUP(AC24,'GI Factors'!A:M,4,FALSE)+(C24*$AE$10)*VLOOKUP(AC24,'GI Factors'!A:M,7,FALSE)+(D24*$AE$10)*VLOOKUP(AC24,'GI Factors'!A:M,10,FALSE)+(E24*$AE$10)*VLOOKUP(AC24,'GI Factors'!A:M,13,FALSE)</f>
        <v>32530506.75245326</v>
      </c>
      <c r="AF24" s="53">
        <f t="shared" si="14"/>
        <v>46072786.276124649</v>
      </c>
      <c r="AG24" s="53">
        <f t="shared" si="15"/>
        <v>33635846.136124648</v>
      </c>
      <c r="AH24" s="54">
        <f>RATE(AA24,,-F24,AF24)</f>
        <v>3.4085500138633137E-2</v>
      </c>
      <c r="AI24" s="53">
        <f t="shared" si="17"/>
        <v>14071315.329556525</v>
      </c>
      <c r="AJ24" s="53"/>
      <c r="AK24" s="55">
        <f t="shared" si="18"/>
        <v>824588.52381168806</v>
      </c>
      <c r="AL24" s="55">
        <f t="shared" si="19"/>
        <v>852695.03605438664</v>
      </c>
      <c r="AM24" s="55">
        <f t="shared" si="19"/>
        <v>881759.57282403018</v>
      </c>
      <c r="AN24" s="55">
        <f t="shared" si="19"/>
        <v>911814.78886576474</v>
      </c>
      <c r="AO24" s="55">
        <f t="shared" si="20"/>
        <v>867714.48038896732</v>
      </c>
    </row>
    <row r="25" spans="1:41" s="56" customFormat="1" ht="11.25">
      <c r="A25" s="57" t="s">
        <v>53</v>
      </c>
      <c r="B25" s="38">
        <v>279797.71192335984</v>
      </c>
      <c r="C25" s="38">
        <v>305716.0885762751</v>
      </c>
      <c r="D25" s="38">
        <v>35103.777276715213</v>
      </c>
      <c r="E25" s="39">
        <v>-338275.51197020512</v>
      </c>
      <c r="F25" s="58">
        <v>282342.06580614508</v>
      </c>
      <c r="G25" s="58"/>
      <c r="H25" s="58">
        <f t="shared" si="0"/>
        <v>282342.06580614508</v>
      </c>
      <c r="I25" s="59">
        <f>B25*VLOOKUP(I$9,'GI Factors'!A:M,4,FALSE)+C25*VLOOKUP(I$9,'GI Factors'!A:M,7,FALSE)+D25*VLOOKUP(I$9,'GI Factors'!A:M,10,FALSE)+E25*VLOOKUP(I$9,'GI Factors'!A:M,13,FALSE)</f>
        <v>291651.7306957391</v>
      </c>
      <c r="J25" s="60">
        <v>3587451.9699999997</v>
      </c>
      <c r="K25" s="59">
        <v>110253</v>
      </c>
      <c r="L25" s="61"/>
      <c r="M25" s="59">
        <f t="shared" si="1"/>
        <v>3697704.9699999997</v>
      </c>
      <c r="N25" s="241">
        <v>-2839563.8168049576</v>
      </c>
      <c r="O25" s="243">
        <v>-858141.15319504205</v>
      </c>
      <c r="P25" s="62">
        <f t="shared" si="2"/>
        <v>858141.1531950424</v>
      </c>
      <c r="Q25" s="63">
        <f t="shared" si="3"/>
        <v>-858141.1531950424</v>
      </c>
      <c r="R25" s="63">
        <f t="shared" si="4"/>
        <v>0</v>
      </c>
      <c r="S25" s="60">
        <f t="shared" si="5"/>
        <v>-858141.1531950424</v>
      </c>
      <c r="T25" s="46">
        <f t="shared" si="6"/>
        <v>0</v>
      </c>
      <c r="U25" s="46" t="e">
        <f t="shared" si="7"/>
        <v>#DIV/0!</v>
      </c>
      <c r="V25" s="46" t="e">
        <f t="shared" si="8"/>
        <v>#DIV/0!</v>
      </c>
      <c r="W25" s="64">
        <f t="shared" si="9"/>
        <v>82</v>
      </c>
      <c r="X25" s="59">
        <f t="shared" si="10"/>
        <v>0</v>
      </c>
      <c r="Y25" s="65">
        <v>1974</v>
      </c>
      <c r="Z25" s="66">
        <v>2056</v>
      </c>
      <c r="AA25" s="50">
        <f t="shared" si="11"/>
        <v>39</v>
      </c>
      <c r="AB25" s="50">
        <f t="shared" si="12"/>
        <v>2061</v>
      </c>
      <c r="AC25" s="51">
        <f t="shared" si="13"/>
        <v>2062</v>
      </c>
      <c r="AD25" s="52">
        <f>(B25*$AD$10)*VLOOKUP(AB25,'GI Factors'!A:M,4,FALSE)+(C25*$AD$10)*VLOOKUP(AB25,'GI Factors'!A:M,7,FALSE)+(D25*$AD$10)*VLOOKUP(AB25,'GI Factors'!A:M,10,FALSE)+(E25*$AD$10)*VLOOKUP(AB25,'GI Factors'!A:M,13,FALSE)</f>
        <v>478054.61300434428</v>
      </c>
      <c r="AE25" s="52">
        <f>(B25*$AE$10)*VLOOKUP(AC25,'GI Factors'!A:M,4,FALSE)+(C25*$AE$10)*VLOOKUP(AC25,'GI Factors'!A:M,7,FALSE)+(D25*$AE$10)*VLOOKUP(AC25,'GI Factors'!A:M,10,FALSE)+(E25*$AE$10)*VLOOKUP(AC25,'GI Factors'!A:M,13,FALSE)</f>
        <v>1158400.6093675969</v>
      </c>
      <c r="AF25" s="53">
        <f t="shared" si="14"/>
        <v>1636455.2223719412</v>
      </c>
      <c r="AG25" s="53">
        <f t="shared" si="15"/>
        <v>1636455.2223719412</v>
      </c>
      <c r="AH25" s="54">
        <v>0</v>
      </c>
      <c r="AI25" s="53">
        <f t="shared" si="17"/>
        <v>1636455.2223719412</v>
      </c>
      <c r="AJ25" s="53"/>
      <c r="AK25" s="55">
        <f t="shared" si="18"/>
        <v>41960.390317229263</v>
      </c>
      <c r="AL25" s="55">
        <f t="shared" si="19"/>
        <v>41960.390317229263</v>
      </c>
      <c r="AM25" s="55">
        <f t="shared" si="19"/>
        <v>41960.390317229263</v>
      </c>
      <c r="AN25" s="55">
        <f t="shared" si="19"/>
        <v>41960.390317229263</v>
      </c>
      <c r="AO25" s="55">
        <f t="shared" si="20"/>
        <v>41960.390317229263</v>
      </c>
    </row>
    <row r="26" spans="1:41" s="56" customFormat="1" ht="11.25">
      <c r="A26" s="57" t="s">
        <v>54</v>
      </c>
      <c r="B26" s="38">
        <v>7175939.3844995787</v>
      </c>
      <c r="C26" s="38">
        <v>7840664.9768835977</v>
      </c>
      <c r="D26" s="38">
        <v>537474.77375697368</v>
      </c>
      <c r="E26" s="39">
        <v>-6883370.5204164311</v>
      </c>
      <c r="F26" s="58">
        <v>8670708.6147237197</v>
      </c>
      <c r="G26" s="58"/>
      <c r="H26" s="58">
        <f t="shared" si="0"/>
        <v>8670708.6147237197</v>
      </c>
      <c r="I26" s="59">
        <f>B26*VLOOKUP(I$9,'GI Factors'!A:M,4,FALSE)+C26*VLOOKUP(I$9,'GI Factors'!A:M,7,FALSE)+D26*VLOOKUP(I$9,'GI Factors'!A:M,10,FALSE)+E26*VLOOKUP(I$9,'GI Factors'!A:M,13,FALSE)</f>
        <v>8827243.8595834728</v>
      </c>
      <c r="J26" s="60">
        <v>8783850.2699999996</v>
      </c>
      <c r="K26" s="59">
        <v>671970</v>
      </c>
      <c r="L26" s="61"/>
      <c r="M26" s="59">
        <f t="shared" si="1"/>
        <v>9455820.2699999996</v>
      </c>
      <c r="N26" s="241"/>
      <c r="O26" s="243"/>
      <c r="P26" s="62">
        <f t="shared" si="2"/>
        <v>9998355.0989906006</v>
      </c>
      <c r="Q26" s="63">
        <f t="shared" si="3"/>
        <v>-542534.828990601</v>
      </c>
      <c r="R26" s="63">
        <f t="shared" si="4"/>
        <v>0</v>
      </c>
      <c r="S26" s="60">
        <f t="shared" si="5"/>
        <v>-542534.828990601</v>
      </c>
      <c r="T26" s="46">
        <f t="shared" si="6"/>
        <v>0</v>
      </c>
      <c r="U26" s="46" t="e">
        <f t="shared" si="7"/>
        <v>#DIV/0!</v>
      </c>
      <c r="V26" s="46" t="e">
        <f t="shared" si="8"/>
        <v>#DIV/0!</v>
      </c>
      <c r="W26" s="64">
        <f t="shared" si="9"/>
        <v>41</v>
      </c>
      <c r="X26" s="59">
        <f t="shared" si="10"/>
        <v>9455820.2699999996</v>
      </c>
      <c r="Y26" s="65">
        <v>2002</v>
      </c>
      <c r="Z26" s="66">
        <v>2043</v>
      </c>
      <c r="AA26" s="50">
        <f t="shared" si="11"/>
        <v>26</v>
      </c>
      <c r="AB26" s="50">
        <f t="shared" si="12"/>
        <v>2048</v>
      </c>
      <c r="AC26" s="51">
        <f t="shared" si="13"/>
        <v>2049</v>
      </c>
      <c r="AD26" s="52">
        <f>(B26*$AD$10)*VLOOKUP(AB26,'GI Factors'!A:M,4,FALSE)+(C26*$AD$10)*VLOOKUP(AB26,'GI Factors'!A:M,7,FALSE)+(D26*$AD$10)*VLOOKUP(AB26,'GI Factors'!A:M,10,FALSE)+(E26*$AD$10)*VLOOKUP(AB26,'GI Factors'!A:M,13,FALSE)</f>
        <v>7993553.9747853642</v>
      </c>
      <c r="AE26" s="52">
        <f>(B26*$AE$10)*VLOOKUP(AC26,'GI Factors'!A:M,4,FALSE)+(C26*$AE$10)*VLOOKUP(AC26,'GI Factors'!A:M,7,FALSE)+(D26*$AE$10)*VLOOKUP(AC26,'GI Factors'!A:M,10,FALSE)+(E26*$AE$10)*VLOOKUP(AC26,'GI Factors'!A:M,13,FALSE)</f>
        <v>19335283.295788944</v>
      </c>
      <c r="AF26" s="53">
        <f t="shared" si="14"/>
        <v>27328837.270574309</v>
      </c>
      <c r="AG26" s="53">
        <f t="shared" si="15"/>
        <v>17873017.000574309</v>
      </c>
      <c r="AH26" s="54">
        <f t="shared" ref="AH26:AH43" si="21">RATE(AA26,,-F26,AF26)</f>
        <v>4.5142809605123596E-2</v>
      </c>
      <c r="AI26" s="53">
        <f t="shared" si="17"/>
        <v>5670629.9263176331</v>
      </c>
      <c r="AJ26" s="53"/>
      <c r="AK26" s="55">
        <f t="shared" si="18"/>
        <v>374949.65819136356</v>
      </c>
      <c r="AL26" s="55">
        <f t="shared" si="19"/>
        <v>391875.93922260246</v>
      </c>
      <c r="AM26" s="55">
        <f t="shared" si="19"/>
        <v>409566.32013575739</v>
      </c>
      <c r="AN26" s="55">
        <f t="shared" si="19"/>
        <v>428055.29454631702</v>
      </c>
      <c r="AO26" s="55">
        <f t="shared" si="20"/>
        <v>401111.80302401009</v>
      </c>
    </row>
    <row r="27" spans="1:41" s="56" customFormat="1" ht="11.25">
      <c r="A27" s="57" t="s">
        <v>55</v>
      </c>
      <c r="B27" s="38">
        <v>1188218.3529118234</v>
      </c>
      <c r="C27" s="38">
        <v>1298286.0536266556</v>
      </c>
      <c r="D27" s="38">
        <v>110757.46006480232</v>
      </c>
      <c r="E27" s="39">
        <v>-1089776.1652349504</v>
      </c>
      <c r="F27" s="58">
        <v>1507485.701368331</v>
      </c>
      <c r="G27" s="58"/>
      <c r="H27" s="58">
        <f t="shared" si="0"/>
        <v>1507485.701368331</v>
      </c>
      <c r="I27" s="59">
        <f>B27*VLOOKUP(I$9,'GI Factors'!A:M,4,FALSE)+C27*VLOOKUP(I$9,'GI Factors'!A:M,7,FALSE)+D27*VLOOKUP(I$9,'GI Factors'!A:M,10,FALSE)+E27*VLOOKUP(I$9,'GI Factors'!A:M,13,FALSE)</f>
        <v>1531526.6617934653</v>
      </c>
      <c r="J27" s="60">
        <v>2875046</v>
      </c>
      <c r="K27" s="59">
        <v>282126</v>
      </c>
      <c r="L27" s="61"/>
      <c r="M27" s="59">
        <f t="shared" si="1"/>
        <v>3157172</v>
      </c>
      <c r="N27" s="241">
        <v>-1534038.1242516879</v>
      </c>
      <c r="O27" s="243"/>
      <c r="P27" s="62">
        <f t="shared" si="2"/>
        <v>1623133.8757483121</v>
      </c>
      <c r="Q27" s="63">
        <f t="shared" si="3"/>
        <v>0</v>
      </c>
      <c r="R27" s="63">
        <f t="shared" si="4"/>
        <v>0</v>
      </c>
      <c r="S27" s="60">
        <f t="shared" si="5"/>
        <v>0</v>
      </c>
      <c r="T27" s="46">
        <f t="shared" si="6"/>
        <v>0</v>
      </c>
      <c r="U27" s="46" t="e">
        <f t="shared" si="7"/>
        <v>#DIV/0!</v>
      </c>
      <c r="V27" s="46" t="e">
        <f t="shared" si="8"/>
        <v>#DIV/0!</v>
      </c>
      <c r="W27" s="64">
        <f t="shared" si="9"/>
        <v>40</v>
      </c>
      <c r="X27" s="59">
        <f t="shared" si="10"/>
        <v>1623133.8757483121</v>
      </c>
      <c r="Y27" s="65">
        <v>2003</v>
      </c>
      <c r="Z27" s="66">
        <v>2043</v>
      </c>
      <c r="AA27" s="50">
        <f t="shared" si="11"/>
        <v>26</v>
      </c>
      <c r="AB27" s="50">
        <f t="shared" si="12"/>
        <v>2048</v>
      </c>
      <c r="AC27" s="51">
        <f t="shared" si="13"/>
        <v>2049</v>
      </c>
      <c r="AD27" s="52">
        <f>(B27*$AD$10)*VLOOKUP(AB27,'GI Factors'!A:M,4,FALSE)+(C27*$AD$10)*VLOOKUP(AB27,'GI Factors'!A:M,7,FALSE)+(D27*$AD$10)*VLOOKUP(AB27,'GI Factors'!A:M,10,FALSE)+(E27*$AD$10)*VLOOKUP(AB27,'GI Factors'!A:M,13,FALSE)</f>
        <v>1356983.5601449357</v>
      </c>
      <c r="AE27" s="52">
        <f>(B27*$AE$10)*VLOOKUP(AC27,'GI Factors'!A:M,4,FALSE)+(C27*$AE$10)*VLOOKUP(AC27,'GI Factors'!A:M,7,FALSE)+(D27*$AE$10)*VLOOKUP(AC27,'GI Factors'!A:M,10,FALSE)+(E27*$AE$10)*VLOOKUP(AC27,'GI Factors'!A:M,13,FALSE)</f>
        <v>3280541.7991359564</v>
      </c>
      <c r="AF27" s="53">
        <f t="shared" si="14"/>
        <v>4637525.3592808917</v>
      </c>
      <c r="AG27" s="53">
        <f t="shared" si="15"/>
        <v>3014391.4835325796</v>
      </c>
      <c r="AH27" s="54">
        <f t="shared" si="21"/>
        <v>4.4168298561072579E-2</v>
      </c>
      <c r="AI27" s="53">
        <f t="shared" si="17"/>
        <v>979865.70588941593</v>
      </c>
      <c r="AJ27" s="53"/>
      <c r="AK27" s="55">
        <f t="shared" si="18"/>
        <v>64122.978242353907</v>
      </c>
      <c r="AL27" s="55">
        <f t="shared" si="19"/>
        <v>66955.181089987353</v>
      </c>
      <c r="AM27" s="55">
        <f t="shared" si="19"/>
        <v>69912.477518580592</v>
      </c>
      <c r="AN27" s="55">
        <f t="shared" si="19"/>
        <v>73000.392698765529</v>
      </c>
      <c r="AO27" s="55">
        <f t="shared" si="20"/>
        <v>68497.757387421851</v>
      </c>
    </row>
    <row r="28" spans="1:41" s="56" customFormat="1" ht="11.25">
      <c r="A28" s="57" t="s">
        <v>56</v>
      </c>
      <c r="B28" s="38">
        <v>1248029.2271268519</v>
      </c>
      <c r="C28" s="38">
        <v>1363637.3618759331</v>
      </c>
      <c r="D28" s="38">
        <v>117828.17030744902</v>
      </c>
      <c r="E28" s="39">
        <v>-1066074.5979666132</v>
      </c>
      <c r="F28" s="58">
        <v>1663420.1613436211</v>
      </c>
      <c r="G28" s="58"/>
      <c r="H28" s="58">
        <f t="shared" si="0"/>
        <v>1663420.1613436211</v>
      </c>
      <c r="I28" s="59">
        <f>B28*VLOOKUP(I$9,'GI Factors'!A:M,4,FALSE)+C28*VLOOKUP(I$9,'GI Factors'!A:M,7,FALSE)+D28*VLOOKUP(I$9,'GI Factors'!A:M,10,FALSE)+E28*VLOOKUP(I$9,'GI Factors'!A:M,13,FALSE)</f>
        <v>1685293.7342759939</v>
      </c>
      <c r="J28" s="60">
        <v>0</v>
      </c>
      <c r="K28" s="59">
        <v>0</v>
      </c>
      <c r="L28" s="61"/>
      <c r="M28" s="59">
        <f t="shared" si="1"/>
        <v>0</v>
      </c>
      <c r="N28" s="241"/>
      <c r="O28" s="243"/>
      <c r="P28" s="62">
        <f t="shared" si="2"/>
        <v>196674.84141829237</v>
      </c>
      <c r="Q28" s="63">
        <f t="shared" si="3"/>
        <v>-196674.84141829237</v>
      </c>
      <c r="R28" s="63">
        <f t="shared" si="4"/>
        <v>0</v>
      </c>
      <c r="S28" s="60">
        <f t="shared" si="5"/>
        <v>-196674.84141829237</v>
      </c>
      <c r="T28" s="46">
        <f t="shared" si="6"/>
        <v>0</v>
      </c>
      <c r="U28" s="46" t="e">
        <f t="shared" si="7"/>
        <v>#DIV/0!</v>
      </c>
      <c r="V28" s="46" t="e">
        <f t="shared" si="8"/>
        <v>#DIV/0!</v>
      </c>
      <c r="W28" s="64">
        <f t="shared" si="9"/>
        <v>40</v>
      </c>
      <c r="X28" s="59">
        <f t="shared" si="10"/>
        <v>0</v>
      </c>
      <c r="Y28" s="65">
        <v>2016</v>
      </c>
      <c r="Z28" s="66">
        <v>2056</v>
      </c>
      <c r="AA28" s="50">
        <f t="shared" si="11"/>
        <v>39</v>
      </c>
      <c r="AB28" s="50">
        <f t="shared" si="12"/>
        <v>2061</v>
      </c>
      <c r="AC28" s="51">
        <f t="shared" si="13"/>
        <v>2062</v>
      </c>
      <c r="AD28" s="52">
        <f>(B28*$AD$10)*VLOOKUP(AB28,'GI Factors'!A:M,4,FALSE)+(C28*$AD$10)*VLOOKUP(AB28,'GI Factors'!A:M,7,FALSE)+(D28*$AD$10)*VLOOKUP(AB28,'GI Factors'!A:M,10,FALSE)+(E28*$AD$10)*VLOOKUP(AB28,'GI Factors'!A:M,13,FALSE)</f>
        <v>2301998.5842957357</v>
      </c>
      <c r="AE28" s="52">
        <f>(B28*$AE$10)*VLOOKUP(AC28,'GI Factors'!A:M,4,FALSE)+(C28*$AE$10)*VLOOKUP(AC28,'GI Factors'!A:M,7,FALSE)+(D28*$AE$10)*VLOOKUP(AC28,'GI Factors'!A:M,10,FALSE)+(E28*$AE$10)*VLOOKUP(AC28,'GI Factors'!A:M,13,FALSE)</f>
        <v>5564995.0724359443</v>
      </c>
      <c r="AF28" s="53">
        <f t="shared" si="14"/>
        <v>7866993.65673168</v>
      </c>
      <c r="AG28" s="53">
        <f t="shared" si="15"/>
        <v>7866993.65673168</v>
      </c>
      <c r="AH28" s="54">
        <f t="shared" si="21"/>
        <v>4.0645329603405694E-2</v>
      </c>
      <c r="AI28" s="53">
        <f t="shared" si="17"/>
        <v>1663420.161343615</v>
      </c>
      <c r="AJ28" s="53"/>
      <c r="AK28" s="55">
        <f t="shared" si="18"/>
        <v>85739.210257254425</v>
      </c>
      <c r="AL28" s="55">
        <f t="shared" si="19"/>
        <v>89224.108718096235</v>
      </c>
      <c r="AM28" s="55">
        <f t="shared" si="19"/>
        <v>92850.652025513366</v>
      </c>
      <c r="AN28" s="55">
        <f t="shared" si="19"/>
        <v>96624.59738098149</v>
      </c>
      <c r="AO28" s="55">
        <f t="shared" si="20"/>
        <v>91109.642095461371</v>
      </c>
    </row>
    <row r="29" spans="1:41" s="56" customFormat="1" ht="11.25">
      <c r="A29" s="57" t="s">
        <v>57</v>
      </c>
      <c r="B29" s="38">
        <v>15784388.124417491</v>
      </c>
      <c r="C29" s="38">
        <v>14909240.261760585</v>
      </c>
      <c r="D29" s="38">
        <v>668308.13680099987</v>
      </c>
      <c r="E29" s="39">
        <v>-828432.67611856281</v>
      </c>
      <c r="F29" s="58">
        <v>30533503.846860513</v>
      </c>
      <c r="G29" s="58"/>
      <c r="H29" s="58">
        <f t="shared" si="0"/>
        <v>30533503.846860513</v>
      </c>
      <c r="I29" s="59">
        <f>B29*VLOOKUP(I$9,'GI Factors'!A:M,4,FALSE)+C29*VLOOKUP(I$9,'GI Factors'!A:M,7,FALSE)+D29*VLOOKUP(I$9,'GI Factors'!A:M,10,FALSE)+E29*VLOOKUP(I$9,'GI Factors'!A:M,13,FALSE)</f>
        <v>30351080.267336544</v>
      </c>
      <c r="J29" s="60">
        <v>22689049.920000002</v>
      </c>
      <c r="K29" s="59">
        <v>537602</v>
      </c>
      <c r="L29" s="61"/>
      <c r="M29" s="59">
        <f t="shared" si="1"/>
        <v>23226651.920000002</v>
      </c>
      <c r="N29" s="241"/>
      <c r="O29" s="243"/>
      <c r="P29" s="62">
        <f t="shared" si="2"/>
        <v>38780823.635404631</v>
      </c>
      <c r="Q29" s="63">
        <f t="shared" si="3"/>
        <v>-15554171.71540463</v>
      </c>
      <c r="R29" s="63">
        <f t="shared" si="4"/>
        <v>0</v>
      </c>
      <c r="S29" s="60">
        <f t="shared" si="5"/>
        <v>-15554171.71540463</v>
      </c>
      <c r="T29" s="46">
        <f t="shared" si="6"/>
        <v>0</v>
      </c>
      <c r="U29" s="46" t="e">
        <f t="shared" si="7"/>
        <v>#DIV/0!</v>
      </c>
      <c r="V29" s="46" t="e">
        <f t="shared" si="8"/>
        <v>#DIV/0!</v>
      </c>
      <c r="W29" s="64">
        <f t="shared" si="9"/>
        <v>52</v>
      </c>
      <c r="X29" s="59">
        <f t="shared" si="10"/>
        <v>23226651.920000002</v>
      </c>
      <c r="Y29" s="65">
        <v>1976</v>
      </c>
      <c r="Z29" s="66">
        <v>2028</v>
      </c>
      <c r="AA29" s="50">
        <f t="shared" si="11"/>
        <v>11</v>
      </c>
      <c r="AB29" s="50">
        <f t="shared" si="12"/>
        <v>2033</v>
      </c>
      <c r="AC29" s="51">
        <f t="shared" si="13"/>
        <v>2034</v>
      </c>
      <c r="AD29" s="52">
        <f>(B29*$AD$10)*VLOOKUP(AB29,'GI Factors'!A:M,4,FALSE)+(C29*$AD$10)*VLOOKUP(AB29,'GI Factors'!A:M,7,FALSE)+(D29*$AD$10)*VLOOKUP(AB29,'GI Factors'!A:M,10,FALSE)+(E29*$AD$10)*VLOOKUP(AB29,'GI Factors'!A:M,13,FALSE)</f>
        <v>14481287.244762709</v>
      </c>
      <c r="AE29" s="52">
        <f>(B29*$AE$10)*VLOOKUP(AC29,'GI Factors'!A:M,4,FALSE)+(C29*$AE$10)*VLOOKUP(AC29,'GI Factors'!A:M,7,FALSE)+(D29*$AE$10)*VLOOKUP(AC29,'GI Factors'!A:M,10,FALSE)+(E29*$AE$10)*VLOOKUP(AC29,'GI Factors'!A:M,13,FALSE)</f>
        <v>34704147.609896816</v>
      </c>
      <c r="AF29" s="53">
        <f t="shared" si="14"/>
        <v>49185434.854659528</v>
      </c>
      <c r="AG29" s="53">
        <f t="shared" si="15"/>
        <v>25958782.934659526</v>
      </c>
      <c r="AH29" s="54">
        <f t="shared" si="21"/>
        <v>4.4296024366286817E-2</v>
      </c>
      <c r="AI29" s="53">
        <f t="shared" si="17"/>
        <v>16114782.779442197</v>
      </c>
      <c r="AJ29" s="53"/>
      <c r="AK29" s="55">
        <f t="shared" si="18"/>
        <v>1882356.682839985</v>
      </c>
      <c r="AL29" s="55">
        <f t="shared" si="19"/>
        <v>1965737.6003291078</v>
      </c>
      <c r="AM29" s="55">
        <f t="shared" si="19"/>
        <v>2052811.9609710122</v>
      </c>
      <c r="AN29" s="55">
        <f t="shared" si="19"/>
        <v>2143743.3696135893</v>
      </c>
      <c r="AO29" s="55">
        <f t="shared" si="20"/>
        <v>2011162.4034384238</v>
      </c>
    </row>
    <row r="30" spans="1:41" s="56" customFormat="1" ht="11.25">
      <c r="A30" s="57" t="s">
        <v>58</v>
      </c>
      <c r="B30" s="38">
        <v>3044964</v>
      </c>
      <c r="C30" s="38">
        <v>3859696</v>
      </c>
      <c r="D30" s="38">
        <v>1662840</v>
      </c>
      <c r="E30" s="39">
        <v>-2151560</v>
      </c>
      <c r="F30" s="58">
        <v>6415940</v>
      </c>
      <c r="G30" s="58"/>
      <c r="H30" s="58">
        <f t="shared" si="0"/>
        <v>6415940</v>
      </c>
      <c r="I30" s="59">
        <f>B30*VLOOKUP(I$9,'GI Factors'!A:M,4,FALSE)+C30*VLOOKUP(I$9,'GI Factors'!A:M,7,FALSE)+D30*VLOOKUP(I$9,'GI Factors'!A:M,10,FALSE)+E30*VLOOKUP(I$9,'GI Factors'!A:M,13,FALSE)</f>
        <v>6445248.9221260464</v>
      </c>
      <c r="J30" s="60">
        <v>0</v>
      </c>
      <c r="K30" s="59">
        <v>0</v>
      </c>
      <c r="L30" s="61"/>
      <c r="M30" s="59">
        <f t="shared" si="1"/>
        <v>0</v>
      </c>
      <c r="N30" s="241"/>
      <c r="O30" s="243"/>
      <c r="P30" s="62">
        <f t="shared" si="2"/>
        <v>594224.43542699516</v>
      </c>
      <c r="Q30" s="63">
        <f t="shared" si="3"/>
        <v>-594224.43542699516</v>
      </c>
      <c r="R30" s="63">
        <f t="shared" si="4"/>
        <v>0</v>
      </c>
      <c r="S30" s="60">
        <f t="shared" si="5"/>
        <v>-594224.43542699516</v>
      </c>
      <c r="T30" s="46">
        <f t="shared" si="6"/>
        <v>0</v>
      </c>
      <c r="U30" s="46" t="e">
        <f t="shared" si="7"/>
        <v>#DIV/0!</v>
      </c>
      <c r="V30" s="46" t="e">
        <f t="shared" si="8"/>
        <v>#DIV/0!</v>
      </c>
      <c r="W30" s="64">
        <f t="shared" si="9"/>
        <v>30</v>
      </c>
      <c r="X30" s="59">
        <f t="shared" si="10"/>
        <v>0</v>
      </c>
      <c r="Y30" s="65">
        <v>2016</v>
      </c>
      <c r="Z30" s="66">
        <v>2046</v>
      </c>
      <c r="AA30" s="50">
        <f t="shared" si="11"/>
        <v>29</v>
      </c>
      <c r="AB30" s="50">
        <f t="shared" si="12"/>
        <v>2051</v>
      </c>
      <c r="AC30" s="51">
        <f t="shared" si="13"/>
        <v>2052</v>
      </c>
      <c r="AD30" s="52">
        <f>(B30*$AD$10)*VLOOKUP(AB30,'GI Factors'!A:M,4,FALSE)+(C30*$AD$10)*VLOOKUP(AB30,'GI Factors'!A:M,7,FALSE)+(D30*$AD$10)*VLOOKUP(AB30,'GI Factors'!A:M,10,FALSE)+(E30*$AD$10)*VLOOKUP(AB30,'GI Factors'!A:M,13,FALSE)</f>
        <v>5233642.9176673973</v>
      </c>
      <c r="AE30" s="52">
        <f>(B30*$AE$10)*VLOOKUP(AC30,'GI Factors'!A:M,4,FALSE)+(C30*$AE$10)*VLOOKUP(AC30,'GI Factors'!A:M,7,FALSE)+(D30*$AE$10)*VLOOKUP(AC30,'GI Factors'!A:M,10,FALSE)+(E30*$AE$10)*VLOOKUP(AC30,'GI Factors'!A:M,13,FALSE)</f>
        <v>12593090.145142481</v>
      </c>
      <c r="AF30" s="53">
        <f t="shared" si="14"/>
        <v>17826733.062809877</v>
      </c>
      <c r="AG30" s="53">
        <f t="shared" si="15"/>
        <v>17826733.062809877</v>
      </c>
      <c r="AH30" s="54">
        <f t="shared" si="21"/>
        <v>3.5866632441817599E-2</v>
      </c>
      <c r="AI30" s="53">
        <f t="shared" si="17"/>
        <v>6415939.9999999925</v>
      </c>
      <c r="AJ30" s="53"/>
      <c r="AK30" s="55">
        <f t="shared" si="18"/>
        <v>359506.56714384258</v>
      </c>
      <c r="AL30" s="55">
        <f t="shared" si="19"/>
        <v>372400.8570480104</v>
      </c>
      <c r="AM30" s="55">
        <f t="shared" si="19"/>
        <v>385757.62170876923</v>
      </c>
      <c r="AN30" s="55">
        <f t="shared" si="19"/>
        <v>399593.44853822736</v>
      </c>
      <c r="AO30" s="55">
        <f t="shared" si="20"/>
        <v>379314.62360971246</v>
      </c>
    </row>
    <row r="31" spans="1:41" s="56" customFormat="1" ht="11.25">
      <c r="A31" s="57" t="s">
        <v>59</v>
      </c>
      <c r="B31" s="38">
        <v>7186697.5706924712</v>
      </c>
      <c r="C31" s="38">
        <v>7852419.7213397212</v>
      </c>
      <c r="D31" s="38">
        <v>488618.9295211304</v>
      </c>
      <c r="E31" s="39">
        <v>-5312777.4283466302</v>
      </c>
      <c r="F31" s="58">
        <v>10214958.793206694</v>
      </c>
      <c r="G31" s="58"/>
      <c r="H31" s="58">
        <f t="shared" si="0"/>
        <v>10214958.793206694</v>
      </c>
      <c r="I31" s="59">
        <f>B31*VLOOKUP(I$9,'GI Factors'!A:M,4,FALSE)+C31*VLOOKUP(I$9,'GI Factors'!A:M,7,FALSE)+D31*VLOOKUP(I$9,'GI Factors'!A:M,10,FALSE)+E31*VLOOKUP(I$9,'GI Factors'!A:M,13,FALSE)</f>
        <v>10302719.802364569</v>
      </c>
      <c r="J31" s="60">
        <v>18259257</v>
      </c>
      <c r="K31" s="59">
        <v>611052</v>
      </c>
      <c r="L31" s="61"/>
      <c r="M31" s="59">
        <f t="shared" si="1"/>
        <v>18870309</v>
      </c>
      <c r="N31" s="241">
        <v>-4734057.5252237748</v>
      </c>
      <c r="O31" s="243"/>
      <c r="P31" s="62">
        <f t="shared" si="2"/>
        <v>14136251.474776225</v>
      </c>
      <c r="Q31" s="63">
        <f t="shared" si="3"/>
        <v>0</v>
      </c>
      <c r="R31" s="63">
        <f t="shared" si="4"/>
        <v>0</v>
      </c>
      <c r="S31" s="60">
        <f t="shared" si="5"/>
        <v>0</v>
      </c>
      <c r="T31" s="46">
        <f t="shared" si="6"/>
        <v>0</v>
      </c>
      <c r="U31" s="46" t="e">
        <f t="shared" si="7"/>
        <v>#DIV/0!</v>
      </c>
      <c r="V31" s="46" t="e">
        <f t="shared" si="8"/>
        <v>#DIV/0!</v>
      </c>
      <c r="W31" s="64">
        <f t="shared" si="9"/>
        <v>52</v>
      </c>
      <c r="X31" s="59">
        <f t="shared" si="10"/>
        <v>14136251.474776225</v>
      </c>
      <c r="Y31" s="65">
        <v>1976</v>
      </c>
      <c r="Z31" s="66">
        <v>2028</v>
      </c>
      <c r="AA31" s="50">
        <f t="shared" si="11"/>
        <v>11</v>
      </c>
      <c r="AB31" s="50">
        <f t="shared" si="12"/>
        <v>2033</v>
      </c>
      <c r="AC31" s="51">
        <f t="shared" si="13"/>
        <v>2034</v>
      </c>
      <c r="AD31" s="52">
        <f>(B31*$AD$10)*VLOOKUP(AB31,'GI Factors'!A:M,4,FALSE)+(C31*$AD$10)*VLOOKUP(AB31,'GI Factors'!A:M,7,FALSE)+(D31*$AD$10)*VLOOKUP(AB31,'GI Factors'!A:M,10,FALSE)+(E31*$AD$10)*VLOOKUP(AB31,'GI Factors'!A:M,13,FALSE)</f>
        <v>5260468.3028931692</v>
      </c>
      <c r="AE31" s="52">
        <f>(B31*$AE$10)*VLOOKUP(AC31,'GI Factors'!A:M,4,FALSE)+(C31*$AE$10)*VLOOKUP(AC31,'GI Factors'!A:M,7,FALSE)+(D31*$AE$10)*VLOOKUP(AC31,'GI Factors'!A:M,10,FALSE)+(E31*$AE$10)*VLOOKUP(AC31,'GI Factors'!A:M,13,FALSE)</f>
        <v>12668436.006579116</v>
      </c>
      <c r="AF31" s="53">
        <f t="shared" si="14"/>
        <v>17928904.309472285</v>
      </c>
      <c r="AG31" s="53">
        <f t="shared" si="15"/>
        <v>3792652.83469606</v>
      </c>
      <c r="AH31" s="54">
        <f t="shared" si="21"/>
        <v>5.2472236351570889E-2</v>
      </c>
      <c r="AI31" s="53">
        <f t="shared" si="17"/>
        <v>2160856.6677937252</v>
      </c>
      <c r="AJ31" s="53"/>
      <c r="AK31" s="55">
        <f t="shared" si="18"/>
        <v>263531.61095518345</v>
      </c>
      <c r="AL31" s="55">
        <f t="shared" si="19"/>
        <v>277359.70393133408</v>
      </c>
      <c r="AM31" s="55">
        <f t="shared" si="19"/>
        <v>291913.38787042076</v>
      </c>
      <c r="AN31" s="55">
        <f t="shared" si="19"/>
        <v>307230.73615294526</v>
      </c>
      <c r="AO31" s="55">
        <f t="shared" si="20"/>
        <v>285008.8597274709</v>
      </c>
    </row>
    <row r="32" spans="1:41" s="56" customFormat="1" ht="11.25">
      <c r="A32" s="57" t="s">
        <v>60</v>
      </c>
      <c r="B32" s="38">
        <v>7186697.5706924712</v>
      </c>
      <c r="C32" s="38">
        <v>7852419.7213397212</v>
      </c>
      <c r="D32" s="38">
        <v>488618.9295211304</v>
      </c>
      <c r="E32" s="39">
        <v>-5312777.4283466302</v>
      </c>
      <c r="F32" s="58">
        <v>10214958.793206694</v>
      </c>
      <c r="G32" s="58"/>
      <c r="H32" s="58">
        <f t="shared" si="0"/>
        <v>10214958.793206694</v>
      </c>
      <c r="I32" s="59">
        <f>B32*VLOOKUP(I$9,'GI Factors'!A:M,4,FALSE)+C32*VLOOKUP(I$9,'GI Factors'!A:M,7,FALSE)+D32*VLOOKUP(I$9,'GI Factors'!A:M,10,FALSE)+E32*VLOOKUP(I$9,'GI Factors'!A:M,13,FALSE)</f>
        <v>10302719.802364569</v>
      </c>
      <c r="J32" s="60">
        <v>18207600</v>
      </c>
      <c r="K32" s="59">
        <v>614575</v>
      </c>
      <c r="L32" s="61"/>
      <c r="M32" s="59">
        <f t="shared" si="1"/>
        <v>18822175</v>
      </c>
      <c r="N32" s="241">
        <v>-4760289.2670805603</v>
      </c>
      <c r="O32" s="243"/>
      <c r="P32" s="62">
        <f t="shared" si="2"/>
        <v>14061885.73291944</v>
      </c>
      <c r="Q32" s="63">
        <f t="shared" si="3"/>
        <v>0</v>
      </c>
      <c r="R32" s="63">
        <f t="shared" si="4"/>
        <v>0</v>
      </c>
      <c r="S32" s="60">
        <f t="shared" si="5"/>
        <v>0</v>
      </c>
      <c r="T32" s="46">
        <f t="shared" si="6"/>
        <v>0</v>
      </c>
      <c r="U32" s="46" t="e">
        <f t="shared" si="7"/>
        <v>#DIV/0!</v>
      </c>
      <c r="V32" s="46" t="e">
        <f t="shared" si="8"/>
        <v>#DIV/0!</v>
      </c>
      <c r="W32" s="64">
        <f t="shared" si="9"/>
        <v>51</v>
      </c>
      <c r="X32" s="59">
        <f t="shared" si="10"/>
        <v>14061885.73291944</v>
      </c>
      <c r="Y32" s="65">
        <v>1977</v>
      </c>
      <c r="Z32" s="66">
        <v>2028</v>
      </c>
      <c r="AA32" s="50">
        <f t="shared" si="11"/>
        <v>11</v>
      </c>
      <c r="AB32" s="50">
        <f t="shared" si="12"/>
        <v>2033</v>
      </c>
      <c r="AC32" s="51">
        <f t="shared" si="13"/>
        <v>2034</v>
      </c>
      <c r="AD32" s="52">
        <f>(B32*$AD$10)*VLOOKUP(AB32,'GI Factors'!A:M,4,FALSE)+(C32*$AD$10)*VLOOKUP(AB32,'GI Factors'!A:M,7,FALSE)+(D32*$AD$10)*VLOOKUP(AB32,'GI Factors'!A:M,10,FALSE)+(E32*$AD$10)*VLOOKUP(AB32,'GI Factors'!A:M,13,FALSE)</f>
        <v>5260468.3028931692</v>
      </c>
      <c r="AE32" s="52">
        <f>(B32*$AE$10)*VLOOKUP(AC32,'GI Factors'!A:M,4,FALSE)+(C32*$AE$10)*VLOOKUP(AC32,'GI Factors'!A:M,7,FALSE)+(D32*$AE$10)*VLOOKUP(AC32,'GI Factors'!A:M,10,FALSE)+(E32*$AE$10)*VLOOKUP(AC32,'GI Factors'!A:M,13,FALSE)</f>
        <v>12668436.006579116</v>
      </c>
      <c r="AF32" s="53">
        <f t="shared" si="14"/>
        <v>17928904.309472285</v>
      </c>
      <c r="AG32" s="53">
        <f t="shared" si="15"/>
        <v>3867018.5765528455</v>
      </c>
      <c r="AH32" s="54">
        <f t="shared" si="21"/>
        <v>5.2472236351570889E-2</v>
      </c>
      <c r="AI32" s="53">
        <f t="shared" si="17"/>
        <v>2203226.4063779158</v>
      </c>
      <c r="AJ32" s="53"/>
      <c r="AK32" s="55">
        <f t="shared" si="18"/>
        <v>268698.89744450076</v>
      </c>
      <c r="AL32" s="55">
        <f t="shared" si="19"/>
        <v>282798.1294986151</v>
      </c>
      <c r="AM32" s="55">
        <f t="shared" si="19"/>
        <v>297637.17978944856</v>
      </c>
      <c r="AN32" s="55">
        <f t="shared" si="19"/>
        <v>313254.86823437549</v>
      </c>
      <c r="AO32" s="55">
        <f t="shared" si="20"/>
        <v>290597.26874173497</v>
      </c>
    </row>
    <row r="33" spans="1:41" s="56" customFormat="1" ht="11.25">
      <c r="A33" s="57" t="s">
        <v>61</v>
      </c>
      <c r="B33" s="38">
        <v>5301701.0527568003</v>
      </c>
      <c r="C33" s="38">
        <v>5792811.16170632</v>
      </c>
      <c r="D33" s="38">
        <v>277266.53811382077</v>
      </c>
      <c r="E33" s="39">
        <v>-4908842.5022155726</v>
      </c>
      <c r="F33" s="58">
        <v>6462936.250361369</v>
      </c>
      <c r="G33" s="58"/>
      <c r="H33" s="58">
        <f t="shared" si="0"/>
        <v>6462936.250361369</v>
      </c>
      <c r="I33" s="59">
        <f>B33*VLOOKUP(I$9,'GI Factors'!A:M,4,FALSE)+C33*VLOOKUP(I$9,'GI Factors'!A:M,7,FALSE)+D33*VLOOKUP(I$9,'GI Factors'!A:M,10,FALSE)+E33*VLOOKUP(I$9,'GI Factors'!A:M,13,FALSE)</f>
        <v>6569385.9342674809</v>
      </c>
      <c r="J33" s="60">
        <v>11786962</v>
      </c>
      <c r="K33" s="59">
        <v>1009476</v>
      </c>
      <c r="L33" s="61"/>
      <c r="M33" s="59">
        <f t="shared" si="1"/>
        <v>12796438</v>
      </c>
      <c r="N33" s="241">
        <v>-6288696.0762690715</v>
      </c>
      <c r="O33" s="243">
        <v>-6507741.9237309303</v>
      </c>
      <c r="P33" s="62">
        <f t="shared" si="2"/>
        <v>6507741.9237309285</v>
      </c>
      <c r="Q33" s="63">
        <f t="shared" si="3"/>
        <v>-6507741.9237309285</v>
      </c>
      <c r="R33" s="63">
        <f t="shared" si="4"/>
        <v>0</v>
      </c>
      <c r="S33" s="60">
        <f t="shared" si="5"/>
        <v>-6507741.9237309285</v>
      </c>
      <c r="T33" s="46">
        <f t="shared" si="6"/>
        <v>0</v>
      </c>
      <c r="U33" s="46" t="e">
        <f t="shared" si="7"/>
        <v>#DIV/0!</v>
      </c>
      <c r="V33" s="46" t="e">
        <f t="shared" si="8"/>
        <v>#DIV/0!</v>
      </c>
      <c r="W33" s="64">
        <f t="shared" si="9"/>
        <v>40</v>
      </c>
      <c r="X33" s="59">
        <f t="shared" si="10"/>
        <v>0</v>
      </c>
      <c r="Y33" s="65">
        <v>2005</v>
      </c>
      <c r="Z33" s="66">
        <v>2045</v>
      </c>
      <c r="AA33" s="50">
        <f t="shared" si="11"/>
        <v>28</v>
      </c>
      <c r="AB33" s="50">
        <f t="shared" si="12"/>
        <v>2050</v>
      </c>
      <c r="AC33" s="51">
        <f t="shared" si="13"/>
        <v>2051</v>
      </c>
      <c r="AD33" s="52">
        <f>(B33*$AD$10)*VLOOKUP(AB33,'GI Factors'!A:M,4,FALSE)+(C33*$AD$10)*VLOOKUP(AB33,'GI Factors'!A:M,7,FALSE)+(D33*$AD$10)*VLOOKUP(AB33,'GI Factors'!A:M,10,FALSE)+(E33*$AD$10)*VLOOKUP(AB33,'GI Factors'!A:M,13,FALSE)</f>
        <v>6345445.9650617177</v>
      </c>
      <c r="AE33" s="52">
        <f>(B33*$AE$10)*VLOOKUP(AC33,'GI Factors'!A:M,4,FALSE)+(C33*$AE$10)*VLOOKUP(AC33,'GI Factors'!A:M,7,FALSE)+(D33*$AE$10)*VLOOKUP(AC33,'GI Factors'!A:M,10,FALSE)+(E33*$AE$10)*VLOOKUP(AC33,'GI Factors'!A:M,13,FALSE)</f>
        <v>15347027.114041373</v>
      </c>
      <c r="AF33" s="53">
        <f t="shared" si="14"/>
        <v>21692473.07910309</v>
      </c>
      <c r="AG33" s="53">
        <f t="shared" si="15"/>
        <v>21692473.07910309</v>
      </c>
      <c r="AH33" s="54">
        <f t="shared" si="21"/>
        <v>4.4194496311263098E-2</v>
      </c>
      <c r="AI33" s="53">
        <f t="shared" si="17"/>
        <v>6462936.250361383</v>
      </c>
      <c r="AJ33" s="53"/>
      <c r="AK33" s="55">
        <f t="shared" si="18"/>
        <v>406836.98986836593</v>
      </c>
      <c r="AL33" s="55">
        <f t="shared" si="19"/>
        <v>424816.94571638876</v>
      </c>
      <c r="AM33" s="55">
        <f t="shared" si="19"/>
        <v>443591.51665681374</v>
      </c>
      <c r="AN33" s="55">
        <f t="shared" si="19"/>
        <v>463195.82030341087</v>
      </c>
      <c r="AO33" s="55">
        <f t="shared" si="20"/>
        <v>434610.31813624478</v>
      </c>
    </row>
    <row r="34" spans="1:41" s="56" customFormat="1" ht="11.25">
      <c r="A34" s="57" t="s">
        <v>62</v>
      </c>
      <c r="B34" s="38">
        <v>20823638.053180333</v>
      </c>
      <c r="C34" s="38">
        <v>24415451.443546228</v>
      </c>
      <c r="D34" s="38">
        <v>1736580.3219031852</v>
      </c>
      <c r="E34" s="39">
        <v>-1503514.065652044</v>
      </c>
      <c r="F34" s="58">
        <v>45472155.752977699</v>
      </c>
      <c r="G34" s="58"/>
      <c r="H34" s="58">
        <f t="shared" si="0"/>
        <v>45472155.752977699</v>
      </c>
      <c r="I34" s="59">
        <f>B34*VLOOKUP(I$9,'GI Factors'!A:M,4,FALSE)+C34*VLOOKUP(I$9,'GI Factors'!A:M,7,FALSE)+D34*VLOOKUP(I$9,'GI Factors'!A:M,10,FALSE)+E34*VLOOKUP(I$9,'GI Factors'!A:M,13,FALSE)</f>
        <v>45059641.477440789</v>
      </c>
      <c r="J34" s="60">
        <v>37572671.740000002</v>
      </c>
      <c r="K34" s="59">
        <v>1215461</v>
      </c>
      <c r="L34" s="61"/>
      <c r="M34" s="59">
        <f t="shared" si="1"/>
        <v>38788132.740000002</v>
      </c>
      <c r="N34" s="241">
        <v>0</v>
      </c>
      <c r="O34" s="243"/>
      <c r="P34" s="62">
        <f t="shared" si="2"/>
        <v>55835917.491169661</v>
      </c>
      <c r="Q34" s="63">
        <f t="shared" si="3"/>
        <v>-17047784.751169659</v>
      </c>
      <c r="R34" s="63">
        <f t="shared" si="4"/>
        <v>0</v>
      </c>
      <c r="S34" s="60">
        <f t="shared" si="5"/>
        <v>-17047784.751169659</v>
      </c>
      <c r="T34" s="46">
        <f t="shared" si="6"/>
        <v>0</v>
      </c>
      <c r="U34" s="46" t="e">
        <f t="shared" si="7"/>
        <v>#DIV/0!</v>
      </c>
      <c r="V34" s="46" t="e">
        <f t="shared" si="8"/>
        <v>#DIV/0!</v>
      </c>
      <c r="W34" s="64">
        <f t="shared" si="9"/>
        <v>51</v>
      </c>
      <c r="X34" s="59">
        <f t="shared" si="10"/>
        <v>38788132.740000002</v>
      </c>
      <c r="Y34" s="65">
        <v>1980</v>
      </c>
      <c r="Z34" s="66">
        <v>2031</v>
      </c>
      <c r="AA34" s="50">
        <f t="shared" si="11"/>
        <v>14</v>
      </c>
      <c r="AB34" s="50">
        <f t="shared" si="12"/>
        <v>2036</v>
      </c>
      <c r="AC34" s="51">
        <f t="shared" si="13"/>
        <v>2037</v>
      </c>
      <c r="AD34" s="52">
        <f>(B34*$AD$10)*VLOOKUP(AB34,'GI Factors'!A:M,4,FALSE)+(C34*$AD$10)*VLOOKUP(AB34,'GI Factors'!A:M,7,FALSE)+(D34*$AD$10)*VLOOKUP(AB34,'GI Factors'!A:M,10,FALSE)+(E34*$AD$10)*VLOOKUP(AB34,'GI Factors'!A:M,13,FALSE)</f>
        <v>22674239.53141626</v>
      </c>
      <c r="AE34" s="52">
        <f>(B34*$AE$10)*VLOOKUP(AC34,'GI Factors'!A:M,4,FALSE)+(C34*$AE$10)*VLOOKUP(AC34,'GI Factors'!A:M,7,FALSE)+(D34*$AE$10)*VLOOKUP(AC34,'GI Factors'!A:M,10,FALSE)+(E34*$AE$10)*VLOOKUP(AC34,'GI Factors'!A:M,13,FALSE)</f>
        <v>54288781.875331104</v>
      </c>
      <c r="AF34" s="53">
        <f t="shared" si="14"/>
        <v>76963021.406747371</v>
      </c>
      <c r="AG34" s="53">
        <f t="shared" si="15"/>
        <v>38174888.666747369</v>
      </c>
      <c r="AH34" s="54">
        <f t="shared" si="21"/>
        <v>3.8302836290098362E-2</v>
      </c>
      <c r="AI34" s="53">
        <f t="shared" si="17"/>
        <v>22554916.004827425</v>
      </c>
      <c r="AJ34" s="53"/>
      <c r="AK34" s="55">
        <f t="shared" si="18"/>
        <v>2111395.8232212244</v>
      </c>
      <c r="AL34" s="55">
        <f t="shared" si="19"/>
        <v>2192268.2717816643</v>
      </c>
      <c r="AM34" s="55">
        <f t="shared" si="19"/>
        <v>2276238.3644996942</v>
      </c>
      <c r="AN34" s="55">
        <f t="shared" si="19"/>
        <v>2363424.7499323674</v>
      </c>
      <c r="AO34" s="55">
        <f t="shared" si="20"/>
        <v>2235831.8023587377</v>
      </c>
    </row>
    <row r="35" spans="1:41" s="56" customFormat="1" ht="11.25">
      <c r="A35" s="57" t="s">
        <v>63</v>
      </c>
      <c r="B35" s="38">
        <v>4980657.0258148527</v>
      </c>
      <c r="C35" s="38">
        <v>5442028.0066090683</v>
      </c>
      <c r="D35" s="38">
        <v>1972145.8932054131</v>
      </c>
      <c r="E35" s="39">
        <v>-1808938.9477899612</v>
      </c>
      <c r="F35" s="58">
        <v>10585891.977839373</v>
      </c>
      <c r="G35" s="58"/>
      <c r="H35" s="58">
        <f t="shared" si="0"/>
        <v>10585891.977839373</v>
      </c>
      <c r="I35" s="59">
        <f>B35*VLOOKUP(I$9,'GI Factors'!A:M,4,FALSE)+C35*VLOOKUP(I$9,'GI Factors'!A:M,7,FALSE)+D35*VLOOKUP(I$9,'GI Factors'!A:M,10,FALSE)+E35*VLOOKUP(I$9,'GI Factors'!A:M,13,FALSE)</f>
        <v>10586986.22455918</v>
      </c>
      <c r="J35" s="60">
        <v>1730820</v>
      </c>
      <c r="K35" s="59">
        <v>375011</v>
      </c>
      <c r="L35" s="61"/>
      <c r="M35" s="59">
        <f t="shared" si="1"/>
        <v>2105831</v>
      </c>
      <c r="N35" s="241">
        <v>0</v>
      </c>
      <c r="O35" s="243"/>
      <c r="P35" s="62">
        <f t="shared" si="2"/>
        <v>5576436.32088558</v>
      </c>
      <c r="Q35" s="63">
        <f t="shared" si="3"/>
        <v>-3470605.32088558</v>
      </c>
      <c r="R35" s="63">
        <f t="shared" si="4"/>
        <v>0</v>
      </c>
      <c r="S35" s="60">
        <f t="shared" si="5"/>
        <v>-3470605.32088558</v>
      </c>
      <c r="T35" s="46">
        <f t="shared" si="6"/>
        <v>0</v>
      </c>
      <c r="U35" s="46" t="e">
        <f t="shared" si="7"/>
        <v>#DIV/0!</v>
      </c>
      <c r="V35" s="46" t="e">
        <f t="shared" si="8"/>
        <v>#DIV/0!</v>
      </c>
      <c r="W35" s="64">
        <f t="shared" si="9"/>
        <v>35</v>
      </c>
      <c r="X35" s="59">
        <f t="shared" si="10"/>
        <v>2105831</v>
      </c>
      <c r="Y35" s="65">
        <v>2010</v>
      </c>
      <c r="Z35" s="66">
        <v>2045</v>
      </c>
      <c r="AA35" s="50">
        <f t="shared" si="11"/>
        <v>28</v>
      </c>
      <c r="AB35" s="50">
        <f t="shared" si="12"/>
        <v>2050</v>
      </c>
      <c r="AC35" s="51">
        <f t="shared" si="13"/>
        <v>2051</v>
      </c>
      <c r="AD35" s="52">
        <f>(B35*$AD$10)*VLOOKUP(AB35,'GI Factors'!A:M,4,FALSE)+(C35*$AD$10)*VLOOKUP(AB35,'GI Factors'!A:M,7,FALSE)+(D35*$AD$10)*VLOOKUP(AB35,'GI Factors'!A:M,10,FALSE)+(E35*$AD$10)*VLOOKUP(AB35,'GI Factors'!A:M,13,FALSE)</f>
        <v>8189303.0582185276</v>
      </c>
      <c r="AE35" s="52">
        <f>(B35*$AE$10)*VLOOKUP(AC35,'GI Factors'!A:M,4,FALSE)+(C35*$AE$10)*VLOOKUP(AC35,'GI Factors'!A:M,7,FALSE)+(D35*$AE$10)*VLOOKUP(AC35,'GI Factors'!A:M,10,FALSE)+(E35*$AE$10)*VLOOKUP(AC35,'GI Factors'!A:M,13,FALSE)</f>
        <v>19692878.54620938</v>
      </c>
      <c r="AF35" s="53">
        <f t="shared" si="14"/>
        <v>27882181.604427908</v>
      </c>
      <c r="AG35" s="53">
        <f t="shared" si="15"/>
        <v>25776350.604427908</v>
      </c>
      <c r="AH35" s="54">
        <f t="shared" si="21"/>
        <v>3.5193182864007286E-2</v>
      </c>
      <c r="AI35" s="53">
        <f t="shared" si="17"/>
        <v>9786381.3869591616</v>
      </c>
      <c r="AJ35" s="53"/>
      <c r="AK35" s="55">
        <f t="shared" si="18"/>
        <v>555206.42782078404</v>
      </c>
      <c r="AL35" s="55">
        <f t="shared" si="19"/>
        <v>574745.90916235314</v>
      </c>
      <c r="AM35" s="55">
        <f t="shared" si="19"/>
        <v>594973.04704384401</v>
      </c>
      <c r="AN35" s="55">
        <f t="shared" si="19"/>
        <v>615912.04228761361</v>
      </c>
      <c r="AO35" s="55">
        <f t="shared" si="20"/>
        <v>585209.35657864879</v>
      </c>
    </row>
    <row r="36" spans="1:41" s="56" customFormat="1" ht="11.25">
      <c r="A36" s="57" t="s">
        <v>64</v>
      </c>
      <c r="B36" s="38">
        <v>7449596.4080136223</v>
      </c>
      <c r="C36" s="38">
        <v>8139671.5494000167</v>
      </c>
      <c r="D36" s="38">
        <v>514328.71702341211</v>
      </c>
      <c r="E36" s="39">
        <v>-6368575.2419475857</v>
      </c>
      <c r="F36" s="58">
        <v>9735021.4324894659</v>
      </c>
      <c r="G36" s="58"/>
      <c r="H36" s="58">
        <f t="shared" si="0"/>
        <v>9735021.4324894659</v>
      </c>
      <c r="I36" s="59">
        <f>B36*VLOOKUP(I$9,'GI Factors'!A:M,4,FALSE)+C36*VLOOKUP(I$9,'GI Factors'!A:M,7,FALSE)+D36*VLOOKUP(I$9,'GI Factors'!A:M,10,FALSE)+E36*VLOOKUP(I$9,'GI Factors'!A:M,13,FALSE)</f>
        <v>9863345.9627107009</v>
      </c>
      <c r="J36" s="60">
        <v>13955073</v>
      </c>
      <c r="K36" s="59">
        <v>386750</v>
      </c>
      <c r="L36" s="61"/>
      <c r="M36" s="59">
        <f t="shared" si="1"/>
        <v>14341823</v>
      </c>
      <c r="N36" s="241">
        <v>-274440.5473882705</v>
      </c>
      <c r="O36" s="243"/>
      <c r="P36" s="62">
        <f t="shared" si="2"/>
        <v>14067382.45261173</v>
      </c>
      <c r="Q36" s="63">
        <f t="shared" si="3"/>
        <v>0</v>
      </c>
      <c r="R36" s="63">
        <f t="shared" si="4"/>
        <v>0</v>
      </c>
      <c r="S36" s="60">
        <f t="shared" si="5"/>
        <v>0</v>
      </c>
      <c r="T36" s="46">
        <f t="shared" si="6"/>
        <v>0</v>
      </c>
      <c r="U36" s="46" t="e">
        <f t="shared" si="7"/>
        <v>#DIV/0!</v>
      </c>
      <c r="V36" s="46" t="e">
        <f t="shared" si="8"/>
        <v>#DIV/0!</v>
      </c>
      <c r="W36" s="64">
        <f t="shared" si="9"/>
        <v>51</v>
      </c>
      <c r="X36" s="59">
        <f t="shared" si="10"/>
        <v>14067382.45261173</v>
      </c>
      <c r="Y36" s="65">
        <v>1980</v>
      </c>
      <c r="Z36" s="66">
        <v>2031</v>
      </c>
      <c r="AA36" s="50">
        <f t="shared" si="11"/>
        <v>14</v>
      </c>
      <c r="AB36" s="50">
        <f t="shared" si="12"/>
        <v>2036</v>
      </c>
      <c r="AC36" s="51">
        <f t="shared" si="13"/>
        <v>2037</v>
      </c>
      <c r="AD36" s="52">
        <f>(B36*$AD$10)*VLOOKUP(AB36,'GI Factors'!A:M,4,FALSE)+(C36*$AD$10)*VLOOKUP(AB36,'GI Factors'!A:M,7,FALSE)+(D36*$AD$10)*VLOOKUP(AB36,'GI Factors'!A:M,10,FALSE)+(E36*$AD$10)*VLOOKUP(AB36,'GI Factors'!A:M,13,FALSE)</f>
        <v>5681997.3625137685</v>
      </c>
      <c r="AE36" s="52">
        <f>(B36*$AE$10)*VLOOKUP(AC36,'GI Factors'!A:M,4,FALSE)+(C36*$AE$10)*VLOOKUP(AC36,'GI Factors'!A:M,7,FALSE)+(D36*$AE$10)*VLOOKUP(AC36,'GI Factors'!A:M,10,FALSE)+(E36*$AE$10)*VLOOKUP(AC36,'GI Factors'!A:M,13,FALSE)</f>
        <v>13708178.450545643</v>
      </c>
      <c r="AF36" s="53">
        <f t="shared" si="14"/>
        <v>19390175.813059412</v>
      </c>
      <c r="AG36" s="53">
        <f t="shared" si="15"/>
        <v>5322793.3604476824</v>
      </c>
      <c r="AH36" s="54">
        <f t="shared" si="21"/>
        <v>5.0448175443335699E-2</v>
      </c>
      <c r="AI36" s="53">
        <f t="shared" si="17"/>
        <v>2672358.824604955</v>
      </c>
      <c r="AJ36" s="53"/>
      <c r="AK36" s="55">
        <f t="shared" si="18"/>
        <v>270746.44315017178</v>
      </c>
      <c r="AL36" s="55">
        <f t="shared" si="19"/>
        <v>284405.10721487075</v>
      </c>
      <c r="AM36" s="55">
        <f t="shared" si="19"/>
        <v>298752.82596062723</v>
      </c>
      <c r="AN36" s="55">
        <f t="shared" si="19"/>
        <v>313824.36093888129</v>
      </c>
      <c r="AO36" s="55">
        <f t="shared" si="20"/>
        <v>291932.18431613775</v>
      </c>
    </row>
    <row r="37" spans="1:41" s="56" customFormat="1" ht="11.25">
      <c r="A37" s="57" t="s">
        <v>65</v>
      </c>
      <c r="B37" s="38">
        <v>7449596.4080136223</v>
      </c>
      <c r="C37" s="38">
        <v>8139671.5494000167</v>
      </c>
      <c r="D37" s="38">
        <v>514328.71702341211</v>
      </c>
      <c r="E37" s="39">
        <v>-6368575.2419475857</v>
      </c>
      <c r="F37" s="58">
        <v>9735021.4324894659</v>
      </c>
      <c r="G37" s="58"/>
      <c r="H37" s="58">
        <f t="shared" si="0"/>
        <v>9735021.4324894659</v>
      </c>
      <c r="I37" s="59">
        <f>B37*VLOOKUP(I$9,'GI Factors'!A:M,4,FALSE)+C37*VLOOKUP(I$9,'GI Factors'!A:M,7,FALSE)+D37*VLOOKUP(I$9,'GI Factors'!A:M,10,FALSE)+E37*VLOOKUP(I$9,'GI Factors'!A:M,13,FALSE)</f>
        <v>9863345.9627107009</v>
      </c>
      <c r="J37" s="60">
        <v>13848819.52</v>
      </c>
      <c r="K37" s="59">
        <v>390039</v>
      </c>
      <c r="L37" s="61"/>
      <c r="M37" s="59">
        <f t="shared" si="1"/>
        <v>14238858.52</v>
      </c>
      <c r="N37" s="241">
        <v>-277931.934597224</v>
      </c>
      <c r="O37" s="243"/>
      <c r="P37" s="62">
        <f t="shared" si="2"/>
        <v>13960926.585402776</v>
      </c>
      <c r="Q37" s="63">
        <f t="shared" si="3"/>
        <v>0</v>
      </c>
      <c r="R37" s="63">
        <f t="shared" si="4"/>
        <v>0</v>
      </c>
      <c r="S37" s="60">
        <f t="shared" si="5"/>
        <v>0</v>
      </c>
      <c r="T37" s="46">
        <f t="shared" si="6"/>
        <v>0</v>
      </c>
      <c r="U37" s="46" t="e">
        <f t="shared" si="7"/>
        <v>#DIV/0!</v>
      </c>
      <c r="V37" s="46" t="e">
        <f t="shared" si="8"/>
        <v>#DIV/0!</v>
      </c>
      <c r="W37" s="64">
        <f t="shared" si="9"/>
        <v>50</v>
      </c>
      <c r="X37" s="59">
        <f t="shared" si="10"/>
        <v>13960926.585402776</v>
      </c>
      <c r="Y37" s="65">
        <v>1981</v>
      </c>
      <c r="Z37" s="66">
        <v>2031</v>
      </c>
      <c r="AA37" s="50">
        <f t="shared" si="11"/>
        <v>14</v>
      </c>
      <c r="AB37" s="50">
        <f t="shared" si="12"/>
        <v>2036</v>
      </c>
      <c r="AC37" s="51">
        <f t="shared" si="13"/>
        <v>2037</v>
      </c>
      <c r="AD37" s="52">
        <f>(B37*$AD$10)*VLOOKUP(AB37,'GI Factors'!A:M,4,FALSE)+(C37*$AD$10)*VLOOKUP(AB37,'GI Factors'!A:M,7,FALSE)+(D37*$AD$10)*VLOOKUP(AB37,'GI Factors'!A:M,10,FALSE)+(E37*$AD$10)*VLOOKUP(AB37,'GI Factors'!A:M,13,FALSE)</f>
        <v>5681997.3625137685</v>
      </c>
      <c r="AE37" s="52">
        <f>(B37*$AE$10)*VLOOKUP(AC37,'GI Factors'!A:M,4,FALSE)+(C37*$AE$10)*VLOOKUP(AC37,'GI Factors'!A:M,7,FALSE)+(D37*$AE$10)*VLOOKUP(AC37,'GI Factors'!A:M,10,FALSE)+(E37*$AE$10)*VLOOKUP(AC37,'GI Factors'!A:M,13,FALSE)</f>
        <v>13708178.450545643</v>
      </c>
      <c r="AF37" s="53">
        <f t="shared" si="14"/>
        <v>19390175.813059412</v>
      </c>
      <c r="AG37" s="53">
        <f t="shared" si="15"/>
        <v>5429249.2276566364</v>
      </c>
      <c r="AH37" s="54">
        <f t="shared" si="21"/>
        <v>5.0448175443335699E-2</v>
      </c>
      <c r="AI37" s="53">
        <f t="shared" si="17"/>
        <v>2725806.0010970542</v>
      </c>
      <c r="AJ37" s="53"/>
      <c r="AK37" s="55">
        <f t="shared" si="18"/>
        <v>276161.37201317516</v>
      </c>
      <c r="AL37" s="55">
        <f t="shared" si="19"/>
        <v>290093.20935916813</v>
      </c>
      <c r="AM37" s="55">
        <f t="shared" si="19"/>
        <v>304727.88247983978</v>
      </c>
      <c r="AN37" s="55">
        <f t="shared" si="19"/>
        <v>320100.84815765894</v>
      </c>
      <c r="AO37" s="55">
        <f t="shared" si="20"/>
        <v>297770.82800246048</v>
      </c>
    </row>
    <row r="38" spans="1:41" s="56" customFormat="1" ht="11.25">
      <c r="A38" s="57" t="s">
        <v>66</v>
      </c>
      <c r="B38" s="38">
        <v>2437752.4504690072</v>
      </c>
      <c r="C38" s="38">
        <v>2663567.6859242902</v>
      </c>
      <c r="D38" s="38">
        <v>138780.87221853976</v>
      </c>
      <c r="E38" s="39">
        <v>-2508080.4332505078</v>
      </c>
      <c r="F38" s="58">
        <v>2732020.5753613296</v>
      </c>
      <c r="G38" s="58"/>
      <c r="H38" s="58">
        <f t="shared" si="0"/>
        <v>2732020.5753613296</v>
      </c>
      <c r="I38" s="59">
        <f>B38*VLOOKUP(I$9,'GI Factors'!A:M,4,FALSE)+C38*VLOOKUP(I$9,'GI Factors'!A:M,7,FALSE)+D38*VLOOKUP(I$9,'GI Factors'!A:M,10,FALSE)+E38*VLOOKUP(I$9,'GI Factors'!A:M,13,FALSE)</f>
        <v>2791966.1434890158</v>
      </c>
      <c r="J38" s="60">
        <v>5657209</v>
      </c>
      <c r="K38" s="59">
        <v>244439</v>
      </c>
      <c r="L38" s="61"/>
      <c r="M38" s="59">
        <f t="shared" si="1"/>
        <v>5901648</v>
      </c>
      <c r="N38" s="241">
        <v>-2201285.3876897278</v>
      </c>
      <c r="O38" s="243"/>
      <c r="P38" s="62">
        <f t="shared" si="2"/>
        <v>3700362.6123102722</v>
      </c>
      <c r="Q38" s="63">
        <f t="shared" si="3"/>
        <v>0</v>
      </c>
      <c r="R38" s="63">
        <f t="shared" si="4"/>
        <v>0</v>
      </c>
      <c r="S38" s="60">
        <f t="shared" si="5"/>
        <v>0</v>
      </c>
      <c r="T38" s="46">
        <f t="shared" si="6"/>
        <v>0</v>
      </c>
      <c r="U38" s="46" t="e">
        <f t="shared" si="7"/>
        <v>#DIV/0!</v>
      </c>
      <c r="V38" s="46" t="e">
        <f t="shared" si="8"/>
        <v>#DIV/0!</v>
      </c>
      <c r="W38" s="64">
        <f t="shared" si="9"/>
        <v>40</v>
      </c>
      <c r="X38" s="59">
        <f t="shared" si="10"/>
        <v>3700362.6123102722</v>
      </c>
      <c r="Y38" s="65">
        <v>1994</v>
      </c>
      <c r="Z38" s="66">
        <v>2034</v>
      </c>
      <c r="AA38" s="50">
        <f t="shared" si="11"/>
        <v>17</v>
      </c>
      <c r="AB38" s="50">
        <f t="shared" si="12"/>
        <v>2039</v>
      </c>
      <c r="AC38" s="51">
        <f t="shared" si="13"/>
        <v>2040</v>
      </c>
      <c r="AD38" s="52">
        <f>(B38*$AD$10)*VLOOKUP(AB38,'GI Factors'!A:M,4,FALSE)+(C38*$AD$10)*VLOOKUP(AB38,'GI Factors'!A:M,7,FALSE)+(D38*$AD$10)*VLOOKUP(AB38,'GI Factors'!A:M,10,FALSE)+(E38*$AD$10)*VLOOKUP(AB38,'GI Factors'!A:M,13,FALSE)</f>
        <v>1881656.6938308286</v>
      </c>
      <c r="AE38" s="52">
        <f>(B38*$AE$10)*VLOOKUP(AC38,'GI Factors'!A:M,4,FALSE)+(C38*$AE$10)*VLOOKUP(AC38,'GI Factors'!A:M,7,FALSE)+(D38*$AE$10)*VLOOKUP(AC38,'GI Factors'!A:M,10,FALSE)+(E38*$AE$10)*VLOOKUP(AC38,'GI Factors'!A:M,13,FALSE)</f>
        <v>4553756.5449696444</v>
      </c>
      <c r="AF38" s="53">
        <f t="shared" si="14"/>
        <v>6435413.2388004735</v>
      </c>
      <c r="AG38" s="53">
        <f t="shared" si="15"/>
        <v>2735050.6264902013</v>
      </c>
      <c r="AH38" s="54">
        <f t="shared" si="21"/>
        <v>5.1690116552751991E-2</v>
      </c>
      <c r="AI38" s="53">
        <f t="shared" si="17"/>
        <v>1161108.7445285672</v>
      </c>
      <c r="AJ38" s="53"/>
      <c r="AK38" s="55">
        <f t="shared" si="18"/>
        <v>104293.4622305274</v>
      </c>
      <c r="AL38" s="55">
        <f t="shared" si="19"/>
        <v>109684.40344891339</v>
      </c>
      <c r="AM38" s="55">
        <f t="shared" si="19"/>
        <v>115354.00304720679</v>
      </c>
      <c r="AN38" s="55">
        <f t="shared" si="19"/>
        <v>121316.66490954341</v>
      </c>
      <c r="AO38" s="55">
        <f t="shared" si="20"/>
        <v>112662.13340904775</v>
      </c>
    </row>
    <row r="39" spans="1:41" s="56" customFormat="1" ht="11.25">
      <c r="A39" s="57" t="s">
        <v>67</v>
      </c>
      <c r="B39" s="38">
        <v>2400598.4996657604</v>
      </c>
      <c r="C39" s="38">
        <v>2622972.0697677322</v>
      </c>
      <c r="D39" s="38">
        <v>132923.68307727302</v>
      </c>
      <c r="E39" s="39">
        <v>-2415499.1088162269</v>
      </c>
      <c r="F39" s="58">
        <v>2740995.1436945386</v>
      </c>
      <c r="G39" s="58"/>
      <c r="H39" s="58">
        <f t="shared" si="0"/>
        <v>2740995.1436945386</v>
      </c>
      <c r="I39" s="59">
        <f>B39*VLOOKUP(I$9,'GI Factors'!A:M,4,FALSE)+C39*VLOOKUP(I$9,'GI Factors'!A:M,7,FALSE)+D39*VLOOKUP(I$9,'GI Factors'!A:M,10,FALSE)+E39*VLOOKUP(I$9,'GI Factors'!A:M,13,FALSE)</f>
        <v>2797627.9013057044</v>
      </c>
      <c r="J39" s="60">
        <v>3802053.98</v>
      </c>
      <c r="K39" s="59">
        <v>165451</v>
      </c>
      <c r="L39" s="61"/>
      <c r="M39" s="59">
        <f t="shared" si="1"/>
        <v>3967504.98</v>
      </c>
      <c r="N39" s="241">
        <v>-287311.40858366434</v>
      </c>
      <c r="O39" s="243"/>
      <c r="P39" s="62">
        <f t="shared" si="2"/>
        <v>3680193.5714163356</v>
      </c>
      <c r="Q39" s="63">
        <f t="shared" si="3"/>
        <v>0</v>
      </c>
      <c r="R39" s="63">
        <f t="shared" si="4"/>
        <v>0</v>
      </c>
      <c r="S39" s="60">
        <f t="shared" si="5"/>
        <v>0</v>
      </c>
      <c r="T39" s="46">
        <f t="shared" si="6"/>
        <v>0</v>
      </c>
      <c r="U39" s="46" t="e">
        <f t="shared" si="7"/>
        <v>#DIV/0!</v>
      </c>
      <c r="V39" s="46" t="e">
        <f t="shared" si="8"/>
        <v>#DIV/0!</v>
      </c>
      <c r="W39" s="64">
        <f t="shared" si="9"/>
        <v>40</v>
      </c>
      <c r="X39" s="59">
        <f t="shared" si="10"/>
        <v>3680193.5714163356</v>
      </c>
      <c r="Y39" s="65">
        <v>1994</v>
      </c>
      <c r="Z39" s="66">
        <v>2034</v>
      </c>
      <c r="AA39" s="50">
        <f t="shared" si="11"/>
        <v>17</v>
      </c>
      <c r="AB39" s="50">
        <f t="shared" si="12"/>
        <v>2039</v>
      </c>
      <c r="AC39" s="51">
        <f t="shared" si="13"/>
        <v>2040</v>
      </c>
      <c r="AD39" s="52">
        <f>(B39*$AD$10)*VLOOKUP(AB39,'GI Factors'!A:M,4,FALSE)+(C39*$AD$10)*VLOOKUP(AB39,'GI Factors'!A:M,7,FALSE)+(D39*$AD$10)*VLOOKUP(AB39,'GI Factors'!A:M,10,FALSE)+(E39*$AD$10)*VLOOKUP(AB39,'GI Factors'!A:M,13,FALSE)</f>
        <v>1871793.7323731533</v>
      </c>
      <c r="AE39" s="52">
        <f>(B39*$AE$10)*VLOOKUP(AC39,'GI Factors'!A:M,4,FALSE)+(C39*$AE$10)*VLOOKUP(AC39,'GI Factors'!A:M,7,FALSE)+(D39*$AE$10)*VLOOKUP(AC39,'GI Factors'!A:M,10,FALSE)+(E39*$AE$10)*VLOOKUP(AC39,'GI Factors'!A:M,13,FALSE)</f>
        <v>4528542.9135682993</v>
      </c>
      <c r="AF39" s="53">
        <f t="shared" si="14"/>
        <v>6400336.6459414531</v>
      </c>
      <c r="AG39" s="53">
        <f t="shared" si="15"/>
        <v>2720143.0745251174</v>
      </c>
      <c r="AH39" s="54">
        <f t="shared" si="21"/>
        <v>5.1149251490337909E-2</v>
      </c>
      <c r="AI39" s="53">
        <f t="shared" si="17"/>
        <v>1164922.9360701754</v>
      </c>
      <c r="AJ39" s="53"/>
      <c r="AK39" s="55">
        <f t="shared" si="18"/>
        <v>104216.46917234959</v>
      </c>
      <c r="AL39" s="55">
        <f t="shared" si="19"/>
        <v>109547.06356348116</v>
      </c>
      <c r="AM39" s="55">
        <f t="shared" si="19"/>
        <v>115150.3138677177</v>
      </c>
      <c r="AN39" s="55">
        <f t="shared" si="19"/>
        <v>121040.16623092895</v>
      </c>
      <c r="AO39" s="55">
        <f t="shared" si="20"/>
        <v>112488.50320861935</v>
      </c>
    </row>
    <row r="40" spans="1:41" s="56" customFormat="1" ht="11.25">
      <c r="A40" s="57" t="s">
        <v>68</v>
      </c>
      <c r="B40" s="38">
        <v>5382769.1921508843</v>
      </c>
      <c r="C40" s="38">
        <v>5881388.8498987956</v>
      </c>
      <c r="D40" s="38">
        <v>359222.11140046146</v>
      </c>
      <c r="E40" s="39">
        <v>-5231246.6925432999</v>
      </c>
      <c r="F40" s="58">
        <v>6392133.4609068409</v>
      </c>
      <c r="G40" s="58"/>
      <c r="H40" s="58">
        <f t="shared" si="0"/>
        <v>6392133.4609068409</v>
      </c>
      <c r="I40" s="59">
        <f>B40*VLOOKUP(I$9,'GI Factors'!A:M,4,FALSE)+C40*VLOOKUP(I$9,'GI Factors'!A:M,7,FALSE)+D40*VLOOKUP(I$9,'GI Factors'!A:M,10,FALSE)+E40*VLOOKUP(I$9,'GI Factors'!A:M,13,FALSE)</f>
        <v>6511918.328996419</v>
      </c>
      <c r="J40" s="60">
        <v>5479696</v>
      </c>
      <c r="K40" s="59">
        <v>342017</v>
      </c>
      <c r="L40" s="61"/>
      <c r="M40" s="59">
        <f t="shared" si="1"/>
        <v>5821713</v>
      </c>
      <c r="N40" s="241"/>
      <c r="O40" s="243">
        <v>-5821713</v>
      </c>
      <c r="P40" s="62">
        <f t="shared" si="2"/>
        <v>7943323.3398010898</v>
      </c>
      <c r="Q40" s="63">
        <f t="shared" si="3"/>
        <v>-7943323.3398010898</v>
      </c>
      <c r="R40" s="63">
        <f t="shared" si="4"/>
        <v>0</v>
      </c>
      <c r="S40" s="60">
        <f t="shared" si="5"/>
        <v>-7943323.3398010898</v>
      </c>
      <c r="T40" s="46">
        <f t="shared" si="6"/>
        <v>0</v>
      </c>
      <c r="U40" s="46" t="e">
        <f t="shared" si="7"/>
        <v>#DIV/0!</v>
      </c>
      <c r="V40" s="46" t="e">
        <f t="shared" si="8"/>
        <v>#DIV/0!</v>
      </c>
      <c r="W40" s="64">
        <f t="shared" si="9"/>
        <v>44</v>
      </c>
      <c r="X40" s="59">
        <f t="shared" si="10"/>
        <v>0</v>
      </c>
      <c r="Y40" s="65">
        <v>2001</v>
      </c>
      <c r="Z40" s="66">
        <v>2045</v>
      </c>
      <c r="AA40" s="50">
        <f t="shared" si="11"/>
        <v>28</v>
      </c>
      <c r="AB40" s="50">
        <f t="shared" si="12"/>
        <v>2050</v>
      </c>
      <c r="AC40" s="51">
        <f t="shared" si="13"/>
        <v>2051</v>
      </c>
      <c r="AD40" s="52">
        <f>(B40*$AD$10)*VLOOKUP(AB40,'GI Factors'!A:M,4,FALSE)+(C40*$AD$10)*VLOOKUP(AB40,'GI Factors'!A:M,7,FALSE)+(D40*$AD$10)*VLOOKUP(AB40,'GI Factors'!A:M,10,FALSE)+(E40*$AD$10)*VLOOKUP(AB40,'GI Factors'!A:M,13,FALSE)</f>
        <v>6388287.9774091281</v>
      </c>
      <c r="AE40" s="52">
        <f>(B40*$AE$10)*VLOOKUP(AC40,'GI Factors'!A:M,4,FALSE)+(C40*$AE$10)*VLOOKUP(AC40,'GI Factors'!A:M,7,FALSE)+(D40*$AE$10)*VLOOKUP(AC40,'GI Factors'!A:M,10,FALSE)+(E40*$AE$10)*VLOOKUP(AC40,'GI Factors'!A:M,13,FALSE)</f>
        <v>15455851.207043866</v>
      </c>
      <c r="AF40" s="53">
        <f t="shared" si="14"/>
        <v>21844139.184452996</v>
      </c>
      <c r="AG40" s="53">
        <f t="shared" si="15"/>
        <v>21844139.184452996</v>
      </c>
      <c r="AH40" s="54">
        <f t="shared" si="21"/>
        <v>4.4865344629542378E-2</v>
      </c>
      <c r="AI40" s="53">
        <f t="shared" si="17"/>
        <v>6392133.4609068427</v>
      </c>
      <c r="AJ40" s="53"/>
      <c r="AK40" s="55">
        <f t="shared" si="18"/>
        <v>405421.63134202972</v>
      </c>
      <c r="AL40" s="55">
        <f t="shared" si="19"/>
        <v>423611.01255246118</v>
      </c>
      <c r="AM40" s="55">
        <f t="shared" si="19"/>
        <v>442616.46661949676</v>
      </c>
      <c r="AN40" s="55">
        <f t="shared" si="19"/>
        <v>462474.60693309084</v>
      </c>
      <c r="AO40" s="55">
        <f t="shared" si="20"/>
        <v>433530.92936176964</v>
      </c>
    </row>
    <row r="41" spans="1:41" s="56" customFormat="1" ht="11.25">
      <c r="A41" s="57" t="s">
        <v>69</v>
      </c>
      <c r="B41" s="38">
        <v>3057540.1265033288</v>
      </c>
      <c r="C41" s="38">
        <v>2549568.0847916212</v>
      </c>
      <c r="D41" s="38">
        <v>290798.18957934412</v>
      </c>
      <c r="E41" s="39">
        <v>-308372.23314467835</v>
      </c>
      <c r="F41" s="58">
        <v>5589534.1677296162</v>
      </c>
      <c r="G41" s="58"/>
      <c r="H41" s="58">
        <f t="shared" si="0"/>
        <v>5589534.1677296162</v>
      </c>
      <c r="I41" s="59">
        <f>B41*VLOOKUP(I$9,'GI Factors'!A:M,4,FALSE)+C41*VLOOKUP(I$9,'GI Factors'!A:M,7,FALSE)+D41*VLOOKUP(I$9,'GI Factors'!A:M,10,FALSE)+E41*VLOOKUP(I$9,'GI Factors'!A:M,13,FALSE)</f>
        <v>5577007.4697298957</v>
      </c>
      <c r="J41" s="60">
        <v>0</v>
      </c>
      <c r="K41" s="59">
        <v>0</v>
      </c>
      <c r="L41" s="61"/>
      <c r="M41" s="59">
        <f t="shared" si="1"/>
        <v>0</v>
      </c>
      <c r="N41" s="241"/>
      <c r="O41" s="243"/>
      <c r="P41" s="62">
        <v>0</v>
      </c>
      <c r="Q41" s="63">
        <f t="shared" si="3"/>
        <v>0</v>
      </c>
      <c r="R41" s="63">
        <f t="shared" si="4"/>
        <v>0</v>
      </c>
      <c r="S41" s="60">
        <f t="shared" si="5"/>
        <v>0</v>
      </c>
      <c r="T41" s="46">
        <f t="shared" si="6"/>
        <v>0</v>
      </c>
      <c r="U41" s="46" t="e">
        <f t="shared" si="7"/>
        <v>#DIV/0!</v>
      </c>
      <c r="V41" s="46" t="e">
        <f t="shared" si="8"/>
        <v>#DIV/0!</v>
      </c>
      <c r="W41" s="64">
        <f t="shared" si="9"/>
        <v>40</v>
      </c>
      <c r="X41" s="59">
        <f t="shared" si="10"/>
        <v>0</v>
      </c>
      <c r="Y41" s="65">
        <v>2019</v>
      </c>
      <c r="Z41" s="66">
        <f>Y41+40</f>
        <v>2059</v>
      </c>
      <c r="AA41" s="50">
        <v>40</v>
      </c>
      <c r="AB41" s="50">
        <f t="shared" si="12"/>
        <v>2064</v>
      </c>
      <c r="AC41" s="51">
        <f t="shared" si="13"/>
        <v>2065</v>
      </c>
      <c r="AD41" s="52">
        <f>(B41*$AD$10)*VLOOKUP(AB41,'GI Factors'!A:M,4,FALSE)+(C41*$AD$10)*VLOOKUP(AB41,'GI Factors'!A:M,7,FALSE)+(D41*$AD$10)*VLOOKUP(AB41,'GI Factors'!A:M,10,FALSE)+(E41*$AD$10)*VLOOKUP(AB41,'GI Factors'!A:M,13,FALSE)</f>
        <v>6974290.3637476191</v>
      </c>
      <c r="AE41" s="52">
        <f>(B41*$AE$10)*VLOOKUP(AC41,'GI Factors'!A:M,4,FALSE)+(C41*$AE$10)*VLOOKUP(AC41,'GI Factors'!A:M,7,FALSE)+(D41*$AE$10)*VLOOKUP(AC41,'GI Factors'!A:M,10,FALSE)+(E41*$AE$10)*VLOOKUP(AC41,'GI Factors'!A:M,13,FALSE)</f>
        <v>16814974.41496852</v>
      </c>
      <c r="AF41" s="53">
        <f t="shared" si="14"/>
        <v>23789264.778716139</v>
      </c>
      <c r="AG41" s="53">
        <f t="shared" si="15"/>
        <v>23789264.778716139</v>
      </c>
      <c r="AH41" s="54">
        <f t="shared" si="21"/>
        <v>3.6871972074020279E-2</v>
      </c>
      <c r="AI41" s="53">
        <f t="shared" si="17"/>
        <v>5589534.1677296096</v>
      </c>
      <c r="AJ41" s="53"/>
      <c r="AK41" s="55">
        <v>0</v>
      </c>
      <c r="AL41" s="55">
        <f t="shared" ref="AL41:AL66" si="22">IF(AL$13&lt;$Z41,AK41*(1+$AH41),0)</f>
        <v>0</v>
      </c>
      <c r="AM41" s="55">
        <f>PMT((1+AH41)-1,AA41,-AI41)</f>
        <v>269394.07634687057</v>
      </c>
      <c r="AN41" s="55">
        <f t="shared" ref="AN41:AN66" si="23">IF(AN$13&lt;$Z41,AM41*(1+$AH41),0)</f>
        <v>279327.16720683884</v>
      </c>
      <c r="AO41" s="55">
        <f t="shared" si="20"/>
        <v>137180.31088842737</v>
      </c>
    </row>
    <row r="42" spans="1:41" s="56" customFormat="1" ht="11.25">
      <c r="A42" s="57" t="s">
        <v>70</v>
      </c>
      <c r="B42" s="38">
        <v>5362973.0312489178</v>
      </c>
      <c r="C42" s="38">
        <v>5859758.9200535044</v>
      </c>
      <c r="D42" s="38">
        <v>395071.57133513101</v>
      </c>
      <c r="E42" s="39">
        <v>-5252031.1945600845</v>
      </c>
      <c r="F42" s="58">
        <v>6365772.328077469</v>
      </c>
      <c r="G42" s="58"/>
      <c r="H42" s="58">
        <f t="shared" si="0"/>
        <v>6365772.328077469</v>
      </c>
      <c r="I42" s="59">
        <f>B42*VLOOKUP(I$9,'GI Factors'!A:M,4,FALSE)+C42*VLOOKUP(I$9,'GI Factors'!A:M,7,FALSE)+D42*VLOOKUP(I$9,'GI Factors'!A:M,10,FALSE)+E42*VLOOKUP(I$9,'GI Factors'!A:M,13,FALSE)</f>
        <v>6487331.2842909899</v>
      </c>
      <c r="J42" s="60">
        <v>0</v>
      </c>
      <c r="K42" s="59">
        <v>0</v>
      </c>
      <c r="L42" s="61"/>
      <c r="M42" s="59">
        <f t="shared" si="1"/>
        <v>0</v>
      </c>
      <c r="N42" s="241"/>
      <c r="O42" s="243"/>
      <c r="P42" s="62">
        <v>0</v>
      </c>
      <c r="Q42" s="63">
        <f t="shared" si="3"/>
        <v>0</v>
      </c>
      <c r="R42" s="63">
        <f t="shared" si="4"/>
        <v>0</v>
      </c>
      <c r="S42" s="60">
        <f t="shared" si="5"/>
        <v>0</v>
      </c>
      <c r="T42" s="46">
        <f t="shared" si="6"/>
        <v>0</v>
      </c>
      <c r="U42" s="46" t="e">
        <f t="shared" si="7"/>
        <v>#DIV/0!</v>
      </c>
      <c r="V42" s="46" t="e">
        <f t="shared" si="8"/>
        <v>#DIV/0!</v>
      </c>
      <c r="W42" s="64">
        <f t="shared" si="9"/>
        <v>40</v>
      </c>
      <c r="X42" s="59">
        <f t="shared" si="10"/>
        <v>0</v>
      </c>
      <c r="Y42" s="65">
        <v>2019</v>
      </c>
      <c r="Z42" s="66">
        <f>Y42+40</f>
        <v>2059</v>
      </c>
      <c r="AA42" s="50">
        <v>40</v>
      </c>
      <c r="AB42" s="50">
        <f t="shared" si="12"/>
        <v>2064</v>
      </c>
      <c r="AC42" s="51">
        <f t="shared" si="13"/>
        <v>2065</v>
      </c>
      <c r="AD42" s="52">
        <f>(B42*$AD$10)*VLOOKUP(AB42,'GI Factors'!A:M,4,FALSE)+(C42*$AD$10)*VLOOKUP(AB42,'GI Factors'!A:M,7,FALSE)+(D42*$AD$10)*VLOOKUP(AB42,'GI Factors'!A:M,10,FALSE)+(E42*$AD$10)*VLOOKUP(AB42,'GI Factors'!A:M,13,FALSE)</f>
        <v>10597585.960758179</v>
      </c>
      <c r="AE42" s="52">
        <f>(B42*$AE$10)*VLOOKUP(AC42,'GI Factors'!A:M,4,FALSE)+(C42*$AE$10)*VLOOKUP(AC42,'GI Factors'!A:M,7,FALSE)+(D42*$AE$10)*VLOOKUP(AC42,'GI Factors'!A:M,10,FALSE)+(E42*$AE$10)*VLOOKUP(AC42,'GI Factors'!A:M,13,FALSE)</f>
        <v>25645841.743943632</v>
      </c>
      <c r="AF42" s="53">
        <f t="shared" si="14"/>
        <v>36243427.704701811</v>
      </c>
      <c r="AG42" s="53">
        <f t="shared" si="15"/>
        <v>36243427.704701811</v>
      </c>
      <c r="AH42" s="54">
        <f t="shared" si="21"/>
        <v>4.4442303807823005E-2</v>
      </c>
      <c r="AI42" s="53">
        <f t="shared" si="17"/>
        <v>6365772.3280774569</v>
      </c>
      <c r="AJ42" s="53"/>
      <c r="AK42" s="55">
        <v>0</v>
      </c>
      <c r="AL42" s="55">
        <f t="shared" si="22"/>
        <v>0</v>
      </c>
      <c r="AM42" s="55">
        <f>PMT((1+AH42)-1,AA42,-AI42)</f>
        <v>343186.67453214066</v>
      </c>
      <c r="AN42" s="55">
        <f t="shared" si="23"/>
        <v>358438.68098449451</v>
      </c>
      <c r="AO42" s="55">
        <f t="shared" si="20"/>
        <v>175406.33887915878</v>
      </c>
    </row>
    <row r="43" spans="1:41" s="56" customFormat="1" ht="11.25">
      <c r="A43" s="57" t="s">
        <v>71</v>
      </c>
      <c r="B43" s="38">
        <v>3349594.3403367056</v>
      </c>
      <c r="C43" s="38">
        <v>3016065.0989398183</v>
      </c>
      <c r="D43" s="38">
        <v>308767.60537286586</v>
      </c>
      <c r="E43" s="39">
        <v>-399678.80898023234</v>
      </c>
      <c r="F43" s="58">
        <v>6274748.2356691575</v>
      </c>
      <c r="G43" s="58"/>
      <c r="H43" s="58">
        <f t="shared" si="0"/>
        <v>6274748.2356691575</v>
      </c>
      <c r="I43" s="59">
        <f>B43*VLOOKUP(I$9,'GI Factors'!A:M,4,FALSE)+C43*VLOOKUP(I$9,'GI Factors'!A:M,7,FALSE)+D43*VLOOKUP(I$9,'GI Factors'!A:M,10,FALSE)+E43*VLOOKUP(I$9,'GI Factors'!A:M,13,FALSE)</f>
        <v>6254142.1576066753</v>
      </c>
      <c r="J43" s="60"/>
      <c r="K43" s="59"/>
      <c r="L43" s="61"/>
      <c r="M43" s="59">
        <f t="shared" si="1"/>
        <v>0</v>
      </c>
      <c r="N43" s="241"/>
      <c r="O43" s="243"/>
      <c r="P43" s="62">
        <f t="shared" ref="P43:P66" si="24">AF43-((AA43/W43)*AF43)</f>
        <v>596276.88340561092</v>
      </c>
      <c r="Q43" s="63">
        <f t="shared" si="3"/>
        <v>-596276.88340561092</v>
      </c>
      <c r="R43" s="63">
        <f t="shared" si="4"/>
        <v>0</v>
      </c>
      <c r="S43" s="60">
        <f t="shared" si="5"/>
        <v>-596276.88340561092</v>
      </c>
      <c r="T43" s="46">
        <f t="shared" si="6"/>
        <v>0</v>
      </c>
      <c r="U43" s="46" t="e">
        <f t="shared" si="7"/>
        <v>#DIV/0!</v>
      </c>
      <c r="V43" s="46" t="e">
        <f t="shared" si="8"/>
        <v>#DIV/0!</v>
      </c>
      <c r="W43" s="64">
        <f t="shared" si="9"/>
        <v>40</v>
      </c>
      <c r="X43" s="59">
        <f t="shared" si="10"/>
        <v>0</v>
      </c>
      <c r="Y43" s="65">
        <v>2016</v>
      </c>
      <c r="Z43" s="66">
        <v>2056</v>
      </c>
      <c r="AA43" s="50">
        <f>Z43-2017</f>
        <v>39</v>
      </c>
      <c r="AB43" s="50">
        <f t="shared" si="12"/>
        <v>2061</v>
      </c>
      <c r="AC43" s="51">
        <f t="shared" si="13"/>
        <v>2062</v>
      </c>
      <c r="AD43" s="52">
        <f>(B43*$AD$10)*VLOOKUP(AB43,'GI Factors'!A:M,4,FALSE)+(C43*$AD$10)*VLOOKUP(AB43,'GI Factors'!A:M,7,FALSE)+(D43*$AD$10)*VLOOKUP(AB43,'GI Factors'!A:M,10,FALSE)+(E43*$AD$10)*VLOOKUP(AB43,'GI Factors'!A:M,13,FALSE)</f>
        <v>6995125.2672117762</v>
      </c>
      <c r="AE43" s="52">
        <f>(B43*$AE$10)*VLOOKUP(AC43,'GI Factors'!A:M,4,FALSE)+(C43*$AE$10)*VLOOKUP(AC43,'GI Factors'!A:M,7,FALSE)+(D43*$AE$10)*VLOOKUP(AC43,'GI Factors'!A:M,10,FALSE)+(E43*$AE$10)*VLOOKUP(AC43,'GI Factors'!A:M,13,FALSE)</f>
        <v>16855950.069012705</v>
      </c>
      <c r="AF43" s="53">
        <f t="shared" si="14"/>
        <v>23851075.336224481</v>
      </c>
      <c r="AG43" s="53">
        <f t="shared" si="15"/>
        <v>23851075.336224481</v>
      </c>
      <c r="AH43" s="54">
        <f t="shared" si="21"/>
        <v>3.483123709082301E-2</v>
      </c>
      <c r="AI43" s="53">
        <f t="shared" si="17"/>
        <v>6274748.2356691565</v>
      </c>
      <c r="AJ43" s="53"/>
      <c r="AK43" s="55">
        <f>PMT(AH43,AA43,-AI43)</f>
        <v>296582.17269964499</v>
      </c>
      <c r="AL43" s="55">
        <f t="shared" si="22"/>
        <v>306912.49667385774</v>
      </c>
      <c r="AM43" s="55">
        <f t="shared" ref="AM43:AM66" si="25">IF(AM$13&lt;$Z43,AL43*(1+$AH43),0)</f>
        <v>317602.63861164131</v>
      </c>
      <c r="AN43" s="55">
        <f t="shared" si="23"/>
        <v>328665.13141779439</v>
      </c>
      <c r="AO43" s="55">
        <f t="shared" si="20"/>
        <v>312440.60985073459</v>
      </c>
    </row>
    <row r="44" spans="1:41" s="56" customFormat="1" ht="11.25">
      <c r="A44" s="57" t="s">
        <v>72</v>
      </c>
      <c r="B44" s="38">
        <v>1742481.7507691137</v>
      </c>
      <c r="C44" s="38">
        <v>1903892.2856044939</v>
      </c>
      <c r="D44" s="38">
        <v>129481.48261007073</v>
      </c>
      <c r="E44" s="39">
        <v>-1930856.7801224294</v>
      </c>
      <c r="F44" s="58">
        <v>1844998.7388612491</v>
      </c>
      <c r="G44" s="58"/>
      <c r="H44" s="58">
        <f t="shared" si="0"/>
        <v>1844998.7388612491</v>
      </c>
      <c r="I44" s="59">
        <f>B44*VLOOKUP(I$9,'GI Factors'!A:M,4,FALSE)+C44*VLOOKUP(I$9,'GI Factors'!A:M,7,FALSE)+D44*VLOOKUP(I$9,'GI Factors'!A:M,10,FALSE)+E44*VLOOKUP(I$9,'GI Factors'!A:M,13,FALSE)</f>
        <v>1894213.4814651164</v>
      </c>
      <c r="J44" s="60">
        <v>401299</v>
      </c>
      <c r="K44" s="59">
        <v>13273</v>
      </c>
      <c r="L44" s="61"/>
      <c r="M44" s="59">
        <f t="shared" si="1"/>
        <v>414572</v>
      </c>
      <c r="N44" s="241"/>
      <c r="O44" s="243"/>
      <c r="P44" s="62">
        <f t="shared" si="24"/>
        <v>1934913.9686082467</v>
      </c>
      <c r="Q44" s="63">
        <f t="shared" si="3"/>
        <v>-1520341.9686082467</v>
      </c>
      <c r="R44" s="63">
        <f t="shared" si="4"/>
        <v>0</v>
      </c>
      <c r="S44" s="60">
        <f t="shared" si="5"/>
        <v>-1520341.9686082467</v>
      </c>
      <c r="T44" s="46">
        <f t="shared" si="6"/>
        <v>0</v>
      </c>
      <c r="U44" s="46" t="e">
        <f t="shared" si="7"/>
        <v>#DIV/0!</v>
      </c>
      <c r="V44" s="46" t="e">
        <f t="shared" si="8"/>
        <v>#DIV/0!</v>
      </c>
      <c r="W44" s="64">
        <f t="shared" si="9"/>
        <v>45</v>
      </c>
      <c r="X44" s="59">
        <f t="shared" si="10"/>
        <v>414572</v>
      </c>
      <c r="Y44" s="65">
        <v>1971</v>
      </c>
      <c r="Z44" s="66">
        <v>2016</v>
      </c>
      <c r="AA44" s="50">
        <v>0</v>
      </c>
      <c r="AB44" s="50">
        <f>Z44+1</f>
        <v>2017</v>
      </c>
      <c r="AC44" s="51">
        <f>Z44+2</f>
        <v>2018</v>
      </c>
      <c r="AD44" s="52">
        <f>(B44*$AD$10)*VLOOKUP(AB44,'GI Factors'!A:M,4,FALSE)+(C44*$AD$10)*VLOOKUP(AB44,'GI Factors'!A:M,7,FALSE)+(D44*$AD$10)*VLOOKUP(AB44,'GI Factors'!A:M,10,FALSE)+(E44*$AD$10)*VLOOKUP(AB44,'GI Factors'!A:M,13,FALSE)</f>
        <v>573610.682438966</v>
      </c>
      <c r="AE44" s="52">
        <f>(B44*$AE$10)*VLOOKUP(AC44,'GI Factors'!A:M,4,FALSE)+(C44*$AE$10)*VLOOKUP(AC44,'GI Factors'!A:M,7,FALSE)+(D44*$AE$10)*VLOOKUP(AC44,'GI Factors'!A:M,10,FALSE)+(E44*$AE$10)*VLOOKUP(AC44,'GI Factors'!A:M,13,FALSE)</f>
        <v>1361303.2861692808</v>
      </c>
      <c r="AF44" s="53">
        <f t="shared" si="14"/>
        <v>1934913.9686082467</v>
      </c>
      <c r="AG44" s="53">
        <f t="shared" si="15"/>
        <v>1520341.9686082467</v>
      </c>
      <c r="AH44" s="54">
        <v>0</v>
      </c>
      <c r="AI44" s="53">
        <f t="shared" si="17"/>
        <v>1520341.9686082467</v>
      </c>
      <c r="AJ44" s="53"/>
      <c r="AK44" s="55">
        <f>AI44</f>
        <v>1520341.9686082467</v>
      </c>
      <c r="AL44" s="55">
        <f t="shared" si="22"/>
        <v>0</v>
      </c>
      <c r="AM44" s="55">
        <f t="shared" si="25"/>
        <v>0</v>
      </c>
      <c r="AN44" s="55">
        <f t="shared" si="23"/>
        <v>0</v>
      </c>
      <c r="AO44" s="55">
        <f t="shared" si="20"/>
        <v>380085.49215206166</v>
      </c>
    </row>
    <row r="45" spans="1:41" s="56" customFormat="1" ht="11.25">
      <c r="A45" s="57" t="s">
        <v>73</v>
      </c>
      <c r="B45" s="38">
        <v>5017105.8010564577</v>
      </c>
      <c r="C45" s="38">
        <v>5481853.1249907082</v>
      </c>
      <c r="D45" s="38">
        <v>308981.41858655348</v>
      </c>
      <c r="E45" s="39">
        <v>-4986252.8894319041</v>
      </c>
      <c r="F45" s="58">
        <v>5821687.4552018149</v>
      </c>
      <c r="G45" s="58"/>
      <c r="H45" s="58">
        <f t="shared" si="0"/>
        <v>5821687.4552018149</v>
      </c>
      <c r="I45" s="59">
        <f>B45*VLOOKUP(I$9,'GI Factors'!A:M,4,FALSE)+C45*VLOOKUP(I$9,'GI Factors'!A:M,7,FALSE)+D45*VLOOKUP(I$9,'GI Factors'!A:M,10,FALSE)+E45*VLOOKUP(I$9,'GI Factors'!A:M,13,FALSE)</f>
        <v>5937771.6279447312</v>
      </c>
      <c r="J45" s="60"/>
      <c r="K45" s="59"/>
      <c r="L45" s="61"/>
      <c r="M45" s="59">
        <f t="shared" si="1"/>
        <v>0</v>
      </c>
      <c r="N45" s="241"/>
      <c r="O45" s="243"/>
      <c r="P45" s="62">
        <f t="shared" si="24"/>
        <v>753052.22206981853</v>
      </c>
      <c r="Q45" s="63">
        <f t="shared" si="3"/>
        <v>-753052.22206981853</v>
      </c>
      <c r="R45" s="63">
        <f t="shared" si="4"/>
        <v>0</v>
      </c>
      <c r="S45" s="60">
        <f t="shared" si="5"/>
        <v>-753052.22206981853</v>
      </c>
      <c r="T45" s="46">
        <f t="shared" si="6"/>
        <v>0</v>
      </c>
      <c r="U45" s="46" t="e">
        <f t="shared" si="7"/>
        <v>#DIV/0!</v>
      </c>
      <c r="V45" s="46" t="e">
        <f t="shared" si="8"/>
        <v>#DIV/0!</v>
      </c>
      <c r="W45" s="64">
        <f t="shared" si="9"/>
        <v>40</v>
      </c>
      <c r="X45" s="59">
        <f t="shared" si="10"/>
        <v>0</v>
      </c>
      <c r="Y45" s="65">
        <v>2016</v>
      </c>
      <c r="Z45" s="66">
        <v>2056</v>
      </c>
      <c r="AA45" s="50">
        <f t="shared" ref="AA45:AA66" si="26">Z45-2017</f>
        <v>39</v>
      </c>
      <c r="AB45" s="50">
        <f t="shared" ref="AB45:AB66" si="27">Z45+5</f>
        <v>2061</v>
      </c>
      <c r="AC45" s="51">
        <f t="shared" ref="AC45:AC66" si="28">Z45+6</f>
        <v>2062</v>
      </c>
      <c r="AD45" s="52">
        <f>(B45*$AD$10)*VLOOKUP(AB45,'GI Factors'!A:M,4,FALSE)+(C45*$AD$10)*VLOOKUP(AB45,'GI Factors'!A:M,7,FALSE)+(D45*$AD$10)*VLOOKUP(AB45,'GI Factors'!A:M,10,FALSE)+(E45*$AD$10)*VLOOKUP(AB45,'GI Factors'!A:M,13,FALSE)</f>
        <v>8806834.157427175</v>
      </c>
      <c r="AE45" s="52">
        <f>(B45*$AE$10)*VLOOKUP(AC45,'GI Factors'!A:M,4,FALSE)+(C45*$AE$10)*VLOOKUP(AC45,'GI Factors'!A:M,7,FALSE)+(D45*$AE$10)*VLOOKUP(AC45,'GI Factors'!A:M,10,FALSE)+(E45*$AE$10)*VLOOKUP(AC45,'GI Factors'!A:M,13,FALSE)</f>
        <v>21315254.725365534</v>
      </c>
      <c r="AF45" s="53">
        <f t="shared" si="14"/>
        <v>30122088.882792711</v>
      </c>
      <c r="AG45" s="53">
        <f t="shared" si="15"/>
        <v>30122088.882792711</v>
      </c>
      <c r="AH45" s="54">
        <f t="shared" ref="AH45:AH66" si="29">RATE(AA45,,-F45,AF45)</f>
        <v>4.3046072930886567E-2</v>
      </c>
      <c r="AI45" s="53">
        <f t="shared" si="17"/>
        <v>5821687.455201827</v>
      </c>
      <c r="AJ45" s="53"/>
      <c r="AK45" s="55">
        <f t="shared" ref="AK45:AK66" si="30">PMT(AH45,AA45,-AI45)</f>
        <v>310637.62775329582</v>
      </c>
      <c r="AL45" s="55">
        <f t="shared" si="22"/>
        <v>324009.3577326418</v>
      </c>
      <c r="AM45" s="55">
        <f t="shared" si="25"/>
        <v>337956.68817589083</v>
      </c>
      <c r="AN45" s="55">
        <f t="shared" si="23"/>
        <v>352504.39642259112</v>
      </c>
      <c r="AO45" s="55">
        <f t="shared" si="20"/>
        <v>331277.01752110489</v>
      </c>
    </row>
    <row r="46" spans="1:41" s="56" customFormat="1" ht="11.25">
      <c r="A46" s="57" t="s">
        <v>74</v>
      </c>
      <c r="B46" s="38">
        <v>2881979.1176945516</v>
      </c>
      <c r="C46" s="38">
        <v>3565802.5707920715</v>
      </c>
      <c r="D46" s="38">
        <v>229019.95970358874</v>
      </c>
      <c r="E46" s="39">
        <v>-363284.61340347707</v>
      </c>
      <c r="F46" s="58">
        <v>6313517.0347867347</v>
      </c>
      <c r="G46" s="58"/>
      <c r="H46" s="58">
        <f t="shared" si="0"/>
        <v>6313517.0347867347</v>
      </c>
      <c r="I46" s="59">
        <f>B46*VLOOKUP(I$9,'GI Factors'!A:M,4,FALSE)+C46*VLOOKUP(I$9,'GI Factors'!A:M,7,FALSE)+D46*VLOOKUP(I$9,'GI Factors'!A:M,10,FALSE)+E46*VLOOKUP(I$9,'GI Factors'!A:M,13,FALSE)</f>
        <v>6255092.2560616117</v>
      </c>
      <c r="J46" s="60">
        <v>0</v>
      </c>
      <c r="K46" s="59">
        <v>0</v>
      </c>
      <c r="L46" s="61"/>
      <c r="M46" s="59">
        <f t="shared" ref="M46:M66" si="31">J46+K46+L46</f>
        <v>0</v>
      </c>
      <c r="N46" s="241"/>
      <c r="O46" s="243"/>
      <c r="P46" s="62">
        <f t="shared" si="24"/>
        <v>1542566.6251700446</v>
      </c>
      <c r="Q46" s="63">
        <f t="shared" ref="Q46:Q66" si="32">X46-P46</f>
        <v>-1542566.6251700446</v>
      </c>
      <c r="R46" s="63">
        <f t="shared" ref="R46:R66" si="33">IF(Q46&lt;0,0,+Q46)</f>
        <v>0</v>
      </c>
      <c r="S46" s="60">
        <f t="shared" ref="S46:S66" si="34">+IF(Q46&gt;0,0,+Q46)</f>
        <v>-1542566.6251700446</v>
      </c>
      <c r="T46" s="46">
        <f t="shared" ref="T46:T66" si="35">+$R$68*(S46/$S$68)</f>
        <v>0</v>
      </c>
      <c r="U46" s="46" t="e">
        <f t="shared" ref="U46:U66" si="36">-$T$68*(R46/$R$68)</f>
        <v>#DIV/0!</v>
      </c>
      <c r="V46" s="46" t="e">
        <f t="shared" ref="V46:V66" si="37">T46+U46</f>
        <v>#DIV/0!</v>
      </c>
      <c r="W46" s="64">
        <f t="shared" ref="W46:W66" si="38">Z46-Y46</f>
        <v>40</v>
      </c>
      <c r="X46" s="59">
        <f t="shared" ref="X46:X66" si="39">M46+N46+O46</f>
        <v>0</v>
      </c>
      <c r="Y46" s="65">
        <v>2014</v>
      </c>
      <c r="Z46" s="66">
        <v>2054</v>
      </c>
      <c r="AA46" s="50">
        <f t="shared" si="26"/>
        <v>37</v>
      </c>
      <c r="AB46" s="50">
        <f t="shared" si="27"/>
        <v>2059</v>
      </c>
      <c r="AC46" s="51">
        <f t="shared" si="28"/>
        <v>2060</v>
      </c>
      <c r="AD46" s="52">
        <f>(B46*$AD$10)*VLOOKUP(AB46,'GI Factors'!A:M,4,FALSE)+(C46*$AD$10)*VLOOKUP(AB46,'GI Factors'!A:M,7,FALSE)+(D46*$AD$10)*VLOOKUP(AB46,'GI Factors'!A:M,10,FALSE)+(E46*$AD$10)*VLOOKUP(AB46,'GI Factors'!A:M,13,FALSE)</f>
        <v>6039702.8464695467</v>
      </c>
      <c r="AE46" s="52">
        <f>(B46*$AE$10)*VLOOKUP(AC46,'GI Factors'!A:M,4,FALSE)+(C46*$AE$10)*VLOOKUP(AC46,'GI Factors'!A:M,7,FALSE)+(D46*$AE$10)*VLOOKUP(AC46,'GI Factors'!A:M,10,FALSE)+(E46*$AE$10)*VLOOKUP(AC46,'GI Factors'!A:M,13,FALSE)</f>
        <v>14527852.155797742</v>
      </c>
      <c r="AF46" s="53">
        <f t="shared" ref="AF46:AF66" si="40">SUM(AD46:AE46)</f>
        <v>20567555.00226729</v>
      </c>
      <c r="AG46" s="53">
        <f t="shared" ref="AG46:AG66" si="41">AF46-X46</f>
        <v>20567555.00226729</v>
      </c>
      <c r="AH46" s="54">
        <f t="shared" si="29"/>
        <v>3.2434403219931247E-2</v>
      </c>
      <c r="AI46" s="53">
        <f t="shared" ref="AI46:AI66" si="42">PV(AH46,AA46,,-AG46)</f>
        <v>6313517.0347867152</v>
      </c>
      <c r="AJ46" s="53"/>
      <c r="AK46" s="55">
        <f t="shared" si="30"/>
        <v>295475.87282180093</v>
      </c>
      <c r="AL46" s="55">
        <f t="shared" si="22"/>
        <v>305059.45642266434</v>
      </c>
      <c r="AM46" s="55">
        <f t="shared" si="25"/>
        <v>314953.87783833011</v>
      </c>
      <c r="AN46" s="55">
        <f t="shared" si="23"/>
        <v>325169.21890781948</v>
      </c>
      <c r="AO46" s="55">
        <f t="shared" ref="AO46:AO66" si="43">AVERAGE(AK46:AN46)</f>
        <v>310164.60649765376</v>
      </c>
    </row>
    <row r="47" spans="1:41" s="56" customFormat="1" ht="11.25">
      <c r="A47" s="57" t="s">
        <v>75</v>
      </c>
      <c r="B47" s="38">
        <v>5045179.3181707775</v>
      </c>
      <c r="C47" s="38">
        <v>5512527.1636944963</v>
      </c>
      <c r="D47" s="38">
        <v>265601.66559399635</v>
      </c>
      <c r="E47" s="39">
        <v>-4024241.2901203092</v>
      </c>
      <c r="F47" s="58">
        <v>6799066.8573389612</v>
      </c>
      <c r="G47" s="58"/>
      <c r="H47" s="58">
        <f t="shared" si="0"/>
        <v>6799066.8573389612</v>
      </c>
      <c r="I47" s="59">
        <f>B47*VLOOKUP(I$9,'GI Factors'!A:M,4,FALSE)+C47*VLOOKUP(I$9,'GI Factors'!A:M,7,FALSE)+D47*VLOOKUP(I$9,'GI Factors'!A:M,10,FALSE)+E47*VLOOKUP(I$9,'GI Factors'!A:M,13,FALSE)</f>
        <v>6872407.1841635182</v>
      </c>
      <c r="J47" s="60">
        <v>0</v>
      </c>
      <c r="K47" s="59">
        <v>0</v>
      </c>
      <c r="L47" s="61"/>
      <c r="M47" s="59">
        <f t="shared" si="31"/>
        <v>0</v>
      </c>
      <c r="N47" s="241"/>
      <c r="O47" s="243"/>
      <c r="P47" s="62">
        <f t="shared" si="24"/>
        <v>2213628.5925049409</v>
      </c>
      <c r="Q47" s="63">
        <f t="shared" si="32"/>
        <v>-2213628.5925049409</v>
      </c>
      <c r="R47" s="63">
        <f t="shared" si="33"/>
        <v>0</v>
      </c>
      <c r="S47" s="60">
        <f t="shared" si="34"/>
        <v>-2213628.5925049409</v>
      </c>
      <c r="T47" s="46">
        <f t="shared" si="35"/>
        <v>0</v>
      </c>
      <c r="U47" s="46" t="e">
        <f t="shared" si="36"/>
        <v>#DIV/0!</v>
      </c>
      <c r="V47" s="46" t="e">
        <f t="shared" si="37"/>
        <v>#DIV/0!</v>
      </c>
      <c r="W47" s="64">
        <f t="shared" si="38"/>
        <v>40</v>
      </c>
      <c r="X47" s="59">
        <f t="shared" si="39"/>
        <v>0</v>
      </c>
      <c r="Y47" s="65">
        <v>2014</v>
      </c>
      <c r="Z47" s="66">
        <v>2054</v>
      </c>
      <c r="AA47" s="50">
        <f t="shared" si="26"/>
        <v>37</v>
      </c>
      <c r="AB47" s="50">
        <f t="shared" si="27"/>
        <v>2059</v>
      </c>
      <c r="AC47" s="51">
        <f t="shared" si="28"/>
        <v>2060</v>
      </c>
      <c r="AD47" s="52">
        <f>(B47*$AD$10)*VLOOKUP(AB47,'GI Factors'!A:M,4,FALSE)+(C47*$AD$10)*VLOOKUP(AB47,'GI Factors'!A:M,7,FALSE)+(D47*$AD$10)*VLOOKUP(AB47,'GI Factors'!A:M,10,FALSE)+(E47*$AD$10)*VLOOKUP(AB47,'GI Factors'!A:M,13,FALSE)</f>
        <v>8637947.5634874571</v>
      </c>
      <c r="AE47" s="52">
        <f>(B47*$AE$10)*VLOOKUP(AC47,'GI Factors'!A:M,4,FALSE)+(C47*$AE$10)*VLOOKUP(AC47,'GI Factors'!A:M,7,FALSE)+(D47*$AE$10)*VLOOKUP(AC47,'GI Factors'!A:M,10,FALSE)+(E47*$AE$10)*VLOOKUP(AC47,'GI Factors'!A:M,13,FALSE)</f>
        <v>20877100.336578444</v>
      </c>
      <c r="AF47" s="53">
        <f t="shared" si="40"/>
        <v>29515047.900065899</v>
      </c>
      <c r="AG47" s="53">
        <f t="shared" si="41"/>
        <v>29515047.900065899</v>
      </c>
      <c r="AH47" s="54">
        <f t="shared" si="29"/>
        <v>4.0476498525268807E-2</v>
      </c>
      <c r="AI47" s="53">
        <f t="shared" si="42"/>
        <v>6799066.8573389789</v>
      </c>
      <c r="AJ47" s="53"/>
      <c r="AK47" s="55">
        <f t="shared" si="30"/>
        <v>357572.60855900683</v>
      </c>
      <c r="AL47" s="55">
        <f t="shared" si="22"/>
        <v>372045.89572202199</v>
      </c>
      <c r="AM47" s="55">
        <f t="shared" si="25"/>
        <v>387105.01087154675</v>
      </c>
      <c r="AN47" s="55">
        <f t="shared" si="23"/>
        <v>402773.66627321305</v>
      </c>
      <c r="AO47" s="55">
        <f t="shared" si="43"/>
        <v>379874.29535644717</v>
      </c>
    </row>
    <row r="48" spans="1:41" s="56" customFormat="1" ht="11.25">
      <c r="A48" s="57" t="s">
        <v>76</v>
      </c>
      <c r="B48" s="38">
        <v>4570036.4363128301</v>
      </c>
      <c r="C48" s="38">
        <v>5427707.6298814695</v>
      </c>
      <c r="D48" s="38">
        <v>629977.33011792239</v>
      </c>
      <c r="E48" s="39">
        <v>-560475.78684312862</v>
      </c>
      <c r="F48" s="58">
        <v>10067245.609469093</v>
      </c>
      <c r="G48" s="58"/>
      <c r="H48" s="58">
        <f t="shared" si="0"/>
        <v>10067245.609469093</v>
      </c>
      <c r="I48" s="59">
        <f>B48*VLOOKUP(I$9,'GI Factors'!A:M,4,FALSE)+C48*VLOOKUP(I$9,'GI Factors'!A:M,7,FALSE)+D48*VLOOKUP(I$9,'GI Factors'!A:M,10,FALSE)+E48*VLOOKUP(I$9,'GI Factors'!A:M,13,FALSE)</f>
        <v>9986986.1923948694</v>
      </c>
      <c r="J48" s="60">
        <v>10432013.74</v>
      </c>
      <c r="K48" s="59">
        <v>306085</v>
      </c>
      <c r="L48" s="61"/>
      <c r="M48" s="59">
        <f t="shared" si="31"/>
        <v>10738098.74</v>
      </c>
      <c r="N48" s="241">
        <v>-2407345.9000297729</v>
      </c>
      <c r="O48" s="243"/>
      <c r="P48" s="62">
        <f t="shared" si="24"/>
        <v>8330752.8399702273</v>
      </c>
      <c r="Q48" s="63">
        <f t="shared" si="32"/>
        <v>0</v>
      </c>
      <c r="R48" s="63">
        <f t="shared" si="33"/>
        <v>0</v>
      </c>
      <c r="S48" s="60">
        <f t="shared" si="34"/>
        <v>0</v>
      </c>
      <c r="T48" s="46">
        <f t="shared" si="35"/>
        <v>0</v>
      </c>
      <c r="U48" s="46" t="e">
        <f t="shared" si="36"/>
        <v>#DIV/0!</v>
      </c>
      <c r="V48" s="46" t="e">
        <f t="shared" si="37"/>
        <v>#DIV/0!</v>
      </c>
      <c r="W48" s="64">
        <f t="shared" si="38"/>
        <v>40</v>
      </c>
      <c r="X48" s="59">
        <f t="shared" si="39"/>
        <v>8330752.8399702273</v>
      </c>
      <c r="Y48" s="65">
        <v>2003</v>
      </c>
      <c r="Z48" s="66">
        <v>2043</v>
      </c>
      <c r="AA48" s="50">
        <f t="shared" si="26"/>
        <v>26</v>
      </c>
      <c r="AB48" s="50">
        <f t="shared" si="27"/>
        <v>2048</v>
      </c>
      <c r="AC48" s="51">
        <f t="shared" si="28"/>
        <v>2049</v>
      </c>
      <c r="AD48" s="52">
        <f>(B48*$AD$10)*VLOOKUP(AB48,'GI Factors'!A:M,4,FALSE)+(C48*$AD$10)*VLOOKUP(AB48,'GI Factors'!A:M,7,FALSE)+(D48*$AD$10)*VLOOKUP(AB48,'GI Factors'!A:M,10,FALSE)+(E48*$AD$10)*VLOOKUP(AB48,'GI Factors'!A:M,13,FALSE)</f>
        <v>6997617.3852744186</v>
      </c>
      <c r="AE48" s="52">
        <f>(B48*$AE$10)*VLOOKUP(AC48,'GI Factors'!A:M,4,FALSE)+(C48*$AE$10)*VLOOKUP(AC48,'GI Factors'!A:M,7,FALSE)+(D48*$AE$10)*VLOOKUP(AC48,'GI Factors'!A:M,10,FALSE)+(E48*$AE$10)*VLOOKUP(AC48,'GI Factors'!A:M,13,FALSE)</f>
        <v>16804533.586069092</v>
      </c>
      <c r="AF48" s="53">
        <f t="shared" si="40"/>
        <v>23802150.97134351</v>
      </c>
      <c r="AG48" s="53">
        <f t="shared" si="41"/>
        <v>15471398.131373283</v>
      </c>
      <c r="AH48" s="54">
        <f t="shared" si="29"/>
        <v>3.3649478956587535E-2</v>
      </c>
      <c r="AI48" s="53">
        <f t="shared" si="42"/>
        <v>6543709.6461549252</v>
      </c>
      <c r="AJ48" s="53"/>
      <c r="AK48" s="55">
        <f t="shared" si="30"/>
        <v>381586.40968855331</v>
      </c>
      <c r="AL48" s="55">
        <f t="shared" si="22"/>
        <v>394426.59355148807</v>
      </c>
      <c r="AM48" s="55">
        <f t="shared" si="25"/>
        <v>407698.84291111736</v>
      </c>
      <c r="AN48" s="55">
        <f t="shared" si="23"/>
        <v>421417.69654628012</v>
      </c>
      <c r="AO48" s="55">
        <f t="shared" si="43"/>
        <v>401282.38567435968</v>
      </c>
    </row>
    <row r="49" spans="1:41" s="56" customFormat="1" ht="11.25">
      <c r="A49" s="57" t="s">
        <v>77</v>
      </c>
      <c r="B49" s="38">
        <v>4858570.6522881538</v>
      </c>
      <c r="C49" s="38">
        <v>5308632.4604965691</v>
      </c>
      <c r="D49" s="38">
        <v>259597.68562062192</v>
      </c>
      <c r="E49" s="39">
        <v>-4248016.0300417049</v>
      </c>
      <c r="F49" s="58">
        <v>6178784.7683636406</v>
      </c>
      <c r="G49" s="58"/>
      <c r="H49" s="58">
        <f t="shared" si="0"/>
        <v>6178784.7683636406</v>
      </c>
      <c r="I49" s="59">
        <f>B49*VLOOKUP(I$9,'GI Factors'!A:M,4,FALSE)+C49*VLOOKUP(I$9,'GI Factors'!A:M,7,FALSE)+D49*VLOOKUP(I$9,'GI Factors'!A:M,10,FALSE)+E49*VLOOKUP(I$9,'GI Factors'!A:M,13,FALSE)</f>
        <v>6265575.1773019508</v>
      </c>
      <c r="J49" s="60">
        <v>7095187.2800000003</v>
      </c>
      <c r="K49" s="59">
        <v>590434</v>
      </c>
      <c r="L49" s="61"/>
      <c r="M49" s="59">
        <f t="shared" si="31"/>
        <v>7685621.2800000003</v>
      </c>
      <c r="N49" s="241">
        <v>-1085574.8903882122</v>
      </c>
      <c r="O49" s="243">
        <v>-2824273.0175205502</v>
      </c>
      <c r="P49" s="62">
        <f t="shared" si="24"/>
        <v>6600046.3896117881</v>
      </c>
      <c r="Q49" s="63">
        <f t="shared" si="32"/>
        <v>-2824273.0175205502</v>
      </c>
      <c r="R49" s="63">
        <f t="shared" si="33"/>
        <v>0</v>
      </c>
      <c r="S49" s="60">
        <f t="shared" si="34"/>
        <v>-2824273.0175205502</v>
      </c>
      <c r="T49" s="46">
        <f t="shared" si="35"/>
        <v>0</v>
      </c>
      <c r="U49" s="46" t="e">
        <f t="shared" si="36"/>
        <v>#DIV/0!</v>
      </c>
      <c r="V49" s="46" t="e">
        <f t="shared" si="37"/>
        <v>#DIV/0!</v>
      </c>
      <c r="W49" s="64">
        <f t="shared" si="38"/>
        <v>40</v>
      </c>
      <c r="X49" s="59">
        <f t="shared" si="39"/>
        <v>3775773.3720912379</v>
      </c>
      <c r="Y49" s="65">
        <v>2003</v>
      </c>
      <c r="Z49" s="66">
        <v>2043</v>
      </c>
      <c r="AA49" s="50">
        <f t="shared" si="26"/>
        <v>26</v>
      </c>
      <c r="AB49" s="50">
        <f t="shared" si="27"/>
        <v>2048</v>
      </c>
      <c r="AC49" s="51">
        <f t="shared" si="28"/>
        <v>2049</v>
      </c>
      <c r="AD49" s="52">
        <f>(B49*$AD$10)*VLOOKUP(AB49,'GI Factors'!A:M,4,FALSE)+(C49*$AD$10)*VLOOKUP(AB49,'GI Factors'!A:M,7,FALSE)+(D49*$AD$10)*VLOOKUP(AB49,'GI Factors'!A:M,10,FALSE)+(E49*$AD$10)*VLOOKUP(AB49,'GI Factors'!A:M,13,FALSE)</f>
        <v>5518341.9262510967</v>
      </c>
      <c r="AE49" s="52">
        <f>(B49*$AE$10)*VLOOKUP(AC49,'GI Factors'!A:M,4,FALSE)+(C49*$AE$10)*VLOOKUP(AC49,'GI Factors'!A:M,7,FALSE)+(D49*$AE$10)*VLOOKUP(AC49,'GI Factors'!A:M,10,FALSE)+(E49*$AE$10)*VLOOKUP(AC49,'GI Factors'!A:M,13,FALSE)</f>
        <v>13338933.472639725</v>
      </c>
      <c r="AF49" s="53">
        <f t="shared" si="40"/>
        <v>18857275.398890823</v>
      </c>
      <c r="AG49" s="53">
        <f t="shared" si="41"/>
        <v>15081502.026799586</v>
      </c>
      <c r="AH49" s="54">
        <f t="shared" si="29"/>
        <v>4.3848649585281667E-2</v>
      </c>
      <c r="AI49" s="53">
        <f t="shared" si="42"/>
        <v>4941612.8807619708</v>
      </c>
      <c r="AJ49" s="53"/>
      <c r="AK49" s="55">
        <f t="shared" si="30"/>
        <v>322282.20986762742</v>
      </c>
      <c r="AL49" s="55">
        <f t="shared" si="22"/>
        <v>336413.84955568321</v>
      </c>
      <c r="AM49" s="55">
        <f t="shared" si="25"/>
        <v>351165.14256048604</v>
      </c>
      <c r="AN49" s="55">
        <f t="shared" si="23"/>
        <v>366563.2598431863</v>
      </c>
      <c r="AO49" s="55">
        <f t="shared" si="43"/>
        <v>344106.11545674573</v>
      </c>
    </row>
    <row r="50" spans="1:41" s="56" customFormat="1" ht="11.25">
      <c r="A50" s="57" t="s">
        <v>78</v>
      </c>
      <c r="B50" s="38">
        <v>4839859.2535168575</v>
      </c>
      <c r="C50" s="38">
        <v>5288187.7770685684</v>
      </c>
      <c r="D50" s="38">
        <v>259597.68562062192</v>
      </c>
      <c r="E50" s="39">
        <v>-4234964.6550417049</v>
      </c>
      <c r="F50" s="58">
        <v>6152680.0611643447</v>
      </c>
      <c r="G50" s="58"/>
      <c r="H50" s="58">
        <f t="shared" si="0"/>
        <v>6152680.0611643447</v>
      </c>
      <c r="I50" s="59">
        <f>B50*VLOOKUP(I$9,'GI Factors'!A:M,4,FALSE)+C50*VLOOKUP(I$9,'GI Factors'!A:M,7,FALSE)+D50*VLOOKUP(I$9,'GI Factors'!A:M,10,FALSE)+E50*VLOOKUP(I$9,'GI Factors'!A:M,13,FALSE)</f>
        <v>6239292.3109606458</v>
      </c>
      <c r="J50" s="60">
        <v>7720192.1100000003</v>
      </c>
      <c r="K50" s="59">
        <v>584194</v>
      </c>
      <c r="L50" s="61"/>
      <c r="M50" s="59">
        <f t="shared" si="31"/>
        <v>8304386.1100000003</v>
      </c>
      <c r="N50" s="241">
        <v>-1505406.0534520419</v>
      </c>
      <c r="O50" s="243"/>
      <c r="P50" s="62">
        <f t="shared" si="24"/>
        <v>6798980.0565479584</v>
      </c>
      <c r="Q50" s="63">
        <f t="shared" si="32"/>
        <v>0</v>
      </c>
      <c r="R50" s="63">
        <f t="shared" si="33"/>
        <v>0</v>
      </c>
      <c r="S50" s="60">
        <f t="shared" si="34"/>
        <v>0</v>
      </c>
      <c r="T50" s="46">
        <f t="shared" si="35"/>
        <v>0</v>
      </c>
      <c r="U50" s="46" t="e">
        <f t="shared" si="36"/>
        <v>#DIV/0!</v>
      </c>
      <c r="V50" s="46" t="e">
        <f t="shared" si="37"/>
        <v>#DIV/0!</v>
      </c>
      <c r="W50" s="64">
        <f t="shared" si="38"/>
        <v>40</v>
      </c>
      <c r="X50" s="59">
        <f t="shared" si="39"/>
        <v>6798980.0565479584</v>
      </c>
      <c r="Y50" s="65">
        <v>2002</v>
      </c>
      <c r="Z50" s="66">
        <v>2042</v>
      </c>
      <c r="AA50" s="50">
        <f t="shared" si="26"/>
        <v>25</v>
      </c>
      <c r="AB50" s="50">
        <f t="shared" si="27"/>
        <v>2047</v>
      </c>
      <c r="AC50" s="51">
        <f t="shared" si="28"/>
        <v>2048</v>
      </c>
      <c r="AD50" s="52">
        <f>(B50*$AD$10)*VLOOKUP(AB50,'GI Factors'!A:M,4,FALSE)+(C50*$AD$10)*VLOOKUP(AB50,'GI Factors'!A:M,7,FALSE)+(D50*$AD$10)*VLOOKUP(AB50,'GI Factors'!A:M,10,FALSE)+(E50*$AD$10)*VLOOKUP(AB50,'GI Factors'!A:M,13,FALSE)</f>
        <v>5305831.9040478254</v>
      </c>
      <c r="AE50" s="52">
        <f>(B50*$AE$10)*VLOOKUP(AC50,'GI Factors'!A:M,4,FALSE)+(C50*$AE$10)*VLOOKUP(AC50,'GI Factors'!A:M,7,FALSE)+(D50*$AE$10)*VLOOKUP(AC50,'GI Factors'!A:M,10,FALSE)+(E50*$AE$10)*VLOOKUP(AC50,'GI Factors'!A:M,13,FALSE)</f>
        <v>12824781.580080062</v>
      </c>
      <c r="AF50" s="53">
        <f t="shared" si="40"/>
        <v>18130613.484127887</v>
      </c>
      <c r="AG50" s="53">
        <f t="shared" si="41"/>
        <v>11331633.427579928</v>
      </c>
      <c r="AH50" s="54">
        <f t="shared" si="29"/>
        <v>4.4176528452423675E-2</v>
      </c>
      <c r="AI50" s="53">
        <f t="shared" si="42"/>
        <v>3845425.0382277295</v>
      </c>
      <c r="AJ50" s="53"/>
      <c r="AK50" s="55">
        <f t="shared" si="30"/>
        <v>257138.16416904633</v>
      </c>
      <c r="AL50" s="55">
        <f t="shared" si="22"/>
        <v>268497.6355946642</v>
      </c>
      <c r="AM50" s="55">
        <f t="shared" si="25"/>
        <v>280358.92903292034</v>
      </c>
      <c r="AN50" s="55">
        <f t="shared" si="23"/>
        <v>292744.21323823417</v>
      </c>
      <c r="AO50" s="55">
        <f t="shared" si="43"/>
        <v>274684.73550871626</v>
      </c>
    </row>
    <row r="51" spans="1:41" s="56" customFormat="1" ht="12.75">
      <c r="A51" s="57" t="s">
        <v>79</v>
      </c>
      <c r="B51" s="38">
        <v>19566570.034988631</v>
      </c>
      <c r="C51" s="38">
        <v>13474309.196746578</v>
      </c>
      <c r="D51" s="38">
        <v>400221.39776833251</v>
      </c>
      <c r="E51" s="39">
        <v>-278298.92971855565</v>
      </c>
      <c r="F51" s="58">
        <v>33162801.699784983</v>
      </c>
      <c r="G51" s="58"/>
      <c r="H51" s="58">
        <f t="shared" si="0"/>
        <v>33162801.699784983</v>
      </c>
      <c r="I51" s="59">
        <f>B51*VLOOKUP(I$9,'GI Factors'!A:M,4,FALSE)+C51*VLOOKUP(I$9,'GI Factors'!A:M,7,FALSE)+D51*VLOOKUP(I$9,'GI Factors'!A:M,10,FALSE)+E51*VLOOKUP(I$9,'GI Factors'!A:M,13,FALSE)</f>
        <v>33110495.758596279</v>
      </c>
      <c r="J51" s="60">
        <v>20717508.52</v>
      </c>
      <c r="K51" s="59">
        <v>838968</v>
      </c>
      <c r="L51" s="61"/>
      <c r="M51" s="59">
        <f t="shared" si="31"/>
        <v>21556476.52</v>
      </c>
      <c r="N51" s="241"/>
      <c r="O51" s="243"/>
      <c r="P51" s="62">
        <f t="shared" si="24"/>
        <v>43000788.807976007</v>
      </c>
      <c r="Q51" s="63">
        <f t="shared" si="32"/>
        <v>-21444312.287976008</v>
      </c>
      <c r="R51" s="63">
        <f t="shared" si="33"/>
        <v>0</v>
      </c>
      <c r="S51" s="60">
        <f t="shared" si="34"/>
        <v>-21444312.287976008</v>
      </c>
      <c r="T51" s="46">
        <f t="shared" si="35"/>
        <v>0</v>
      </c>
      <c r="U51" s="46" t="e">
        <f t="shared" si="36"/>
        <v>#DIV/0!</v>
      </c>
      <c r="V51" s="46" t="e">
        <f t="shared" si="37"/>
        <v>#DIV/0!</v>
      </c>
      <c r="W51" s="64">
        <f t="shared" si="38"/>
        <v>50</v>
      </c>
      <c r="X51" s="59">
        <f t="shared" si="39"/>
        <v>21556476.52</v>
      </c>
      <c r="Y51" s="65">
        <v>1989</v>
      </c>
      <c r="Z51" s="66">
        <v>2039</v>
      </c>
      <c r="AA51" s="50">
        <f t="shared" si="26"/>
        <v>22</v>
      </c>
      <c r="AB51" s="50">
        <f t="shared" si="27"/>
        <v>2044</v>
      </c>
      <c r="AC51" s="51">
        <f t="shared" si="28"/>
        <v>2045</v>
      </c>
      <c r="AD51" s="52">
        <f>(B51*$AD$10)*VLOOKUP(AB51,'GI Factors'!A:M,4,FALSE)+(C51*$AD$10)*VLOOKUP(AB51,'GI Factors'!A:M,7,FALSE)+(D51*$AD$10)*VLOOKUP(AB51,'GI Factors'!A:M,10,FALSE)+(E51*$AD$10)*VLOOKUP(AB51,'GI Factors'!A:M,13,FALSE)</f>
        <v>22540623.594333939</v>
      </c>
      <c r="AE51" s="52">
        <f>(B51*$AE$10)*VLOOKUP(AC51,'GI Factors'!A:M,4,FALSE)+(C51*$AE$10)*VLOOKUP(AC51,'GI Factors'!A:M,7,FALSE)+(D51*$AE$10)*VLOOKUP(AC51,'GI Factors'!A:M,10,FALSE)+(E51*$AE$10)*VLOOKUP(AC51,'GI Factors'!A:M,13,FALSE)</f>
        <v>54246499.277051777</v>
      </c>
      <c r="AF51" s="53">
        <f t="shared" si="40"/>
        <v>76787122.871385723</v>
      </c>
      <c r="AG51" s="53">
        <f t="shared" si="41"/>
        <v>55230646.351385728</v>
      </c>
      <c r="AH51" s="54">
        <f t="shared" si="29"/>
        <v>3.8901605292179307E-2</v>
      </c>
      <c r="AI51" s="53">
        <f t="shared" si="42"/>
        <v>23852996.494865347</v>
      </c>
      <c r="AJ51" s="53"/>
      <c r="AK51" s="55">
        <f t="shared" si="30"/>
        <v>1633315.8656098226</v>
      </c>
      <c r="AL51" s="55">
        <f t="shared" si="22"/>
        <v>1696854.4747312302</v>
      </c>
      <c r="AM51" s="55">
        <f t="shared" si="25"/>
        <v>1762864.8377454928</v>
      </c>
      <c r="AN51" s="55">
        <f t="shared" si="23"/>
        <v>1831443.1098469298</v>
      </c>
      <c r="AO51" s="55">
        <f t="shared" si="43"/>
        <v>1731119.5719833688</v>
      </c>
    </row>
    <row r="52" spans="1:41" s="56" customFormat="1" ht="12.75">
      <c r="A52" s="57" t="s">
        <v>80</v>
      </c>
      <c r="B52" s="38">
        <v>556917.10282394534</v>
      </c>
      <c r="C52" s="38">
        <v>737409.10888827627</v>
      </c>
      <c r="D52" s="38">
        <v>47496.164233896532</v>
      </c>
      <c r="E52" s="39">
        <v>-342321.83930238901</v>
      </c>
      <c r="F52" s="58">
        <v>999500.53664372896</v>
      </c>
      <c r="G52" s="58"/>
      <c r="H52" s="58">
        <f t="shared" si="0"/>
        <v>999500.53664372896</v>
      </c>
      <c r="I52" s="59">
        <f>B52*VLOOKUP(I$9,'GI Factors'!A:M,4,FALSE)+C52*VLOOKUP(I$9,'GI Factors'!A:M,7,FALSE)+D52*VLOOKUP(I$9,'GI Factors'!A:M,10,FALSE)+E52*VLOOKUP(I$9,'GI Factors'!A:M,13,FALSE)</f>
        <v>997974.95041158632</v>
      </c>
      <c r="J52" s="60">
        <v>2629244</v>
      </c>
      <c r="K52" s="59">
        <v>100217</v>
      </c>
      <c r="L52" s="61"/>
      <c r="M52" s="59">
        <f t="shared" si="31"/>
        <v>2729461</v>
      </c>
      <c r="N52" s="241">
        <v>-1458440.1039681011</v>
      </c>
      <c r="O52" s="243"/>
      <c r="P52" s="62">
        <f t="shared" si="24"/>
        <v>1271020.8960318989</v>
      </c>
      <c r="Q52" s="63">
        <f t="shared" si="32"/>
        <v>0</v>
      </c>
      <c r="R52" s="63">
        <f t="shared" si="33"/>
        <v>0</v>
      </c>
      <c r="S52" s="60">
        <f t="shared" si="34"/>
        <v>0</v>
      </c>
      <c r="T52" s="46">
        <f t="shared" si="35"/>
        <v>0</v>
      </c>
      <c r="U52" s="46" t="e">
        <f t="shared" si="36"/>
        <v>#DIV/0!</v>
      </c>
      <c r="V52" s="46" t="e">
        <f t="shared" si="37"/>
        <v>#DIV/0!</v>
      </c>
      <c r="W52" s="64">
        <f t="shared" si="38"/>
        <v>50</v>
      </c>
      <c r="X52" s="59">
        <f t="shared" si="39"/>
        <v>1271020.8960318989</v>
      </c>
      <c r="Y52" s="65">
        <v>1989</v>
      </c>
      <c r="Z52" s="66">
        <v>2039</v>
      </c>
      <c r="AA52" s="50">
        <f t="shared" si="26"/>
        <v>22</v>
      </c>
      <c r="AB52" s="50">
        <f t="shared" si="27"/>
        <v>2044</v>
      </c>
      <c r="AC52" s="51">
        <f t="shared" si="28"/>
        <v>2045</v>
      </c>
      <c r="AD52" s="52">
        <f>(B52*$AD$10)*VLOOKUP(AB52,'GI Factors'!A:M,4,FALSE)+(C52*$AD$10)*VLOOKUP(AB52,'GI Factors'!A:M,7,FALSE)+(D52*$AD$10)*VLOOKUP(AB52,'GI Factors'!A:M,10,FALSE)+(E52*$AD$10)*VLOOKUP(AB52,'GI Factors'!A:M,13,FALSE)</f>
        <v>666366.90344621334</v>
      </c>
      <c r="AE52" s="52">
        <f>(B52*$AE$10)*VLOOKUP(AC52,'GI Factors'!A:M,4,FALSE)+(C52*$AE$10)*VLOOKUP(AC52,'GI Factors'!A:M,7,FALSE)+(D52*$AE$10)*VLOOKUP(AC52,'GI Factors'!A:M,10,FALSE)+(E52*$AE$10)*VLOOKUP(AC52,'GI Factors'!A:M,13,FALSE)</f>
        <v>1603313.2680393206</v>
      </c>
      <c r="AF52" s="53">
        <f t="shared" si="40"/>
        <v>2269680.1714855339</v>
      </c>
      <c r="AG52" s="53">
        <f t="shared" si="41"/>
        <v>998659.27545363503</v>
      </c>
      <c r="AH52" s="54">
        <f t="shared" si="29"/>
        <v>3.798260193133926E-2</v>
      </c>
      <c r="AI52" s="53">
        <f t="shared" si="42"/>
        <v>439780.23612324207</v>
      </c>
      <c r="AJ52" s="53"/>
      <c r="AK52" s="55">
        <f t="shared" si="30"/>
        <v>29848.323183241529</v>
      </c>
      <c r="AL52" s="55">
        <f t="shared" si="22"/>
        <v>30982.040161028555</v>
      </c>
      <c r="AM52" s="55">
        <f t="shared" si="25"/>
        <v>32158.818659485667</v>
      </c>
      <c r="AN52" s="55">
        <f t="shared" si="23"/>
        <v>33380.294267211037</v>
      </c>
      <c r="AO52" s="55">
        <f t="shared" si="43"/>
        <v>31592.369067741696</v>
      </c>
    </row>
    <row r="53" spans="1:41" s="56" customFormat="1" ht="12.75">
      <c r="A53" s="57" t="s">
        <v>81</v>
      </c>
      <c r="B53" s="38">
        <v>8470120.8228993118</v>
      </c>
      <c r="C53" s="38">
        <v>11215213.568624601</v>
      </c>
      <c r="D53" s="38">
        <v>829599.39023714548</v>
      </c>
      <c r="E53" s="39">
        <v>-5554476.2440460529</v>
      </c>
      <c r="F53" s="58">
        <v>14960457.537715005</v>
      </c>
      <c r="G53" s="58"/>
      <c r="H53" s="58">
        <f t="shared" si="0"/>
        <v>14960457.537715005</v>
      </c>
      <c r="I53" s="59">
        <f>B53*VLOOKUP(I$9,'GI Factors'!A:M,4,FALSE)+C53*VLOOKUP(I$9,'GI Factors'!A:M,7,FALSE)+D53*VLOOKUP(I$9,'GI Factors'!A:M,10,FALSE)+E53*VLOOKUP(I$9,'GI Factors'!A:M,13,FALSE)</f>
        <v>14953704.662484899</v>
      </c>
      <c r="J53" s="60">
        <v>18259841.52</v>
      </c>
      <c r="K53" s="59">
        <v>831142</v>
      </c>
      <c r="L53" s="61"/>
      <c r="M53" s="59">
        <f t="shared" si="31"/>
        <v>19090983.52</v>
      </c>
      <c r="N53" s="241"/>
      <c r="O53" s="243"/>
      <c r="P53" s="62">
        <f t="shared" si="24"/>
        <v>19183499.37825809</v>
      </c>
      <c r="Q53" s="63">
        <f t="shared" si="32"/>
        <v>-92515.858258090913</v>
      </c>
      <c r="R53" s="63">
        <f t="shared" si="33"/>
        <v>0</v>
      </c>
      <c r="S53" s="60">
        <f t="shared" si="34"/>
        <v>-92515.858258090913</v>
      </c>
      <c r="T53" s="46">
        <f t="shared" si="35"/>
        <v>0</v>
      </c>
      <c r="U53" s="46" t="e">
        <f t="shared" si="36"/>
        <v>#DIV/0!</v>
      </c>
      <c r="V53" s="46" t="e">
        <f t="shared" si="37"/>
        <v>#DIV/0!</v>
      </c>
      <c r="W53" s="64">
        <f t="shared" si="38"/>
        <v>50</v>
      </c>
      <c r="X53" s="59">
        <f t="shared" si="39"/>
        <v>19090983.52</v>
      </c>
      <c r="Y53" s="65">
        <v>1989</v>
      </c>
      <c r="Z53" s="66">
        <v>2039</v>
      </c>
      <c r="AA53" s="50">
        <f t="shared" si="26"/>
        <v>22</v>
      </c>
      <c r="AB53" s="50">
        <f t="shared" si="27"/>
        <v>2044</v>
      </c>
      <c r="AC53" s="51">
        <f t="shared" si="28"/>
        <v>2045</v>
      </c>
      <c r="AD53" s="52">
        <f>(B53*$AD$10)*VLOOKUP(AB53,'GI Factors'!A:M,4,FALSE)+(C53*$AD$10)*VLOOKUP(AB53,'GI Factors'!A:M,7,FALSE)+(D53*$AD$10)*VLOOKUP(AB53,'GI Factors'!A:M,10,FALSE)+(E53*$AD$10)*VLOOKUP(AB53,'GI Factors'!A:M,13,FALSE)</f>
        <v>10055641.629186355</v>
      </c>
      <c r="AE53" s="52">
        <f>(B53*$AE$10)*VLOOKUP(AC53,'GI Factors'!A:M,4,FALSE)+(C53*$AE$10)*VLOOKUP(AC53,'GI Factors'!A:M,7,FALSE)+(D53*$AE$10)*VLOOKUP(AC53,'GI Factors'!A:M,10,FALSE)+(E53*$AE$10)*VLOOKUP(AC53,'GI Factors'!A:M,13,FALSE)</f>
        <v>24200607.260560237</v>
      </c>
      <c r="AF53" s="53">
        <f t="shared" si="40"/>
        <v>34256248.889746591</v>
      </c>
      <c r="AG53" s="53">
        <f t="shared" si="41"/>
        <v>15165265.369746592</v>
      </c>
      <c r="AH53" s="54">
        <f t="shared" si="29"/>
        <v>3.8375218783529064E-2</v>
      </c>
      <c r="AI53" s="53">
        <f t="shared" si="42"/>
        <v>6623005.0272720298</v>
      </c>
      <c r="AJ53" s="53"/>
      <c r="AK53" s="55">
        <f t="shared" si="30"/>
        <v>451214.61704316823</v>
      </c>
      <c r="AL53" s="55">
        <f t="shared" si="22"/>
        <v>468530.0766905261</v>
      </c>
      <c r="AM53" s="55">
        <f t="shared" si="25"/>
        <v>486510.02089018869</v>
      </c>
      <c r="AN53" s="55">
        <f t="shared" si="23"/>
        <v>505179.94938222901</v>
      </c>
      <c r="AO53" s="55">
        <f t="shared" si="43"/>
        <v>477858.66600152798</v>
      </c>
    </row>
    <row r="54" spans="1:41" s="56" customFormat="1" ht="12.75">
      <c r="A54" s="57" t="s">
        <v>82</v>
      </c>
      <c r="B54" s="38">
        <v>8292084.9991814019</v>
      </c>
      <c r="C54" s="38">
        <v>5754739.7903140308</v>
      </c>
      <c r="D54" s="38">
        <v>239758.63759551849</v>
      </c>
      <c r="E54" s="39">
        <v>-99201.294885700976</v>
      </c>
      <c r="F54" s="58">
        <v>14187382.132205252</v>
      </c>
      <c r="G54" s="58"/>
      <c r="H54" s="58">
        <f t="shared" si="0"/>
        <v>14187382.132205252</v>
      </c>
      <c r="I54" s="59">
        <f>B54*VLOOKUP(I$9,'GI Factors'!A:M,4,FALSE)+C54*VLOOKUP(I$9,'GI Factors'!A:M,7,FALSE)+D54*VLOOKUP(I$9,'GI Factors'!A:M,10,FALSE)+E54*VLOOKUP(I$9,'GI Factors'!A:M,13,FALSE)</f>
        <v>14163437.086053571</v>
      </c>
      <c r="J54" s="60">
        <v>10713388.48</v>
      </c>
      <c r="K54" s="59">
        <v>395707</v>
      </c>
      <c r="L54" s="61"/>
      <c r="M54" s="59">
        <f t="shared" si="31"/>
        <v>11109095.48</v>
      </c>
      <c r="N54" s="241"/>
      <c r="O54" s="243"/>
      <c r="P54" s="62">
        <f t="shared" si="24"/>
        <v>18421199.850128684</v>
      </c>
      <c r="Q54" s="63">
        <f t="shared" si="32"/>
        <v>-7312104.3701286837</v>
      </c>
      <c r="R54" s="63">
        <f t="shared" si="33"/>
        <v>0</v>
      </c>
      <c r="S54" s="60">
        <f t="shared" si="34"/>
        <v>-7312104.3701286837</v>
      </c>
      <c r="T54" s="46">
        <f t="shared" si="35"/>
        <v>0</v>
      </c>
      <c r="U54" s="46" t="e">
        <f t="shared" si="36"/>
        <v>#DIV/0!</v>
      </c>
      <c r="V54" s="46" t="e">
        <f t="shared" si="37"/>
        <v>#DIV/0!</v>
      </c>
      <c r="W54" s="64">
        <f t="shared" si="38"/>
        <v>50</v>
      </c>
      <c r="X54" s="59">
        <f t="shared" si="39"/>
        <v>11109095.48</v>
      </c>
      <c r="Y54" s="65">
        <v>1988</v>
      </c>
      <c r="Z54" s="66">
        <v>2038</v>
      </c>
      <c r="AA54" s="50">
        <f t="shared" si="26"/>
        <v>21</v>
      </c>
      <c r="AB54" s="50">
        <f t="shared" si="27"/>
        <v>2043</v>
      </c>
      <c r="AC54" s="51">
        <f t="shared" si="28"/>
        <v>2044</v>
      </c>
      <c r="AD54" s="52">
        <f>(B54*$AD$10)*VLOOKUP(AB54,'GI Factors'!A:M,4,FALSE)+(C54*$AD$10)*VLOOKUP(AB54,'GI Factors'!A:M,7,FALSE)+(D54*$AD$10)*VLOOKUP(AB54,'GI Factors'!A:M,10,FALSE)+(E54*$AD$10)*VLOOKUP(AB54,'GI Factors'!A:M,13,FALSE)</f>
        <v>9324623.1329505034</v>
      </c>
      <c r="AE54" s="52">
        <f>(B54*$AE$10)*VLOOKUP(AC54,'GI Factors'!A:M,4,FALSE)+(C54*$AE$10)*VLOOKUP(AC54,'GI Factors'!A:M,7,FALSE)+(D54*$AE$10)*VLOOKUP(AC54,'GI Factors'!A:M,10,FALSE)+(E54*$AE$10)*VLOOKUP(AC54,'GI Factors'!A:M,13,FALSE)</f>
        <v>22436066.263823088</v>
      </c>
      <c r="AF54" s="53">
        <f t="shared" si="40"/>
        <v>31760689.396773592</v>
      </c>
      <c r="AG54" s="53">
        <f t="shared" si="41"/>
        <v>20651593.916773591</v>
      </c>
      <c r="AH54" s="54">
        <f t="shared" si="29"/>
        <v>3.9120897195954379E-2</v>
      </c>
      <c r="AI54" s="53">
        <f t="shared" si="42"/>
        <v>9224990.3922474738</v>
      </c>
      <c r="AJ54" s="53"/>
      <c r="AK54" s="55">
        <f t="shared" si="30"/>
        <v>652245.5831555305</v>
      </c>
      <c r="AL54" s="55">
        <f t="shared" si="22"/>
        <v>677762.01556067343</v>
      </c>
      <c r="AM54" s="55">
        <f t="shared" si="25"/>
        <v>704276.6736947454</v>
      </c>
      <c r="AN54" s="55">
        <f t="shared" si="23"/>
        <v>731828.60904386628</v>
      </c>
      <c r="AO54" s="55">
        <f t="shared" si="43"/>
        <v>691528.22036370391</v>
      </c>
    </row>
    <row r="55" spans="1:41" s="56" customFormat="1" ht="12.75">
      <c r="A55" s="57" t="s">
        <v>83</v>
      </c>
      <c r="B55" s="38">
        <v>520217.43105171109</v>
      </c>
      <c r="C55" s="38">
        <v>568406.50031437713</v>
      </c>
      <c r="D55" s="38">
        <v>37619.327488126102</v>
      </c>
      <c r="E55" s="39">
        <v>-12837.725679812991</v>
      </c>
      <c r="F55" s="58">
        <v>1113405.5331744014</v>
      </c>
      <c r="G55" s="58"/>
      <c r="H55" s="58">
        <f t="shared" si="0"/>
        <v>1113405.5331744014</v>
      </c>
      <c r="I55" s="59">
        <f>B55*VLOOKUP(I$9,'GI Factors'!A:M,4,FALSE)+C55*VLOOKUP(I$9,'GI Factors'!A:M,7,FALSE)+D55*VLOOKUP(I$9,'GI Factors'!A:M,10,FALSE)+E55*VLOOKUP(I$9,'GI Factors'!A:M,13,FALSE)</f>
        <v>1103712.8635707966</v>
      </c>
      <c r="J55" s="60">
        <v>3311806.96</v>
      </c>
      <c r="K55" s="59">
        <v>134550</v>
      </c>
      <c r="L55" s="61"/>
      <c r="M55" s="59">
        <f t="shared" si="31"/>
        <v>3446356.96</v>
      </c>
      <c r="N55" s="241">
        <v>-2116861.6073687249</v>
      </c>
      <c r="O55" s="243"/>
      <c r="P55" s="62">
        <f t="shared" si="24"/>
        <v>1329495.3526312751</v>
      </c>
      <c r="Q55" s="63">
        <f t="shared" si="32"/>
        <v>0</v>
      </c>
      <c r="R55" s="63">
        <f t="shared" si="33"/>
        <v>0</v>
      </c>
      <c r="S55" s="60">
        <f t="shared" si="34"/>
        <v>0</v>
      </c>
      <c r="T55" s="46">
        <f t="shared" si="35"/>
        <v>0</v>
      </c>
      <c r="U55" s="46" t="e">
        <f t="shared" si="36"/>
        <v>#DIV/0!</v>
      </c>
      <c r="V55" s="46" t="e">
        <f t="shared" si="37"/>
        <v>#DIV/0!</v>
      </c>
      <c r="W55" s="64">
        <f t="shared" si="38"/>
        <v>50</v>
      </c>
      <c r="X55" s="59">
        <f t="shared" si="39"/>
        <v>1329495.3526312751</v>
      </c>
      <c r="Y55" s="65">
        <v>1988</v>
      </c>
      <c r="Z55" s="66">
        <v>2038</v>
      </c>
      <c r="AA55" s="50">
        <f t="shared" si="26"/>
        <v>21</v>
      </c>
      <c r="AB55" s="50">
        <f t="shared" si="27"/>
        <v>2043</v>
      </c>
      <c r="AC55" s="51">
        <f t="shared" si="28"/>
        <v>2044</v>
      </c>
      <c r="AD55" s="52">
        <f>(B55*$AD$10)*VLOOKUP(AB55,'GI Factors'!A:M,4,FALSE)+(C55*$AD$10)*VLOOKUP(AB55,'GI Factors'!A:M,7,FALSE)+(D55*$AD$10)*VLOOKUP(AB55,'GI Factors'!A:M,10,FALSE)+(E55*$AD$10)*VLOOKUP(AB55,'GI Factors'!A:M,13,FALSE)</f>
        <v>674219.101459653</v>
      </c>
      <c r="AE55" s="52">
        <f>(B55*$AE$10)*VLOOKUP(AC55,'GI Factors'!A:M,4,FALSE)+(C55*$AE$10)*VLOOKUP(AC55,'GI Factors'!A:M,7,FALSE)+(D55*$AE$10)*VLOOKUP(AC55,'GI Factors'!A:M,10,FALSE)+(E55*$AE$10)*VLOOKUP(AC55,'GI Factors'!A:M,13,FALSE)</f>
        <v>1618014.2651459933</v>
      </c>
      <c r="AF55" s="53">
        <f t="shared" si="40"/>
        <v>2292233.3666056464</v>
      </c>
      <c r="AG55" s="53">
        <f t="shared" si="41"/>
        <v>962738.01397437137</v>
      </c>
      <c r="AH55" s="54">
        <f t="shared" si="29"/>
        <v>3.4983897699830215E-2</v>
      </c>
      <c r="AI55" s="53">
        <f t="shared" si="42"/>
        <v>467630.32393324788</v>
      </c>
      <c r="AJ55" s="53"/>
      <c r="AK55" s="55">
        <f t="shared" si="30"/>
        <v>31811.145533981628</v>
      </c>
      <c r="AL55" s="55">
        <f t="shared" si="22"/>
        <v>32924.023395056851</v>
      </c>
      <c r="AM55" s="55">
        <f t="shared" si="25"/>
        <v>34075.834061376336</v>
      </c>
      <c r="AN55" s="55">
        <f t="shared" si="23"/>
        <v>35267.939554215918</v>
      </c>
      <c r="AO55" s="55">
        <f t="shared" si="43"/>
        <v>33519.735636157682</v>
      </c>
    </row>
    <row r="56" spans="1:41" s="56" customFormat="1" ht="12.75">
      <c r="A56" s="57" t="s">
        <v>84</v>
      </c>
      <c r="B56" s="38">
        <v>1959622.5233882442</v>
      </c>
      <c r="C56" s="38">
        <v>2141147.3625642876</v>
      </c>
      <c r="D56" s="38">
        <v>152475.15284445134</v>
      </c>
      <c r="E56" s="39">
        <v>-1090922.3395134397</v>
      </c>
      <c r="F56" s="58">
        <v>3162322.699283544</v>
      </c>
      <c r="G56" s="58"/>
      <c r="H56" s="58">
        <f t="shared" si="0"/>
        <v>3162322.699283544</v>
      </c>
      <c r="I56" s="59">
        <f>B56*VLOOKUP(I$9,'GI Factors'!A:M,4,FALSE)+C56*VLOOKUP(I$9,'GI Factors'!A:M,7,FALSE)+D56*VLOOKUP(I$9,'GI Factors'!A:M,10,FALSE)+E56*VLOOKUP(I$9,'GI Factors'!A:M,13,FALSE)</f>
        <v>3171034.1502597495</v>
      </c>
      <c r="J56" s="60">
        <v>5398792.4800000004</v>
      </c>
      <c r="K56" s="59">
        <v>205647</v>
      </c>
      <c r="L56" s="61"/>
      <c r="M56" s="59">
        <f t="shared" si="31"/>
        <v>5604439.4800000004</v>
      </c>
      <c r="N56" s="241">
        <v>-1320313.2354993355</v>
      </c>
      <c r="O56" s="243"/>
      <c r="P56" s="62">
        <f t="shared" si="24"/>
        <v>4284126.244500665</v>
      </c>
      <c r="Q56" s="63">
        <f t="shared" si="32"/>
        <v>0</v>
      </c>
      <c r="R56" s="63">
        <f t="shared" si="33"/>
        <v>0</v>
      </c>
      <c r="S56" s="60">
        <f t="shared" si="34"/>
        <v>0</v>
      </c>
      <c r="T56" s="46">
        <f t="shared" si="35"/>
        <v>0</v>
      </c>
      <c r="U56" s="46" t="e">
        <f t="shared" si="36"/>
        <v>#DIV/0!</v>
      </c>
      <c r="V56" s="46" t="e">
        <f t="shared" si="37"/>
        <v>#DIV/0!</v>
      </c>
      <c r="W56" s="64">
        <f t="shared" si="38"/>
        <v>51</v>
      </c>
      <c r="X56" s="59">
        <f t="shared" si="39"/>
        <v>4284126.244500665</v>
      </c>
      <c r="Y56" s="65">
        <v>1987</v>
      </c>
      <c r="Z56" s="66">
        <v>2038</v>
      </c>
      <c r="AA56" s="50">
        <f t="shared" si="26"/>
        <v>21</v>
      </c>
      <c r="AB56" s="50">
        <f t="shared" si="27"/>
        <v>2043</v>
      </c>
      <c r="AC56" s="51">
        <f t="shared" si="28"/>
        <v>2044</v>
      </c>
      <c r="AD56" s="52">
        <f>(B56*$AD$10)*VLOOKUP(AB56,'GI Factors'!A:M,4,FALSE)+(C56*$AD$10)*VLOOKUP(AB56,'GI Factors'!A:M,7,FALSE)+(D56*$AD$10)*VLOOKUP(AB56,'GI Factors'!A:M,10,FALSE)+(E56*$AD$10)*VLOOKUP(AB56,'GI Factors'!A:M,13,FALSE)</f>
        <v>2136479.2264046213</v>
      </c>
      <c r="AE56" s="52">
        <f>(B56*$AE$10)*VLOOKUP(AC56,'GI Factors'!A:M,4,FALSE)+(C56*$AE$10)*VLOOKUP(AC56,'GI Factors'!A:M,7,FALSE)+(D56*$AE$10)*VLOOKUP(AC56,'GI Factors'!A:M,10,FALSE)+(E56*$AE$10)*VLOOKUP(AC56,'GI Factors'!A:M,13,FALSE)</f>
        <v>5146535.3892465085</v>
      </c>
      <c r="AF56" s="53">
        <f t="shared" si="40"/>
        <v>7283014.6156511297</v>
      </c>
      <c r="AG56" s="53">
        <f t="shared" si="41"/>
        <v>2998888.3711504648</v>
      </c>
      <c r="AH56" s="54">
        <f t="shared" si="29"/>
        <v>4.0525238830380492E-2</v>
      </c>
      <c r="AI56" s="53">
        <f t="shared" si="42"/>
        <v>1302132.8761755736</v>
      </c>
      <c r="AJ56" s="53"/>
      <c r="AK56" s="55">
        <f t="shared" si="30"/>
        <v>93265.693283676737</v>
      </c>
      <c r="AL56" s="55">
        <f t="shared" si="22"/>
        <v>97045.307778678747</v>
      </c>
      <c r="AM56" s="55">
        <f t="shared" si="25"/>
        <v>100978.09205377748</v>
      </c>
      <c r="AN56" s="55">
        <f t="shared" si="23"/>
        <v>105070.25335089296</v>
      </c>
      <c r="AO56" s="55">
        <f t="shared" si="43"/>
        <v>99089.836616756482</v>
      </c>
    </row>
    <row r="57" spans="1:41" s="56" customFormat="1" ht="12.75">
      <c r="A57" s="57" t="s">
        <v>85</v>
      </c>
      <c r="B57" s="38">
        <v>1959622.5233882442</v>
      </c>
      <c r="C57" s="38">
        <v>2141147.3625642876</v>
      </c>
      <c r="D57" s="38">
        <v>152475.15284445134</v>
      </c>
      <c r="E57" s="39">
        <v>-1090922.3395134397</v>
      </c>
      <c r="F57" s="58">
        <v>3162322.699283544</v>
      </c>
      <c r="G57" s="58"/>
      <c r="H57" s="58">
        <f t="shared" si="0"/>
        <v>3162322.699283544</v>
      </c>
      <c r="I57" s="59">
        <f>B57*VLOOKUP(I$9,'GI Factors'!A:M,4,FALSE)+C57*VLOOKUP(I$9,'GI Factors'!A:M,7,FALSE)+D57*VLOOKUP(I$9,'GI Factors'!A:M,10,FALSE)+E57*VLOOKUP(I$9,'GI Factors'!A:M,13,FALSE)</f>
        <v>3171034.1502597495</v>
      </c>
      <c r="J57" s="60">
        <v>5290580</v>
      </c>
      <c r="K57" s="59">
        <v>206154</v>
      </c>
      <c r="L57" s="61"/>
      <c r="M57" s="59">
        <f t="shared" si="31"/>
        <v>5496734</v>
      </c>
      <c r="N57" s="241">
        <v>-1272585.5229223445</v>
      </c>
      <c r="O57" s="243"/>
      <c r="P57" s="62">
        <f t="shared" si="24"/>
        <v>4224148.4770776555</v>
      </c>
      <c r="Q57" s="63">
        <f t="shared" si="32"/>
        <v>0</v>
      </c>
      <c r="R57" s="63">
        <f t="shared" si="33"/>
        <v>0</v>
      </c>
      <c r="S57" s="60">
        <f t="shared" si="34"/>
        <v>0</v>
      </c>
      <c r="T57" s="46">
        <f t="shared" si="35"/>
        <v>0</v>
      </c>
      <c r="U57" s="46" t="e">
        <f t="shared" si="36"/>
        <v>#DIV/0!</v>
      </c>
      <c r="V57" s="46" t="e">
        <f t="shared" si="37"/>
        <v>#DIV/0!</v>
      </c>
      <c r="W57" s="64">
        <f t="shared" si="38"/>
        <v>50</v>
      </c>
      <c r="X57" s="59">
        <f t="shared" si="39"/>
        <v>4224148.4770776555</v>
      </c>
      <c r="Y57" s="65">
        <v>1988</v>
      </c>
      <c r="Z57" s="66">
        <v>2038</v>
      </c>
      <c r="AA57" s="50">
        <f t="shared" si="26"/>
        <v>21</v>
      </c>
      <c r="AB57" s="50">
        <f t="shared" si="27"/>
        <v>2043</v>
      </c>
      <c r="AC57" s="51">
        <f t="shared" si="28"/>
        <v>2044</v>
      </c>
      <c r="AD57" s="52">
        <f>(B57*$AD$10)*VLOOKUP(AB57,'GI Factors'!A:M,4,FALSE)+(C57*$AD$10)*VLOOKUP(AB57,'GI Factors'!A:M,7,FALSE)+(D57*$AD$10)*VLOOKUP(AB57,'GI Factors'!A:M,10,FALSE)+(E57*$AD$10)*VLOOKUP(AB57,'GI Factors'!A:M,13,FALSE)</f>
        <v>2136479.2264046213</v>
      </c>
      <c r="AE57" s="52">
        <f>(B57*$AE$10)*VLOOKUP(AC57,'GI Factors'!A:M,4,FALSE)+(C57*$AE$10)*VLOOKUP(AC57,'GI Factors'!A:M,7,FALSE)+(D57*$AE$10)*VLOOKUP(AC57,'GI Factors'!A:M,10,FALSE)+(E57*$AE$10)*VLOOKUP(AC57,'GI Factors'!A:M,13,FALSE)</f>
        <v>5146535.3892465085</v>
      </c>
      <c r="AF57" s="53">
        <f t="shared" si="40"/>
        <v>7283014.6156511297</v>
      </c>
      <c r="AG57" s="53">
        <f t="shared" si="41"/>
        <v>3058866.1385734743</v>
      </c>
      <c r="AH57" s="54">
        <f t="shared" si="29"/>
        <v>4.0525238830380492E-2</v>
      </c>
      <c r="AI57" s="53">
        <f t="shared" si="42"/>
        <v>1328175.533699085</v>
      </c>
      <c r="AJ57" s="53"/>
      <c r="AK57" s="55">
        <f t="shared" si="30"/>
        <v>95131.007149350262</v>
      </c>
      <c r="AL57" s="55">
        <f t="shared" si="22"/>
        <v>98986.213934252315</v>
      </c>
      <c r="AM57" s="55">
        <f t="shared" si="25"/>
        <v>102997.65389485304</v>
      </c>
      <c r="AN57" s="55">
        <f t="shared" si="23"/>
        <v>107171.65841791083</v>
      </c>
      <c r="AO57" s="55">
        <f t="shared" si="43"/>
        <v>101071.6333490916</v>
      </c>
    </row>
    <row r="58" spans="1:41" s="56" customFormat="1" ht="11.25">
      <c r="A58" s="57" t="s">
        <v>86</v>
      </c>
      <c r="B58" s="38">
        <v>408720</v>
      </c>
      <c r="C58" s="38">
        <v>518080</v>
      </c>
      <c r="D58" s="38">
        <v>223200</v>
      </c>
      <c r="E58" s="39">
        <v>-288800</v>
      </c>
      <c r="F58" s="58">
        <v>861200</v>
      </c>
      <c r="G58" s="58"/>
      <c r="H58" s="58">
        <f t="shared" si="0"/>
        <v>861200</v>
      </c>
      <c r="I58" s="59">
        <f>B58*VLOOKUP(I$9,'GI Factors'!A:M,4,FALSE)+C58*VLOOKUP(I$9,'GI Factors'!A:M,7,FALSE)+D58*VLOOKUP(I$9,'GI Factors'!A:M,10,FALSE)+E58*VLOOKUP(I$9,'GI Factors'!A:M,13,FALSE)</f>
        <v>865134.08350685181</v>
      </c>
      <c r="J58" s="60">
        <v>198016</v>
      </c>
      <c r="K58" s="59">
        <v>37856</v>
      </c>
      <c r="L58" s="61"/>
      <c r="M58" s="59">
        <f t="shared" si="31"/>
        <v>235872</v>
      </c>
      <c r="N58" s="241"/>
      <c r="O58" s="243"/>
      <c r="P58" s="62">
        <f t="shared" si="24"/>
        <v>514380.7450482659</v>
      </c>
      <c r="Q58" s="63">
        <f t="shared" si="32"/>
        <v>-278508.7450482659</v>
      </c>
      <c r="R58" s="63">
        <f t="shared" si="33"/>
        <v>0</v>
      </c>
      <c r="S58" s="60">
        <f t="shared" si="34"/>
        <v>-278508.7450482659</v>
      </c>
      <c r="T58" s="46">
        <f t="shared" si="35"/>
        <v>0</v>
      </c>
      <c r="U58" s="46" t="e">
        <f t="shared" si="36"/>
        <v>#DIV/0!</v>
      </c>
      <c r="V58" s="46" t="e">
        <f t="shared" si="37"/>
        <v>#DIV/0!</v>
      </c>
      <c r="W58" s="64">
        <f t="shared" si="38"/>
        <v>31</v>
      </c>
      <c r="X58" s="59">
        <f t="shared" si="39"/>
        <v>235872</v>
      </c>
      <c r="Y58" s="65">
        <v>2009</v>
      </c>
      <c r="Z58" s="66">
        <v>2040</v>
      </c>
      <c r="AA58" s="50">
        <f t="shared" si="26"/>
        <v>23</v>
      </c>
      <c r="AB58" s="50">
        <f t="shared" si="27"/>
        <v>2045</v>
      </c>
      <c r="AC58" s="51">
        <f t="shared" si="28"/>
        <v>2046</v>
      </c>
      <c r="AD58" s="52">
        <f>(B58*$AD$10)*VLOOKUP(AB58,'GI Factors'!A:M,4,FALSE)+(C58*$AD$10)*VLOOKUP(AB58,'GI Factors'!A:M,7,FALSE)+(D58*$AD$10)*VLOOKUP(AB58,'GI Factors'!A:M,10,FALSE)+(E58*$AD$10)*VLOOKUP(AB58,'GI Factors'!A:M,13,FALSE)</f>
        <v>585437.05422799429</v>
      </c>
      <c r="AE58" s="52">
        <f>(B58*$AE$10)*VLOOKUP(AC58,'GI Factors'!A:M,4,FALSE)+(C58*$AE$10)*VLOOKUP(AC58,'GI Factors'!A:M,7,FALSE)+(D58*$AE$10)*VLOOKUP(AC58,'GI Factors'!A:M,10,FALSE)+(E58*$AE$10)*VLOOKUP(AC58,'GI Factors'!A:M,13,FALSE)</f>
        <v>1407788.3328340366</v>
      </c>
      <c r="AF58" s="53">
        <f t="shared" si="40"/>
        <v>1993225.3870620308</v>
      </c>
      <c r="AG58" s="53">
        <f t="shared" si="41"/>
        <v>1757353.3870620308</v>
      </c>
      <c r="AH58" s="54">
        <f t="shared" si="29"/>
        <v>3.7159992809899858E-2</v>
      </c>
      <c r="AI58" s="53">
        <f t="shared" si="42"/>
        <v>759288.31067548809</v>
      </c>
      <c r="AJ58" s="53"/>
      <c r="AK58" s="55">
        <f t="shared" si="30"/>
        <v>49680.113419395384</v>
      </c>
      <c r="AL58" s="55">
        <f t="shared" si="22"/>
        <v>51526.22607685512</v>
      </c>
      <c r="AM58" s="55">
        <f t="shared" si="25"/>
        <v>53440.940267392325</v>
      </c>
      <c r="AN58" s="55">
        <f t="shared" si="23"/>
        <v>55426.805223482908</v>
      </c>
      <c r="AO58" s="55">
        <f t="shared" si="43"/>
        <v>52518.521246781427</v>
      </c>
    </row>
    <row r="59" spans="1:41" s="56" customFormat="1" ht="11.25">
      <c r="A59" s="57" t="s">
        <v>87</v>
      </c>
      <c r="B59" s="38">
        <v>6243015.7948123608</v>
      </c>
      <c r="C59" s="38">
        <v>7402053.1287854528</v>
      </c>
      <c r="D59" s="38">
        <v>693298.24437493307</v>
      </c>
      <c r="E59" s="39">
        <v>-570761.13812949113</v>
      </c>
      <c r="F59" s="58">
        <v>13767606.029843254</v>
      </c>
      <c r="G59" s="58"/>
      <c r="H59" s="58">
        <f t="shared" si="0"/>
        <v>13767606.029843254</v>
      </c>
      <c r="I59" s="59">
        <f>B59*VLOOKUP(I$9,'GI Factors'!A:M,4,FALSE)+C59*VLOOKUP(I$9,'GI Factors'!A:M,7,FALSE)+D59*VLOOKUP(I$9,'GI Factors'!A:M,10,FALSE)+E59*VLOOKUP(I$9,'GI Factors'!A:M,13,FALSE)</f>
        <v>13647893.181905357</v>
      </c>
      <c r="J59" s="60">
        <v>10307951.390000001</v>
      </c>
      <c r="K59" s="59">
        <v>340067</v>
      </c>
      <c r="L59" s="61"/>
      <c r="M59" s="59">
        <f t="shared" si="31"/>
        <v>10648018.390000001</v>
      </c>
      <c r="N59" s="241"/>
      <c r="O59" s="243">
        <v>-10648018.390000001</v>
      </c>
      <c r="P59" s="62">
        <f t="shared" si="24"/>
        <v>22764463.219622627</v>
      </c>
      <c r="Q59" s="63">
        <f t="shared" si="32"/>
        <v>-22764463.219622627</v>
      </c>
      <c r="R59" s="63">
        <f t="shared" si="33"/>
        <v>0</v>
      </c>
      <c r="S59" s="60">
        <f t="shared" si="34"/>
        <v>-22764463.219622627</v>
      </c>
      <c r="T59" s="46">
        <f t="shared" si="35"/>
        <v>0</v>
      </c>
      <c r="U59" s="46" t="e">
        <f t="shared" si="36"/>
        <v>#DIV/0!</v>
      </c>
      <c r="V59" s="46" t="e">
        <f t="shared" si="37"/>
        <v>#DIV/0!</v>
      </c>
      <c r="W59" s="64">
        <f t="shared" si="38"/>
        <v>80</v>
      </c>
      <c r="X59" s="59">
        <f t="shared" si="39"/>
        <v>0</v>
      </c>
      <c r="Y59" s="65">
        <v>1967</v>
      </c>
      <c r="Z59" s="66">
        <v>2047</v>
      </c>
      <c r="AA59" s="50">
        <f t="shared" si="26"/>
        <v>30</v>
      </c>
      <c r="AB59" s="50">
        <f t="shared" si="27"/>
        <v>2052</v>
      </c>
      <c r="AC59" s="51">
        <f t="shared" si="28"/>
        <v>2053</v>
      </c>
      <c r="AD59" s="52">
        <f>(B59*$AD$10)*VLOOKUP(AB59,'GI Factors'!A:M,4,FALSE)+(C59*$AD$10)*VLOOKUP(AB59,'GI Factors'!A:M,7,FALSE)+(D59*$AD$10)*VLOOKUP(AB59,'GI Factors'!A:M,10,FALSE)+(E59*$AD$10)*VLOOKUP(AB59,'GI Factors'!A:M,13,FALSE)</f>
        <v>10703895.711459327</v>
      </c>
      <c r="AE59" s="52">
        <f>(B59*$AE$10)*VLOOKUP(AC59,'GI Factors'!A:M,4,FALSE)+(C59*$AE$10)*VLOOKUP(AC59,'GI Factors'!A:M,7,FALSE)+(D59*$AE$10)*VLOOKUP(AC59,'GI Factors'!A:M,10,FALSE)+(E59*$AE$10)*VLOOKUP(AC59,'GI Factors'!A:M,13,FALSE)</f>
        <v>25719245.439936869</v>
      </c>
      <c r="AF59" s="53">
        <f t="shared" si="40"/>
        <v>36423141.1513962</v>
      </c>
      <c r="AG59" s="53">
        <f t="shared" si="41"/>
        <v>36423141.1513962</v>
      </c>
      <c r="AH59" s="54">
        <f t="shared" si="29"/>
        <v>3.2961096948835832E-2</v>
      </c>
      <c r="AI59" s="53">
        <f t="shared" si="42"/>
        <v>13767606.02984325</v>
      </c>
      <c r="AJ59" s="53"/>
      <c r="AK59" s="55">
        <f t="shared" si="30"/>
        <v>729563.60173605848</v>
      </c>
      <c r="AL59" s="55">
        <f t="shared" si="22"/>
        <v>753610.81834322261</v>
      </c>
      <c r="AM59" s="55">
        <f t="shared" si="25"/>
        <v>778450.65758832509</v>
      </c>
      <c r="AN59" s="55">
        <f t="shared" si="23"/>
        <v>804109.24518297892</v>
      </c>
      <c r="AO59" s="55">
        <f t="shared" si="43"/>
        <v>766433.58071264625</v>
      </c>
    </row>
    <row r="60" spans="1:41" s="56" customFormat="1" ht="11.25">
      <c r="A60" s="57" t="s">
        <v>88</v>
      </c>
      <c r="B60" s="38">
        <f>8635409.27017889+B$74</f>
        <v>8390215.5808806773</v>
      </c>
      <c r="C60" s="38">
        <f>8135427.8807389+C$74</f>
        <v>7904430.6559766056</v>
      </c>
      <c r="D60" s="38">
        <f>379691.177100255+D$74</f>
        <v>368910.23116076231</v>
      </c>
      <c r="E60" s="39">
        <v>-3487936.2873023134</v>
      </c>
      <c r="F60" s="58">
        <v>13662592.04071573</v>
      </c>
      <c r="G60" s="61">
        <v>-486971.86</v>
      </c>
      <c r="H60" s="58">
        <f>F60+G60</f>
        <v>13175620.18071573</v>
      </c>
      <c r="I60" s="59">
        <f>B60*VLOOKUP(I$9,'GI Factors'!A:M,4,FALSE)+C60*VLOOKUP(I$9,'GI Factors'!A:M,7,FALSE)+D60*VLOOKUP(I$9,'GI Factors'!A:M,10,FALSE)+E60*VLOOKUP(I$9,'GI Factors'!A:M,13,FALSE)</f>
        <v>13211486.390829971</v>
      </c>
      <c r="J60" s="60">
        <v>5840955.9900000002</v>
      </c>
      <c r="K60" s="59">
        <v>224640</v>
      </c>
      <c r="L60" s="61">
        <v>-486971.86</v>
      </c>
      <c r="M60" s="59">
        <f t="shared" si="31"/>
        <v>5578624.1299999999</v>
      </c>
      <c r="N60" s="241"/>
      <c r="O60" s="243">
        <v>-5578624.1299999999</v>
      </c>
      <c r="P60" s="62">
        <f t="shared" si="24"/>
        <v>25632270.792256013</v>
      </c>
      <c r="Q60" s="63">
        <f t="shared" si="32"/>
        <v>-25632270.792256013</v>
      </c>
      <c r="R60" s="63">
        <f t="shared" si="33"/>
        <v>0</v>
      </c>
      <c r="S60" s="60">
        <f t="shared" si="34"/>
        <v>-25632270.792256013</v>
      </c>
      <c r="T60" s="46">
        <f t="shared" si="35"/>
        <v>0</v>
      </c>
      <c r="U60" s="46" t="e">
        <f t="shared" si="36"/>
        <v>#DIV/0!</v>
      </c>
      <c r="V60" s="46" t="e">
        <f t="shared" si="37"/>
        <v>#DIV/0!</v>
      </c>
      <c r="W60" s="64">
        <f t="shared" si="38"/>
        <v>80</v>
      </c>
      <c r="X60" s="59">
        <f t="shared" si="39"/>
        <v>0</v>
      </c>
      <c r="Y60" s="65">
        <v>1967</v>
      </c>
      <c r="Z60" s="66">
        <v>2047</v>
      </c>
      <c r="AA60" s="50">
        <f t="shared" si="26"/>
        <v>30</v>
      </c>
      <c r="AB60" s="50">
        <f t="shared" si="27"/>
        <v>2052</v>
      </c>
      <c r="AC60" s="51">
        <f t="shared" si="28"/>
        <v>2053</v>
      </c>
      <c r="AD60" s="52">
        <f>(B60*$AD$10)*VLOOKUP(AB60,'GI Factors'!A:M,4,FALSE)+(C60*$AD$10)*VLOOKUP(AB60,'GI Factors'!A:M,7,FALSE)+(D60*$AD$10)*VLOOKUP(AB60,'GI Factors'!A:M,10,FALSE)+(E60*$AD$10)*VLOOKUP(AB60,'GI Factors'!A:M,13,FALSE)</f>
        <v>12021098.108567992</v>
      </c>
      <c r="AE60" s="52">
        <f>(B60*$AE$10)*VLOOKUP(AC60,'GI Factors'!A:M,4,FALSE)+(C60*$AE$10)*VLOOKUP(AC60,'GI Factors'!A:M,7,FALSE)+(D60*$AE$10)*VLOOKUP(AC60,'GI Factors'!A:M,10,FALSE)+(E60*$AE$10)*VLOOKUP(AC60,'GI Factors'!A:M,13,FALSE)</f>
        <v>28990535.159041625</v>
      </c>
      <c r="AF60" s="53">
        <f t="shared" si="40"/>
        <v>41011633.267609619</v>
      </c>
      <c r="AG60" s="53">
        <f t="shared" si="41"/>
        <v>41011633.267609619</v>
      </c>
      <c r="AH60" s="54">
        <f t="shared" si="29"/>
        <v>3.7319317153992615E-2</v>
      </c>
      <c r="AI60" s="53">
        <f t="shared" si="42"/>
        <v>13662592.040715771</v>
      </c>
      <c r="AJ60" s="53"/>
      <c r="AK60" s="55">
        <f t="shared" si="30"/>
        <v>764595.51933908311</v>
      </c>
      <c r="AL60" s="55">
        <f t="shared" si="22"/>
        <v>793129.70201981999</v>
      </c>
      <c r="AM60" s="55">
        <f t="shared" si="25"/>
        <v>822728.76091374923</v>
      </c>
      <c r="AN60" s="55">
        <f t="shared" si="23"/>
        <v>853432.43647400069</v>
      </c>
      <c r="AO60" s="55">
        <f t="shared" si="43"/>
        <v>808471.60468666325</v>
      </c>
    </row>
    <row r="61" spans="1:41" s="56" customFormat="1" ht="11.25">
      <c r="A61" s="57" t="s">
        <v>89</v>
      </c>
      <c r="B61" s="38">
        <f>8635409.27017889+B$75</f>
        <v>5345932.1297491081</v>
      </c>
      <c r="C61" s="38">
        <f>8135427.8807389+C$75</f>
        <v>5036408.111783429</v>
      </c>
      <c r="D61" s="38">
        <f>379691.177100255+D$75</f>
        <v>235055.8264855076</v>
      </c>
      <c r="E61" s="39">
        <v>-3487936.2873023134</v>
      </c>
      <c r="F61" s="58">
        <v>13662592.04071573</v>
      </c>
      <c r="G61" s="61">
        <v>-6533132.2599999998</v>
      </c>
      <c r="H61" s="58">
        <f>F61+G61</f>
        <v>7129459.78071573</v>
      </c>
      <c r="I61" s="59">
        <f>B61*VLOOKUP(I$9,'GI Factors'!A:M,4,FALSE)+C61*VLOOKUP(I$9,'GI Factors'!A:M,7,FALSE)+D61*VLOOKUP(I$9,'GI Factors'!A:M,10,FALSE)+E61*VLOOKUP(I$9,'GI Factors'!A:M,13,FALSE)</f>
        <v>7207037.9016009662</v>
      </c>
      <c r="J61" s="60">
        <v>-9612609.9099999983</v>
      </c>
      <c r="K61" s="59">
        <v>222014</v>
      </c>
      <c r="L61" s="61">
        <v>-6533132.2599999998</v>
      </c>
      <c r="M61" s="59">
        <f t="shared" si="31"/>
        <v>-15923728.169999998</v>
      </c>
      <c r="N61" s="241"/>
      <c r="O61" s="243"/>
      <c r="P61" s="62">
        <f t="shared" si="24"/>
        <v>2213077.5799813196</v>
      </c>
      <c r="Q61" s="63">
        <f t="shared" si="32"/>
        <v>-18136805.749981318</v>
      </c>
      <c r="R61" s="63">
        <f t="shared" si="33"/>
        <v>0</v>
      </c>
      <c r="S61" s="60">
        <f t="shared" si="34"/>
        <v>-18136805.749981318</v>
      </c>
      <c r="T61" s="46">
        <f t="shared" si="35"/>
        <v>0</v>
      </c>
      <c r="U61" s="46" t="e">
        <f t="shared" si="36"/>
        <v>#DIV/0!</v>
      </c>
      <c r="V61" s="46" t="e">
        <f t="shared" si="37"/>
        <v>#DIV/0!</v>
      </c>
      <c r="W61" s="64">
        <f t="shared" si="38"/>
        <v>33</v>
      </c>
      <c r="X61" s="59">
        <f t="shared" si="39"/>
        <v>-15923728.169999998</v>
      </c>
      <c r="Y61" s="65">
        <v>2014</v>
      </c>
      <c r="Z61" s="66">
        <v>2047</v>
      </c>
      <c r="AA61" s="50">
        <f t="shared" si="26"/>
        <v>30</v>
      </c>
      <c r="AB61" s="50">
        <f t="shared" si="27"/>
        <v>2052</v>
      </c>
      <c r="AC61" s="51">
        <f t="shared" si="28"/>
        <v>2053</v>
      </c>
      <c r="AD61" s="52">
        <f>(B61*$AD$10)*VLOOKUP(AB61,'GI Factors'!A:M,4,FALSE)+(C61*$AD$10)*VLOOKUP(AB61,'GI Factors'!A:M,7,FALSE)+(D61*$AD$10)*VLOOKUP(AB61,'GI Factors'!A:M,10,FALSE)+(E61*$AD$10)*VLOOKUP(AB61,'GI Factors'!A:M,13,FALSE)</f>
        <v>7126187.9297901634</v>
      </c>
      <c r="AE61" s="52">
        <f>(B61*$AE$10)*VLOOKUP(AC61,'GI Factors'!A:M,4,FALSE)+(C61*$AE$10)*VLOOKUP(AC61,'GI Factors'!A:M,7,FALSE)+(D61*$AE$10)*VLOOKUP(AC61,'GI Factors'!A:M,10,FALSE)+(E61*$AE$10)*VLOOKUP(AC61,'GI Factors'!A:M,13,FALSE)</f>
        <v>17217665.45000435</v>
      </c>
      <c r="AF61" s="53">
        <f t="shared" si="40"/>
        <v>24343853.379794516</v>
      </c>
      <c r="AG61" s="53">
        <f t="shared" si="41"/>
        <v>40267581.54979451</v>
      </c>
      <c r="AH61" s="54">
        <f t="shared" si="29"/>
        <v>1.9440478860026662E-2</v>
      </c>
      <c r="AI61" s="53">
        <f t="shared" si="42"/>
        <v>22599525.662511889</v>
      </c>
      <c r="AJ61" s="53"/>
      <c r="AK61" s="55">
        <f t="shared" si="30"/>
        <v>1001320.4013613639</v>
      </c>
      <c r="AL61" s="55">
        <f t="shared" si="22"/>
        <v>1020786.5494561429</v>
      </c>
      <c r="AM61" s="55">
        <f t="shared" si="25"/>
        <v>1040631.1287914446</v>
      </c>
      <c r="AN61" s="55">
        <f t="shared" si="23"/>
        <v>1060861.4962518003</v>
      </c>
      <c r="AO61" s="55">
        <f t="shared" si="43"/>
        <v>1030899.8939651879</v>
      </c>
    </row>
    <row r="62" spans="1:41" s="56" customFormat="1" ht="11.25">
      <c r="A62" s="57" t="s">
        <v>90</v>
      </c>
      <c r="B62" s="38">
        <v>7984819.964898265</v>
      </c>
      <c r="C62" s="38">
        <v>7710002.5508594345</v>
      </c>
      <c r="D62" s="38">
        <v>284605.98951803031</v>
      </c>
      <c r="E62" s="39">
        <v>-6130061.7267366266</v>
      </c>
      <c r="F62" s="58">
        <v>9849366.7785391025</v>
      </c>
      <c r="G62" s="58"/>
      <c r="H62" s="58">
        <f>F62</f>
        <v>9849366.7785391025</v>
      </c>
      <c r="I62" s="59">
        <f>B62*VLOOKUP(I$9,'GI Factors'!A:M,4,FALSE)+C62*VLOOKUP(I$9,'GI Factors'!A:M,7,FALSE)+D62*VLOOKUP(I$9,'GI Factors'!A:M,10,FALSE)+E62*VLOOKUP(I$9,'GI Factors'!A:M,13,FALSE)</f>
        <v>9996244.1599564292</v>
      </c>
      <c r="J62" s="60">
        <v>3260062</v>
      </c>
      <c r="K62" s="59">
        <v>417079</v>
      </c>
      <c r="L62" s="61"/>
      <c r="M62" s="59">
        <f t="shared" si="31"/>
        <v>3677141</v>
      </c>
      <c r="N62" s="241"/>
      <c r="O62" s="243">
        <v>-3677141</v>
      </c>
      <c r="P62" s="62">
        <f t="shared" si="24"/>
        <v>8794157.7882683873</v>
      </c>
      <c r="Q62" s="63">
        <f t="shared" si="32"/>
        <v>-8794157.7882683873</v>
      </c>
      <c r="R62" s="63">
        <f t="shared" si="33"/>
        <v>0</v>
      </c>
      <c r="S62" s="60">
        <f t="shared" si="34"/>
        <v>-8794157.7882683873</v>
      </c>
      <c r="T62" s="46">
        <f t="shared" si="35"/>
        <v>0</v>
      </c>
      <c r="U62" s="46" t="e">
        <f t="shared" si="36"/>
        <v>#DIV/0!</v>
      </c>
      <c r="V62" s="46" t="e">
        <f t="shared" si="37"/>
        <v>#DIV/0!</v>
      </c>
      <c r="W62" s="64">
        <f t="shared" si="38"/>
        <v>40</v>
      </c>
      <c r="X62" s="59">
        <f t="shared" si="39"/>
        <v>0</v>
      </c>
      <c r="Y62" s="65">
        <v>2007</v>
      </c>
      <c r="Z62" s="66">
        <v>2047</v>
      </c>
      <c r="AA62" s="50">
        <f t="shared" si="26"/>
        <v>30</v>
      </c>
      <c r="AB62" s="50">
        <f t="shared" si="27"/>
        <v>2052</v>
      </c>
      <c r="AC62" s="51">
        <f t="shared" si="28"/>
        <v>2053</v>
      </c>
      <c r="AD62" s="52">
        <f>(B62*$AD$10)*VLOOKUP(AB62,'GI Factors'!A:M,4,FALSE)+(C62*$AD$10)*VLOOKUP(AB62,'GI Factors'!A:M,7,FALSE)+(D62*$AD$10)*VLOOKUP(AB62,'GI Factors'!A:M,10,FALSE)+(E62*$AD$10)*VLOOKUP(AB62,'GI Factors'!A:M,13,FALSE)</f>
        <v>10290993.807184841</v>
      </c>
      <c r="AE62" s="52">
        <f>(B62*$AE$10)*VLOOKUP(AC62,'GI Factors'!A:M,4,FALSE)+(C62*$AE$10)*VLOOKUP(AC62,'GI Factors'!A:M,7,FALSE)+(D62*$AE$10)*VLOOKUP(AC62,'GI Factors'!A:M,10,FALSE)+(E62*$AE$10)*VLOOKUP(AC62,'GI Factors'!A:M,13,FALSE)</f>
        <v>24885637.345888712</v>
      </c>
      <c r="AF62" s="53">
        <f t="shared" si="40"/>
        <v>35176631.153073549</v>
      </c>
      <c r="AG62" s="53">
        <f t="shared" si="41"/>
        <v>35176631.153073549</v>
      </c>
      <c r="AH62" s="54">
        <f t="shared" si="29"/>
        <v>4.3345621481143515E-2</v>
      </c>
      <c r="AI62" s="53">
        <f t="shared" si="42"/>
        <v>9849366.7785390839</v>
      </c>
      <c r="AJ62" s="53"/>
      <c r="AK62" s="55">
        <f t="shared" si="30"/>
        <v>592951.95565629739</v>
      </c>
      <c r="AL62" s="55">
        <f t="shared" si="22"/>
        <v>618653.82668267901</v>
      </c>
      <c r="AM62" s="55">
        <f t="shared" si="25"/>
        <v>645469.76128192735</v>
      </c>
      <c r="AN62" s="55">
        <f t="shared" si="23"/>
        <v>673448.04923197778</v>
      </c>
      <c r="AO62" s="55">
        <f t="shared" si="43"/>
        <v>632630.89821322041</v>
      </c>
    </row>
    <row r="63" spans="1:41" s="56" customFormat="1" ht="11.25">
      <c r="A63" s="57" t="s">
        <v>91</v>
      </c>
      <c r="B63" s="38">
        <v>8219196.206779154</v>
      </c>
      <c r="C63" s="38">
        <v>11514564.150811948</v>
      </c>
      <c r="D63" s="38">
        <v>930865.62975609617</v>
      </c>
      <c r="E63" s="39">
        <v>-976809.62883638474</v>
      </c>
      <c r="F63" s="58">
        <v>19687816.358510811</v>
      </c>
      <c r="G63" s="58"/>
      <c r="H63" s="58">
        <f>F63</f>
        <v>19687816.358510811</v>
      </c>
      <c r="I63" s="59">
        <f>B63*VLOOKUP(I$9,'GI Factors'!A:M,4,FALSE)+C63*VLOOKUP(I$9,'GI Factors'!A:M,7,FALSE)+D63*VLOOKUP(I$9,'GI Factors'!A:M,10,FALSE)+E63*VLOOKUP(I$9,'GI Factors'!A:M,13,FALSE)</f>
        <v>19465356.326141439</v>
      </c>
      <c r="J63" s="60">
        <v>0</v>
      </c>
      <c r="K63" s="59">
        <v>0</v>
      </c>
      <c r="L63" s="61"/>
      <c r="M63" s="59">
        <f t="shared" si="31"/>
        <v>0</v>
      </c>
      <c r="N63" s="241"/>
      <c r="O63" s="243"/>
      <c r="P63" s="62">
        <f t="shared" si="24"/>
        <v>10719098.739135914</v>
      </c>
      <c r="Q63" s="63">
        <f t="shared" si="32"/>
        <v>-10719098.739135914</v>
      </c>
      <c r="R63" s="63">
        <f t="shared" si="33"/>
        <v>0</v>
      </c>
      <c r="S63" s="60">
        <f t="shared" si="34"/>
        <v>-10719098.739135914</v>
      </c>
      <c r="T63" s="46">
        <f t="shared" si="35"/>
        <v>0</v>
      </c>
      <c r="U63" s="46" t="e">
        <f t="shared" si="36"/>
        <v>#DIV/0!</v>
      </c>
      <c r="V63" s="46" t="e">
        <f t="shared" si="37"/>
        <v>#DIV/0!</v>
      </c>
      <c r="W63" s="64">
        <f t="shared" si="38"/>
        <v>42</v>
      </c>
      <c r="X63" s="59">
        <f t="shared" si="39"/>
        <v>0</v>
      </c>
      <c r="Y63" s="65">
        <v>2009</v>
      </c>
      <c r="Z63" s="66">
        <v>2051</v>
      </c>
      <c r="AA63" s="50">
        <f t="shared" si="26"/>
        <v>34</v>
      </c>
      <c r="AB63" s="50">
        <f t="shared" si="27"/>
        <v>2056</v>
      </c>
      <c r="AC63" s="51">
        <f t="shared" si="28"/>
        <v>2057</v>
      </c>
      <c r="AD63" s="52">
        <f>(B63*$AD$10)*VLOOKUP(AB63,'GI Factors'!A:M,4,FALSE)+(C63*$AD$10)*VLOOKUP(AB63,'GI Factors'!A:M,7,FALSE)+(D63*$AD$10)*VLOOKUP(AB63,'GI Factors'!A:M,10,FALSE)+(E63*$AD$10)*VLOOKUP(AB63,'GI Factors'!A:M,13,FALSE)</f>
        <v>16540597.774927586</v>
      </c>
      <c r="AE63" s="52">
        <f>(B63*$AE$10)*VLOOKUP(AC63,'GI Factors'!A:M,4,FALSE)+(C63*$AE$10)*VLOOKUP(AC63,'GI Factors'!A:M,7,FALSE)+(D63*$AE$10)*VLOOKUP(AC63,'GI Factors'!A:M,10,FALSE)+(E63*$AE$10)*VLOOKUP(AC63,'GI Factors'!A:M,13,FALSE)</f>
        <v>39734670.605535962</v>
      </c>
      <c r="AF63" s="53">
        <f t="shared" si="40"/>
        <v>56275268.380463548</v>
      </c>
      <c r="AG63" s="53">
        <f t="shared" si="41"/>
        <v>56275268.380463548</v>
      </c>
      <c r="AH63" s="54">
        <f t="shared" si="29"/>
        <v>3.1371900218289527E-2</v>
      </c>
      <c r="AI63" s="53">
        <f t="shared" si="42"/>
        <v>19687816.358510785</v>
      </c>
      <c r="AJ63" s="53"/>
      <c r="AK63" s="55">
        <f t="shared" si="30"/>
        <v>950000.39025053475</v>
      </c>
      <c r="AL63" s="55">
        <f t="shared" si="22"/>
        <v>979803.70770081063</v>
      </c>
      <c r="AM63" s="55">
        <f t="shared" si="25"/>
        <v>1010542.0118523105</v>
      </c>
      <c r="AN63" s="55">
        <f t="shared" si="23"/>
        <v>1042244.6350145307</v>
      </c>
      <c r="AO63" s="55">
        <f t="shared" si="43"/>
        <v>995647.68620454671</v>
      </c>
    </row>
    <row r="64" spans="1:41" s="56" customFormat="1" ht="11.25">
      <c r="A64" s="57" t="s">
        <v>92</v>
      </c>
      <c r="B64" s="38">
        <v>5239859.051998564</v>
      </c>
      <c r="C64" s="38">
        <v>5725240.5784746846</v>
      </c>
      <c r="D64" s="38">
        <v>389331.1315095704</v>
      </c>
      <c r="E64" s="39">
        <v>-5046891.4185842089</v>
      </c>
      <c r="F64" s="58">
        <v>6307539.3433986101</v>
      </c>
      <c r="G64" s="58"/>
      <c r="H64" s="58">
        <f>F64</f>
        <v>6307539.3433986101</v>
      </c>
      <c r="I64" s="59">
        <f>B64*VLOOKUP(I$9,'GI Factors'!A:M,4,FALSE)+C64*VLOOKUP(I$9,'GI Factors'!A:M,7,FALSE)+D64*VLOOKUP(I$9,'GI Factors'!A:M,10,FALSE)+E64*VLOOKUP(I$9,'GI Factors'!A:M,13,FALSE)</f>
        <v>6422693.9765374213</v>
      </c>
      <c r="J64" s="60">
        <v>3000744</v>
      </c>
      <c r="K64" s="59">
        <v>549432</v>
      </c>
      <c r="L64" s="61"/>
      <c r="M64" s="59">
        <f t="shared" si="31"/>
        <v>3550176</v>
      </c>
      <c r="N64" s="241"/>
      <c r="O64" s="243">
        <v>-3550176</v>
      </c>
      <c r="P64" s="62">
        <f t="shared" si="24"/>
        <v>4947932.7333339043</v>
      </c>
      <c r="Q64" s="63">
        <f t="shared" si="32"/>
        <v>-4947932.7333339043</v>
      </c>
      <c r="R64" s="63">
        <f t="shared" si="33"/>
        <v>0</v>
      </c>
      <c r="S64" s="60">
        <f t="shared" si="34"/>
        <v>-4947932.7333339043</v>
      </c>
      <c r="T64" s="46">
        <f t="shared" si="35"/>
        <v>0</v>
      </c>
      <c r="U64" s="46" t="e">
        <f t="shared" si="36"/>
        <v>#DIV/0!</v>
      </c>
      <c r="V64" s="46" t="e">
        <f t="shared" si="37"/>
        <v>#DIV/0!</v>
      </c>
      <c r="W64" s="64">
        <f t="shared" si="38"/>
        <v>40</v>
      </c>
      <c r="X64" s="59">
        <f t="shared" si="39"/>
        <v>0</v>
      </c>
      <c r="Y64" s="65">
        <v>2009</v>
      </c>
      <c r="Z64" s="66">
        <v>2049</v>
      </c>
      <c r="AA64" s="50">
        <f t="shared" si="26"/>
        <v>32</v>
      </c>
      <c r="AB64" s="50">
        <f t="shared" si="27"/>
        <v>2054</v>
      </c>
      <c r="AC64" s="51">
        <f t="shared" si="28"/>
        <v>2055</v>
      </c>
      <c r="AD64" s="52">
        <f>(B64*$AD$10)*VLOOKUP(AB64,'GI Factors'!A:M,4,FALSE)+(C64*$AD$10)*VLOOKUP(AB64,'GI Factors'!A:M,7,FALSE)+(D64*$AD$10)*VLOOKUP(AB64,'GI Factors'!A:M,10,FALSE)+(E64*$AD$10)*VLOOKUP(AB64,'GI Factors'!A:M,13,FALSE)</f>
        <v>7235397.9030180313</v>
      </c>
      <c r="AE64" s="52">
        <f>(B64*$AE$10)*VLOOKUP(AC64,'GI Factors'!A:M,4,FALSE)+(C64*$AE$10)*VLOOKUP(AC64,'GI Factors'!A:M,7,FALSE)+(D64*$AE$10)*VLOOKUP(AC64,'GI Factors'!A:M,10,FALSE)+(E64*$AE$10)*VLOOKUP(AC64,'GI Factors'!A:M,13,FALSE)</f>
        <v>17504265.763651501</v>
      </c>
      <c r="AF64" s="53">
        <f t="shared" si="40"/>
        <v>24739663.666669533</v>
      </c>
      <c r="AG64" s="53">
        <f t="shared" si="41"/>
        <v>24739663.666669533</v>
      </c>
      <c r="AH64" s="54">
        <f t="shared" si="29"/>
        <v>4.3633309507639405E-2</v>
      </c>
      <c r="AI64" s="53">
        <f t="shared" si="42"/>
        <v>6307539.3433986306</v>
      </c>
      <c r="AJ64" s="53"/>
      <c r="AK64" s="55">
        <f t="shared" si="30"/>
        <v>369399.68682455004</v>
      </c>
      <c r="AL64" s="55">
        <f t="shared" si="22"/>
        <v>385517.81769179064</v>
      </c>
      <c r="AM64" s="55">
        <f t="shared" si="25"/>
        <v>402339.23595184623</v>
      </c>
      <c r="AN64" s="55">
        <f t="shared" si="23"/>
        <v>419894.62836120027</v>
      </c>
      <c r="AO64" s="55">
        <f t="shared" si="43"/>
        <v>394287.84220734675</v>
      </c>
    </row>
    <row r="65" spans="1:41" s="56" customFormat="1" ht="11.25">
      <c r="A65" s="57" t="s">
        <v>93</v>
      </c>
      <c r="B65" s="38">
        <v>5258677.0656779213</v>
      </c>
      <c r="C65" s="38">
        <v>5745801.7528219707</v>
      </c>
      <c r="D65" s="38">
        <v>389340.09611438861</v>
      </c>
      <c r="E65" s="39">
        <v>-5060497.6222042087</v>
      </c>
      <c r="F65" s="58">
        <v>6333321.2924100719</v>
      </c>
      <c r="G65" s="58"/>
      <c r="H65" s="58">
        <f>F65</f>
        <v>6333321.2924100719</v>
      </c>
      <c r="I65" s="59">
        <f>B65*VLOOKUP(I$9,'GI Factors'!A:M,4,FALSE)+C65*VLOOKUP(I$9,'GI Factors'!A:M,7,FALSE)+D65*VLOOKUP(I$9,'GI Factors'!A:M,10,FALSE)+E65*VLOOKUP(I$9,'GI Factors'!A:M,13,FALSE)</f>
        <v>6448675.9929062072</v>
      </c>
      <c r="J65" s="60">
        <v>3000744</v>
      </c>
      <c r="K65" s="59">
        <v>549432</v>
      </c>
      <c r="L65" s="61"/>
      <c r="M65" s="59">
        <f t="shared" si="31"/>
        <v>3550176</v>
      </c>
      <c r="N65" s="241"/>
      <c r="O65" s="243">
        <v>-3550176</v>
      </c>
      <c r="P65" s="62">
        <f t="shared" si="24"/>
        <v>4966360.0920004882</v>
      </c>
      <c r="Q65" s="63">
        <f t="shared" si="32"/>
        <v>-4966360.0920004882</v>
      </c>
      <c r="R65" s="63">
        <f t="shared" si="33"/>
        <v>0</v>
      </c>
      <c r="S65" s="60">
        <f t="shared" si="34"/>
        <v>-4966360.0920004882</v>
      </c>
      <c r="T65" s="46">
        <f t="shared" si="35"/>
        <v>0</v>
      </c>
      <c r="U65" s="46" t="e">
        <f t="shared" si="36"/>
        <v>#DIV/0!</v>
      </c>
      <c r="V65" s="46" t="e">
        <f t="shared" si="37"/>
        <v>#DIV/0!</v>
      </c>
      <c r="W65" s="64">
        <f t="shared" si="38"/>
        <v>40</v>
      </c>
      <c r="X65" s="59">
        <f t="shared" si="39"/>
        <v>0</v>
      </c>
      <c r="Y65" s="65">
        <v>2009</v>
      </c>
      <c r="Z65" s="66">
        <v>2049</v>
      </c>
      <c r="AA65" s="50">
        <f t="shared" si="26"/>
        <v>32</v>
      </c>
      <c r="AB65" s="50">
        <f t="shared" si="27"/>
        <v>2054</v>
      </c>
      <c r="AC65" s="51">
        <f t="shared" si="28"/>
        <v>2055</v>
      </c>
      <c r="AD65" s="52">
        <f>(B65*$AD$10)*VLOOKUP(AB65,'GI Factors'!A:M,4,FALSE)+(C65*$AD$10)*VLOOKUP(AB65,'GI Factors'!A:M,7,FALSE)+(D65*$AD$10)*VLOOKUP(AB65,'GI Factors'!A:M,10,FALSE)+(E65*$AD$10)*VLOOKUP(AB65,'GI Factors'!A:M,13,FALSE)</f>
        <v>7262372.9597301241</v>
      </c>
      <c r="AE65" s="52">
        <f>(B65*$AE$10)*VLOOKUP(AC65,'GI Factors'!A:M,4,FALSE)+(C65*$AE$10)*VLOOKUP(AC65,'GI Factors'!A:M,7,FALSE)+(D65*$AE$10)*VLOOKUP(AC65,'GI Factors'!A:M,10,FALSE)+(E65*$AE$10)*VLOOKUP(AC65,'GI Factors'!A:M,13,FALSE)</f>
        <v>17569427.500272326</v>
      </c>
      <c r="AF65" s="53">
        <f t="shared" si="40"/>
        <v>24831800.460002452</v>
      </c>
      <c r="AG65" s="53">
        <f t="shared" si="41"/>
        <v>24831800.460002452</v>
      </c>
      <c r="AH65" s="54">
        <f t="shared" si="29"/>
        <v>4.3621509538311315E-2</v>
      </c>
      <c r="AI65" s="53">
        <f t="shared" si="42"/>
        <v>6333321.2924100887</v>
      </c>
      <c r="AJ65" s="53"/>
      <c r="AK65" s="55">
        <f t="shared" si="30"/>
        <v>370855.21963013348</v>
      </c>
      <c r="AL65" s="55">
        <f t="shared" si="22"/>
        <v>387032.48413056188</v>
      </c>
      <c r="AM65" s="55">
        <f t="shared" si="25"/>
        <v>403915.42532869946</v>
      </c>
      <c r="AN65" s="55">
        <f t="shared" si="23"/>
        <v>421534.82590734639</v>
      </c>
      <c r="AO65" s="55">
        <f t="shared" si="43"/>
        <v>395834.48874918529</v>
      </c>
    </row>
    <row r="66" spans="1:41" s="56" customFormat="1" ht="11.25">
      <c r="A66" s="71" t="s">
        <v>94</v>
      </c>
      <c r="B66" s="72">
        <v>5277495.0793572795</v>
      </c>
      <c r="C66" s="72">
        <v>5766362.9271692587</v>
      </c>
      <c r="D66" s="72">
        <v>389349.06071920681</v>
      </c>
      <c r="E66" s="73">
        <v>-5073234.8425842077</v>
      </c>
      <c r="F66" s="74">
        <v>6359972.2246615365</v>
      </c>
      <c r="G66" s="74"/>
      <c r="H66" s="74">
        <f>F66</f>
        <v>6359972.2246615365</v>
      </c>
      <c r="I66" s="75">
        <f>B66*VLOOKUP(I$9,'GI Factors'!A:M,4,FALSE)+C66*VLOOKUP(I$9,'GI Factors'!A:M,7,FALSE)+D66*VLOOKUP(I$9,'GI Factors'!A:M,10,FALSE)+E66*VLOOKUP(I$9,'GI Factors'!A:M,13,FALSE)</f>
        <v>6475489.4156353194</v>
      </c>
      <c r="J66" s="76">
        <v>1457555</v>
      </c>
      <c r="K66" s="75">
        <v>344513</v>
      </c>
      <c r="L66" s="77"/>
      <c r="M66" s="75">
        <f t="shared" si="31"/>
        <v>1802068</v>
      </c>
      <c r="N66" s="242"/>
      <c r="O66" s="238">
        <v>-1802068</v>
      </c>
      <c r="P66" s="78">
        <f t="shared" si="24"/>
        <v>4019284.5920416079</v>
      </c>
      <c r="Q66" s="79">
        <f t="shared" si="32"/>
        <v>-4019284.5920416079</v>
      </c>
      <c r="R66" s="79">
        <f t="shared" si="33"/>
        <v>0</v>
      </c>
      <c r="S66" s="76">
        <f t="shared" si="34"/>
        <v>-4019284.5920416079</v>
      </c>
      <c r="T66" s="46">
        <f t="shared" si="35"/>
        <v>0</v>
      </c>
      <c r="U66" s="46" t="e">
        <f t="shared" si="36"/>
        <v>#DIV/0!</v>
      </c>
      <c r="V66" s="46" t="e">
        <f t="shared" si="37"/>
        <v>#DIV/0!</v>
      </c>
      <c r="W66" s="80">
        <f t="shared" si="38"/>
        <v>40</v>
      </c>
      <c r="X66" s="75">
        <f t="shared" si="39"/>
        <v>0</v>
      </c>
      <c r="Y66" s="81">
        <v>2011</v>
      </c>
      <c r="Z66" s="82">
        <v>2051</v>
      </c>
      <c r="AA66" s="83">
        <f t="shared" si="26"/>
        <v>34</v>
      </c>
      <c r="AB66" s="84">
        <f t="shared" si="27"/>
        <v>2056</v>
      </c>
      <c r="AC66" s="85">
        <f t="shared" si="28"/>
        <v>2057</v>
      </c>
      <c r="AD66" s="52">
        <f>(B66*$AD$10)*VLOOKUP(AB66,'GI Factors'!A:M,4,FALSE)+(C66*$AD$10)*VLOOKUP(AB66,'GI Factors'!A:M,7,FALSE)+(D66*$AD$10)*VLOOKUP(AB66,'GI Factors'!A:M,10,FALSE)+(E66*$AD$10)*VLOOKUP(AB66,'GI Factors'!A:M,13,FALSE)</f>
        <v>7836423.8578319978</v>
      </c>
      <c r="AE66" s="52">
        <f>(B66*$AE$10)*VLOOKUP(AC66,'GI Factors'!A:M,4,FALSE)+(C66*$AE$10)*VLOOKUP(AC66,'GI Factors'!A:M,7,FALSE)+(D66*$AE$10)*VLOOKUP(AC66,'GI Factors'!A:M,10,FALSE)+(E66*$AE$10)*VLOOKUP(AC66,'GI Factors'!A:M,13,FALSE)</f>
        <v>18958806.755778711</v>
      </c>
      <c r="AF66" s="53">
        <f t="shared" si="40"/>
        <v>26795230.613610707</v>
      </c>
      <c r="AG66" s="53">
        <f t="shared" si="41"/>
        <v>26795230.613610707</v>
      </c>
      <c r="AH66" s="54">
        <f t="shared" si="29"/>
        <v>4.3207390941134058E-2</v>
      </c>
      <c r="AI66" s="53">
        <f t="shared" si="42"/>
        <v>6359972.2246615319</v>
      </c>
      <c r="AJ66" s="53"/>
      <c r="AK66" s="86">
        <f t="shared" si="30"/>
        <v>360321.87366525509</v>
      </c>
      <c r="AL66" s="86">
        <f t="shared" si="22"/>
        <v>375890.44172535173</v>
      </c>
      <c r="AM66" s="86">
        <f t="shared" si="25"/>
        <v>392131.68699201458</v>
      </c>
      <c r="AN66" s="86">
        <f t="shared" si="23"/>
        <v>409074.67409228499</v>
      </c>
      <c r="AO66" s="86">
        <f t="shared" si="43"/>
        <v>384354.66911872663</v>
      </c>
    </row>
    <row r="67" spans="1:41" s="56" customFormat="1" ht="11.25">
      <c r="B67" s="87"/>
      <c r="C67" s="87"/>
      <c r="D67" s="87"/>
      <c r="E67" s="87"/>
      <c r="F67" s="87"/>
      <c r="G67" s="87"/>
      <c r="H67" s="87"/>
      <c r="I67" s="87"/>
      <c r="J67" s="79"/>
      <c r="K67" s="79"/>
      <c r="L67" s="88"/>
      <c r="M67" s="79"/>
      <c r="N67" s="88"/>
      <c r="O67" s="88"/>
      <c r="P67" s="88"/>
      <c r="Q67" s="88"/>
      <c r="R67" s="88"/>
      <c r="S67" s="88"/>
      <c r="T67" s="89"/>
      <c r="U67" s="89"/>
      <c r="V67" s="89"/>
      <c r="W67" s="90"/>
      <c r="X67" s="79"/>
      <c r="Y67" s="91"/>
      <c r="Z67" s="84"/>
      <c r="AA67" s="84"/>
      <c r="AB67" s="84"/>
      <c r="AC67" s="84"/>
      <c r="AD67" s="52"/>
      <c r="AE67" s="52"/>
      <c r="AF67" s="53"/>
      <c r="AG67" s="53"/>
      <c r="AH67" s="54"/>
      <c r="AI67" s="53"/>
      <c r="AJ67" s="53"/>
      <c r="AK67" s="53"/>
      <c r="AL67" s="53"/>
      <c r="AM67" s="53"/>
      <c r="AN67" s="53"/>
      <c r="AO67" s="53"/>
    </row>
    <row r="68" spans="1:41" s="56" customFormat="1" thickBot="1">
      <c r="B68" s="92">
        <f>SUM(B14:B67)</f>
        <v>276215373.47102141</v>
      </c>
      <c r="C68" s="92">
        <f>SUM(C14:C67)</f>
        <v>295621808.51793879</v>
      </c>
      <c r="D68" s="92">
        <f t="shared" ref="D68:I68" si="44">SUM(D14:D67)</f>
        <v>25647017.427667931</v>
      </c>
      <c r="E68" s="92">
        <f t="shared" si="44"/>
        <v>-137259168.61671227</v>
      </c>
      <c r="F68" s="92">
        <f>SUM(F14:F67)</f>
        <v>467245134.91991603</v>
      </c>
      <c r="G68" s="92">
        <f>SUM(G14:G67)</f>
        <v>-7020104.1200000001</v>
      </c>
      <c r="H68" s="92">
        <f>SUM(H14:H67)</f>
        <v>460225030.79991597</v>
      </c>
      <c r="I68" s="92">
        <f t="shared" si="44"/>
        <v>461054475.47365534</v>
      </c>
      <c r="J68" s="92">
        <f>SUM(J14:J67)</f>
        <v>316259490.75999999</v>
      </c>
      <c r="K68" s="92">
        <f>SUM(K14:K67)</f>
        <v>15644577</v>
      </c>
      <c r="L68" s="92">
        <f>SUM(L14:L67)</f>
        <v>-7020104.1200000001</v>
      </c>
      <c r="M68" s="92">
        <f>SUM(M14:M67)</f>
        <v>324883963.63999999</v>
      </c>
      <c r="N68" s="92">
        <f t="shared" ref="N68:X68" si="45">SUM(N14:N67)</f>
        <v>-51101219.515553489</v>
      </c>
      <c r="O68" s="92">
        <f t="shared" si="45"/>
        <v>-45244900.234446526</v>
      </c>
      <c r="P68" s="92">
        <f t="shared" si="45"/>
        <v>468034716.24631077</v>
      </c>
      <c r="Q68" s="92">
        <f t="shared" si="45"/>
        <v>-239496872.35631073</v>
      </c>
      <c r="R68" s="92">
        <f t="shared" si="45"/>
        <v>0</v>
      </c>
      <c r="S68" s="92">
        <f t="shared" si="45"/>
        <v>-239496872.35631073</v>
      </c>
      <c r="T68" s="93">
        <f t="shared" si="45"/>
        <v>0</v>
      </c>
      <c r="U68" s="93" t="e">
        <f t="shared" si="45"/>
        <v>#DIV/0!</v>
      </c>
      <c r="V68" s="93"/>
      <c r="W68" s="94"/>
      <c r="X68" s="92">
        <f t="shared" si="45"/>
        <v>228537843.89000002</v>
      </c>
      <c r="Y68" s="93"/>
      <c r="Z68" s="93"/>
      <c r="AA68" s="93"/>
      <c r="AB68" s="93"/>
      <c r="AC68" s="93"/>
      <c r="AD68" s="92">
        <f t="shared" ref="AD68:AG68" si="46">SUM(AD14:AD67)</f>
        <v>357473070.02122772</v>
      </c>
      <c r="AE68" s="92">
        <f t="shared" si="46"/>
        <v>861141352.49247622</v>
      </c>
      <c r="AF68" s="92">
        <f t="shared" si="46"/>
        <v>1218614422.5137038</v>
      </c>
      <c r="AG68" s="92">
        <f t="shared" si="46"/>
        <v>990076578.62370431</v>
      </c>
      <c r="AH68" s="93"/>
      <c r="AI68" s="92">
        <f t="shared" ref="AI68" si="47">SUM(AI14:AI67)</f>
        <v>358419779.1475724</v>
      </c>
      <c r="AJ68" s="53"/>
      <c r="AK68" s="92">
        <f t="shared" ref="AK68:AN68" si="48">SUM(AK14:AK67)</f>
        <v>24054598.13326174</v>
      </c>
      <c r="AL68" s="92">
        <f t="shared" si="48"/>
        <v>23401382.145038147</v>
      </c>
      <c r="AM68" s="92">
        <f t="shared" si="48"/>
        <v>24915508.488012884</v>
      </c>
      <c r="AN68" s="92">
        <f t="shared" si="48"/>
        <v>25878055.822808355</v>
      </c>
      <c r="AO68" s="92">
        <f>SUM(AO14:AO67)</f>
        <v>24562386.147280276</v>
      </c>
    </row>
    <row r="69" spans="1:41" s="56" customFormat="1" thickTop="1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95"/>
      <c r="U69" s="95"/>
      <c r="V69" s="95"/>
      <c r="W69" s="96"/>
      <c r="X69" s="53"/>
      <c r="Y69" s="97"/>
      <c r="AD69" s="53"/>
      <c r="AE69" s="53"/>
      <c r="AF69" s="53"/>
      <c r="AG69" s="53"/>
      <c r="AI69" s="53"/>
      <c r="AJ69" s="53"/>
      <c r="AK69" s="53"/>
      <c r="AL69" s="53"/>
      <c r="AM69" s="53"/>
      <c r="AN69" s="53"/>
      <c r="AO69" s="53"/>
    </row>
    <row r="70" spans="1:41" s="56" customFormat="1" ht="11.25">
      <c r="A70" s="98" t="s">
        <v>95</v>
      </c>
      <c r="B70" s="99">
        <v>0</v>
      </c>
      <c r="C70" s="100">
        <v>0</v>
      </c>
      <c r="D70" s="100">
        <v>0</v>
      </c>
      <c r="E70" s="100">
        <v>0</v>
      </c>
      <c r="F70" s="101">
        <v>4520250</v>
      </c>
      <c r="G70" s="101">
        <v>0</v>
      </c>
      <c r="H70" s="101">
        <v>4520250</v>
      </c>
      <c r="I70" s="101">
        <v>4520250</v>
      </c>
      <c r="J70" s="102" t="s">
        <v>96</v>
      </c>
      <c r="K70" s="102" t="s">
        <v>96</v>
      </c>
      <c r="L70" s="102" t="s">
        <v>96</v>
      </c>
      <c r="M70" s="102" t="s">
        <v>96</v>
      </c>
      <c r="N70" s="102" t="s">
        <v>96</v>
      </c>
      <c r="O70" s="102" t="s">
        <v>96</v>
      </c>
      <c r="P70" s="102" t="s">
        <v>96</v>
      </c>
      <c r="Q70" s="102" t="s">
        <v>96</v>
      </c>
      <c r="R70" s="102" t="s">
        <v>96</v>
      </c>
      <c r="S70" s="102" t="s">
        <v>96</v>
      </c>
      <c r="T70" s="103" t="s">
        <v>96</v>
      </c>
      <c r="U70" s="103" t="s">
        <v>96</v>
      </c>
      <c r="V70" s="103" t="s">
        <v>96</v>
      </c>
      <c r="W70" s="103" t="s">
        <v>96</v>
      </c>
      <c r="X70" s="102">
        <v>0</v>
      </c>
      <c r="Y70" s="103" t="s">
        <v>96</v>
      </c>
      <c r="Z70" s="104">
        <v>2016</v>
      </c>
      <c r="AA70" s="104">
        <v>0</v>
      </c>
      <c r="AB70" s="103" t="s">
        <v>96</v>
      </c>
      <c r="AC70" s="103" t="s">
        <v>96</v>
      </c>
      <c r="AD70" s="102" t="s">
        <v>96</v>
      </c>
      <c r="AE70" s="105" t="s">
        <v>96</v>
      </c>
      <c r="AF70" s="106">
        <v>4520250</v>
      </c>
      <c r="AG70" s="107">
        <f t="shared" ref="AG70" si="49">AF70-X70</f>
        <v>4520250</v>
      </c>
      <c r="AH70" s="108" t="s">
        <v>96</v>
      </c>
      <c r="AI70" s="106">
        <v>4520250</v>
      </c>
      <c r="AJ70" s="53"/>
      <c r="AK70" s="101">
        <v>4520250</v>
      </c>
      <c r="AL70" s="107">
        <v>0</v>
      </c>
      <c r="AM70" s="107">
        <v>0</v>
      </c>
      <c r="AN70" s="107">
        <v>0</v>
      </c>
      <c r="AO70" s="107">
        <f t="shared" ref="AO70" si="50">SUM(AK70:AN70)/4</f>
        <v>1130062.5</v>
      </c>
    </row>
    <row r="71" spans="1:41" s="56" customFormat="1" ht="11.2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95"/>
      <c r="U71" s="95"/>
      <c r="V71" s="95"/>
      <c r="W71" s="96"/>
      <c r="X71" s="53"/>
      <c r="Y71" s="97"/>
      <c r="AD71" s="53"/>
      <c r="AE71" s="53"/>
      <c r="AF71" s="53"/>
      <c r="AG71" s="53"/>
      <c r="AI71" s="53"/>
      <c r="AJ71" s="53"/>
      <c r="AK71" s="53"/>
      <c r="AL71" s="53"/>
      <c r="AM71" s="53"/>
      <c r="AN71" s="53"/>
      <c r="AO71" s="53"/>
    </row>
    <row r="72" spans="1:41" s="56" customFormat="1" thickBot="1">
      <c r="A72" s="109" t="s">
        <v>97</v>
      </c>
      <c r="B72" s="110">
        <f>B68+B70</f>
        <v>276215373.47102141</v>
      </c>
      <c r="C72" s="110">
        <f t="shared" ref="C72:I72" si="51">C68+C70</f>
        <v>295621808.51793879</v>
      </c>
      <c r="D72" s="110">
        <f t="shared" si="51"/>
        <v>25647017.427667931</v>
      </c>
      <c r="E72" s="110">
        <f t="shared" si="51"/>
        <v>-137259168.61671227</v>
      </c>
      <c r="F72" s="110">
        <f t="shared" si="51"/>
        <v>471765384.91991603</v>
      </c>
      <c r="G72" s="110">
        <f>G68+G70</f>
        <v>-7020104.1200000001</v>
      </c>
      <c r="H72" s="110">
        <f t="shared" ref="H72" si="52">H68+H70</f>
        <v>464745280.79991597</v>
      </c>
      <c r="I72" s="110">
        <f t="shared" si="51"/>
        <v>465574725.47365534</v>
      </c>
      <c r="J72" s="110">
        <f>J68</f>
        <v>316259490.75999999</v>
      </c>
      <c r="K72" s="110">
        <f t="shared" ref="K72:X72" si="53">K68</f>
        <v>15644577</v>
      </c>
      <c r="L72" s="110">
        <f t="shared" si="53"/>
        <v>-7020104.1200000001</v>
      </c>
      <c r="M72" s="110">
        <f t="shared" si="53"/>
        <v>324883963.63999999</v>
      </c>
      <c r="N72" s="110">
        <f t="shared" si="53"/>
        <v>-51101219.515553489</v>
      </c>
      <c r="O72" s="110">
        <f t="shared" si="53"/>
        <v>-45244900.234446526</v>
      </c>
      <c r="P72" s="110">
        <f t="shared" si="53"/>
        <v>468034716.24631077</v>
      </c>
      <c r="Q72" s="110">
        <f>Q68</f>
        <v>-239496872.35631073</v>
      </c>
      <c r="R72" s="110">
        <f>R68</f>
        <v>0</v>
      </c>
      <c r="S72" s="110">
        <f>S68</f>
        <v>-239496872.35631073</v>
      </c>
      <c r="T72" s="111">
        <f>T68</f>
        <v>0</v>
      </c>
      <c r="U72" s="111" t="e">
        <f t="shared" si="53"/>
        <v>#DIV/0!</v>
      </c>
      <c r="V72" s="111"/>
      <c r="W72" s="111"/>
      <c r="X72" s="110">
        <f t="shared" si="53"/>
        <v>228537843.89000002</v>
      </c>
      <c r="Y72" s="111"/>
      <c r="Z72" s="111"/>
      <c r="AA72" s="111"/>
      <c r="AB72" s="111"/>
      <c r="AC72" s="111"/>
      <c r="AD72" s="110">
        <f>AD68</f>
        <v>357473070.02122772</v>
      </c>
      <c r="AE72" s="110">
        <f>AE68</f>
        <v>861141352.49247622</v>
      </c>
      <c r="AF72" s="110">
        <f>AF68+AF70</f>
        <v>1223134672.5137038</v>
      </c>
      <c r="AG72" s="110">
        <f t="shared" ref="AG72:AO72" si="54">AG68+AG70</f>
        <v>994596828.62370431</v>
      </c>
      <c r="AH72" s="111"/>
      <c r="AI72" s="110">
        <f t="shared" si="54"/>
        <v>362940029.1475724</v>
      </c>
      <c r="AJ72" s="110"/>
      <c r="AK72" s="110">
        <f t="shared" si="54"/>
        <v>28574848.13326174</v>
      </c>
      <c r="AL72" s="110">
        <f t="shared" si="54"/>
        <v>23401382.145038147</v>
      </c>
      <c r="AM72" s="110">
        <f t="shared" si="54"/>
        <v>24915508.488012884</v>
      </c>
      <c r="AN72" s="110">
        <f t="shared" si="54"/>
        <v>25878055.822808355</v>
      </c>
      <c r="AO72" s="110">
        <f t="shared" si="54"/>
        <v>25692448.647280276</v>
      </c>
    </row>
    <row r="73" spans="1:41" s="56" customFormat="1" thickTop="1">
      <c r="L73" s="95"/>
      <c r="N73" s="95"/>
      <c r="O73" s="95"/>
      <c r="P73" s="95"/>
      <c r="Q73" s="95"/>
      <c r="R73" s="95"/>
      <c r="S73" s="95"/>
      <c r="T73" s="95"/>
      <c r="U73" s="95"/>
      <c r="V73" s="95"/>
      <c r="W73" s="96"/>
      <c r="Y73" s="97"/>
    </row>
    <row r="74" spans="1:41" s="56" customFormat="1" ht="11.25">
      <c r="A74" s="112" t="s">
        <v>98</v>
      </c>
      <c r="B74" s="113">
        <v>-245193.68929821294</v>
      </c>
      <c r="C74" s="113">
        <v>-230997.22476229433</v>
      </c>
      <c r="D74" s="114">
        <v>-10780.945939492685</v>
      </c>
      <c r="E74" s="115"/>
      <c r="L74" s="95"/>
      <c r="N74" s="95"/>
      <c r="O74" s="95"/>
      <c r="P74" s="95"/>
      <c r="Q74" s="95"/>
      <c r="R74" s="95"/>
      <c r="S74" s="95"/>
      <c r="T74" s="95"/>
      <c r="U74" s="95"/>
      <c r="V74" s="95"/>
      <c r="W74" s="96"/>
      <c r="Y74" s="97"/>
    </row>
    <row r="75" spans="1:41" s="56" customFormat="1" ht="11.25">
      <c r="A75" s="116" t="s">
        <v>99</v>
      </c>
      <c r="B75" s="117">
        <v>-3289477.1404297813</v>
      </c>
      <c r="C75" s="117">
        <v>-3099019.768955471</v>
      </c>
      <c r="D75" s="118">
        <v>-144635.35061474738</v>
      </c>
      <c r="E75" s="115"/>
      <c r="L75" s="95"/>
      <c r="N75" s="95"/>
      <c r="O75" s="95"/>
      <c r="P75" s="95"/>
      <c r="Q75" s="95"/>
      <c r="R75" s="95"/>
      <c r="S75" s="95"/>
      <c r="T75" s="95"/>
      <c r="U75" s="95"/>
      <c r="V75" s="95"/>
      <c r="W75" s="96"/>
      <c r="Y75" s="97"/>
    </row>
    <row r="76" spans="1:41" s="56" customFormat="1" ht="11.25">
      <c r="L76" s="95"/>
      <c r="N76" s="95"/>
      <c r="O76" s="95"/>
      <c r="P76" s="95"/>
      <c r="Q76" s="95"/>
      <c r="R76" s="95"/>
      <c r="S76" s="95"/>
      <c r="T76" s="95"/>
      <c r="U76" s="95"/>
      <c r="V76" s="95"/>
      <c r="W76" s="96"/>
      <c r="Y76" s="97"/>
    </row>
    <row r="77" spans="1:41" s="56" customFormat="1" ht="11.25">
      <c r="L77" s="95"/>
      <c r="N77" s="95"/>
      <c r="O77" s="95"/>
      <c r="P77" s="95"/>
      <c r="Q77" s="95"/>
      <c r="R77" s="95"/>
      <c r="S77" s="95"/>
      <c r="T77" s="95"/>
      <c r="U77" s="95"/>
      <c r="V77" s="95"/>
      <c r="W77" s="96"/>
      <c r="Y77" s="97"/>
    </row>
    <row r="78" spans="1:41" s="56" customFormat="1" ht="11.25">
      <c r="A78" s="119" t="s">
        <v>159</v>
      </c>
      <c r="G78" s="120"/>
      <c r="H78" s="120"/>
      <c r="I78" s="120" t="s">
        <v>100</v>
      </c>
      <c r="J78" s="121">
        <v>3548353.07</v>
      </c>
      <c r="K78" s="121">
        <v>273208</v>
      </c>
      <c r="L78" s="63"/>
      <c r="M78" s="53">
        <f t="shared" ref="M78:M83" si="55">J78+K78+L78</f>
        <v>3821561.07</v>
      </c>
      <c r="N78" s="63">
        <f>-M78</f>
        <v>-3821561.07</v>
      </c>
      <c r="O78" s="63"/>
      <c r="P78" s="122"/>
      <c r="Q78" s="122"/>
      <c r="R78" s="122"/>
      <c r="S78" s="122"/>
      <c r="T78" s="122"/>
      <c r="U78" s="122"/>
      <c r="V78" s="122"/>
      <c r="W78" s="123"/>
      <c r="X78" s="63"/>
      <c r="Y78" s="124"/>
      <c r="AG78" s="125"/>
      <c r="AK78" s="126"/>
      <c r="AL78" s="127" t="s">
        <v>101</v>
      </c>
      <c r="AM78" s="128"/>
      <c r="AN78" s="128"/>
      <c r="AO78" s="129"/>
    </row>
    <row r="79" spans="1:41" s="56" customFormat="1" ht="11.25">
      <c r="A79" s="119" t="s">
        <v>102</v>
      </c>
      <c r="G79" s="130"/>
      <c r="H79" s="130"/>
      <c r="I79" s="130" t="s">
        <v>103</v>
      </c>
      <c r="J79" s="121">
        <v>5752698.1600000001</v>
      </c>
      <c r="K79" s="121">
        <v>361621</v>
      </c>
      <c r="L79" s="53"/>
      <c r="M79" s="53">
        <f t="shared" si="55"/>
        <v>6114319.1600000001</v>
      </c>
      <c r="N79" s="63">
        <f t="shared" ref="N79:N83" si="56">-M79</f>
        <v>-6114319.1600000001</v>
      </c>
      <c r="O79" s="131"/>
      <c r="P79" s="122"/>
      <c r="Q79" s="122"/>
      <c r="R79" s="122"/>
      <c r="S79" s="122"/>
      <c r="T79" s="122"/>
      <c r="U79" s="122"/>
      <c r="V79" s="122"/>
      <c r="W79" s="123"/>
      <c r="X79" s="46"/>
      <c r="Y79" s="132"/>
      <c r="AK79" s="133"/>
      <c r="AL79" s="134"/>
      <c r="AM79" s="135" t="s">
        <v>104</v>
      </c>
      <c r="AN79" s="136">
        <f>AVERAGE(AK68:AN68)+AVERAGE(AK70:AN70)</f>
        <v>25692448.64728028</v>
      </c>
      <c r="AO79" s="137"/>
    </row>
    <row r="80" spans="1:41" s="56" customFormat="1" ht="11.25">
      <c r="A80" s="119" t="s">
        <v>105</v>
      </c>
      <c r="G80" s="138"/>
      <c r="H80" s="138"/>
      <c r="I80" s="138" t="s">
        <v>106</v>
      </c>
      <c r="J80" s="121">
        <v>34167539.129999995</v>
      </c>
      <c r="K80" s="121">
        <v>3022617</v>
      </c>
      <c r="L80" s="53">
        <v>-300150</v>
      </c>
      <c r="M80" s="53">
        <f t="shared" si="55"/>
        <v>36890006.129999995</v>
      </c>
      <c r="N80" s="63">
        <f t="shared" si="56"/>
        <v>-36890006.129999995</v>
      </c>
      <c r="O80" s="63"/>
      <c r="P80" s="122"/>
      <c r="Q80" s="122"/>
      <c r="R80" s="122"/>
      <c r="S80" s="122"/>
      <c r="T80" s="122"/>
      <c r="U80" s="122"/>
      <c r="V80" s="122"/>
      <c r="W80" s="123"/>
      <c r="Y80" s="97"/>
      <c r="AK80" s="133"/>
      <c r="AL80" s="134"/>
      <c r="AM80" s="134"/>
      <c r="AN80" s="139"/>
      <c r="AO80" s="137"/>
    </row>
    <row r="81" spans="1:41" s="56" customFormat="1" ht="12.75">
      <c r="A81" s="56" t="s">
        <v>107</v>
      </c>
      <c r="G81" s="140"/>
      <c r="H81" s="140"/>
      <c r="I81" s="140" t="s">
        <v>108</v>
      </c>
      <c r="J81" s="121">
        <v>5743621.75</v>
      </c>
      <c r="K81" s="121">
        <v>439075</v>
      </c>
      <c r="L81" s="53">
        <v>-4031999.99</v>
      </c>
      <c r="M81" s="53">
        <f t="shared" si="55"/>
        <v>2150696.7599999998</v>
      </c>
      <c r="N81" s="63">
        <f t="shared" si="56"/>
        <v>-2150696.7599999998</v>
      </c>
      <c r="O81" s="63"/>
      <c r="P81" s="122"/>
      <c r="Q81" s="122"/>
      <c r="R81" s="122"/>
      <c r="S81" s="122"/>
      <c r="T81" s="122"/>
      <c r="U81" s="122"/>
      <c r="V81" s="122"/>
      <c r="W81" s="123"/>
      <c r="Y81" s="97"/>
      <c r="AG81" s="125"/>
      <c r="AK81" s="133"/>
      <c r="AL81" s="134"/>
      <c r="AM81" s="135" t="s">
        <v>109</v>
      </c>
      <c r="AN81" s="141">
        <v>18468386.57</v>
      </c>
      <c r="AO81" s="137"/>
    </row>
    <row r="82" spans="1:41" s="56" customFormat="1" ht="11.25">
      <c r="G82" s="142"/>
      <c r="H82" s="142"/>
      <c r="I82" s="142" t="s">
        <v>110</v>
      </c>
      <c r="J82" s="121">
        <v>4277511.21</v>
      </c>
      <c r="K82" s="121">
        <v>96616</v>
      </c>
      <c r="L82" s="53"/>
      <c r="M82" s="53">
        <f t="shared" si="55"/>
        <v>4374127.21</v>
      </c>
      <c r="N82" s="63">
        <f t="shared" si="56"/>
        <v>-4374127.21</v>
      </c>
      <c r="O82" s="63"/>
      <c r="P82" s="122"/>
      <c r="Q82" s="122"/>
      <c r="R82" s="122"/>
      <c r="S82" s="122"/>
      <c r="T82" s="122"/>
      <c r="U82" s="122"/>
      <c r="V82" s="122"/>
      <c r="W82" s="123"/>
      <c r="Y82" s="97"/>
      <c r="AG82" s="143"/>
      <c r="AK82" s="133"/>
      <c r="AL82" s="134"/>
      <c r="AM82" s="144"/>
      <c r="AN82" s="141"/>
      <c r="AO82" s="137"/>
    </row>
    <row r="83" spans="1:41" s="56" customFormat="1" ht="11.25">
      <c r="G83" s="145"/>
      <c r="H83" s="145"/>
      <c r="I83" s="145" t="s">
        <v>111</v>
      </c>
      <c r="J83" s="121">
        <v>-3819732.77</v>
      </c>
      <c r="K83" s="121">
        <v>137137</v>
      </c>
      <c r="L83" s="53"/>
      <c r="M83" s="53">
        <f t="shared" si="55"/>
        <v>-3682595.77</v>
      </c>
      <c r="N83" s="63">
        <f t="shared" si="56"/>
        <v>3682595.77</v>
      </c>
      <c r="O83" s="63"/>
      <c r="P83" s="122"/>
      <c r="Q83" s="122"/>
      <c r="R83" s="122"/>
      <c r="S83" s="122"/>
      <c r="T83" s="122"/>
      <c r="U83" s="122"/>
      <c r="V83" s="122"/>
      <c r="W83" s="123"/>
      <c r="X83" s="146"/>
      <c r="Y83" s="147"/>
      <c r="AK83" s="148"/>
      <c r="AL83" s="149"/>
      <c r="AM83" s="150" t="s">
        <v>112</v>
      </c>
      <c r="AN83" s="151">
        <f>AN79-AN81</f>
        <v>7224062.0772802792</v>
      </c>
      <c r="AO83" s="152">
        <f>AN83/AN81</f>
        <v>0.39115826658160963</v>
      </c>
    </row>
    <row r="84" spans="1:41" s="56" customFormat="1" thickBot="1">
      <c r="J84" s="110">
        <f>SUM(J78:J83)</f>
        <v>49669990.549999997</v>
      </c>
      <c r="K84" s="110">
        <f>SUM(K78:K83)</f>
        <v>4330274</v>
      </c>
      <c r="L84" s="110">
        <f>SUM(L78:L83)</f>
        <v>-4332149.99</v>
      </c>
      <c r="M84" s="110">
        <f>SUM(M78:M83)</f>
        <v>49668114.559999995</v>
      </c>
      <c r="N84" s="110">
        <f>SUM(N78:N83)</f>
        <v>-49668114.559999995</v>
      </c>
      <c r="O84" s="153"/>
      <c r="P84" s="154"/>
      <c r="Q84" s="154"/>
      <c r="R84" s="154"/>
      <c r="S84" s="154"/>
      <c r="T84" s="154"/>
      <c r="U84" s="154"/>
      <c r="V84" s="154"/>
      <c r="W84" s="155"/>
      <c r="X84" s="156"/>
      <c r="Y84" s="157"/>
    </row>
    <row r="85" spans="1:41" s="56" customFormat="1" ht="12.75" thickTop="1">
      <c r="J85" s="53"/>
      <c r="K85" s="53"/>
      <c r="L85" s="53"/>
      <c r="M85" s="53"/>
      <c r="N85" s="53"/>
      <c r="O85" s="53"/>
      <c r="P85" s="95"/>
      <c r="Q85" s="95"/>
      <c r="R85" s="95"/>
      <c r="S85" s="95"/>
      <c r="T85" s="95"/>
      <c r="U85" s="95"/>
      <c r="V85" s="95"/>
      <c r="W85" s="96"/>
      <c r="X85" s="158"/>
      <c r="Y85" s="159"/>
      <c r="AI85" s="2"/>
      <c r="AJ85" s="2"/>
      <c r="AK85" s="2"/>
      <c r="AL85" s="2"/>
      <c r="AM85" s="2"/>
      <c r="AN85" s="2"/>
      <c r="AO85" s="2"/>
    </row>
    <row r="86" spans="1:41" s="56" customFormat="1">
      <c r="J86" s="53"/>
      <c r="K86" s="53"/>
      <c r="L86" s="160"/>
      <c r="M86" s="53"/>
      <c r="N86" s="160"/>
      <c r="O86" s="53"/>
      <c r="P86" s="95"/>
      <c r="Q86" s="95"/>
      <c r="R86" s="95"/>
      <c r="S86" s="95"/>
      <c r="T86" s="95"/>
      <c r="U86" s="95"/>
      <c r="V86" s="95"/>
      <c r="W86" s="96"/>
      <c r="X86" s="161"/>
      <c r="Y86" s="162"/>
      <c r="AI86" s="2"/>
      <c r="AJ86" s="2"/>
      <c r="AK86" s="2"/>
      <c r="AL86" s="2"/>
      <c r="AM86" s="2"/>
      <c r="AN86" s="2"/>
      <c r="AO86" s="2"/>
    </row>
    <row r="87" spans="1:41">
      <c r="J87" s="163"/>
      <c r="K87" s="163"/>
      <c r="L87" s="163"/>
      <c r="M87" s="163"/>
      <c r="N87" s="53"/>
      <c r="O87" s="53"/>
      <c r="P87" s="95"/>
      <c r="Q87" s="95"/>
      <c r="R87" s="95"/>
      <c r="S87" s="95"/>
      <c r="T87" s="95"/>
      <c r="U87" s="95"/>
      <c r="V87" s="95"/>
    </row>
    <row r="88" spans="1:41">
      <c r="J88" s="53"/>
      <c r="K88" s="121"/>
      <c r="L88" s="163"/>
      <c r="M88" s="163"/>
      <c r="N88" s="163"/>
      <c r="O88" s="163"/>
    </row>
    <row r="89" spans="1:41">
      <c r="J89" s="163"/>
      <c r="K89" s="163"/>
      <c r="L89" s="163"/>
      <c r="M89" s="163"/>
      <c r="N89" s="163"/>
      <c r="O89" s="163"/>
    </row>
    <row r="90" spans="1:41">
      <c r="K90" s="164"/>
    </row>
    <row r="91" spans="1:41">
      <c r="K91" s="164"/>
    </row>
  </sheetData>
  <autoFilter ref="A13:AO66">
    <sortCondition ref="A5:A58"/>
  </autoFilter>
  <mergeCells count="5">
    <mergeCell ref="Z9:AC9"/>
    <mergeCell ref="AD9:AG9"/>
    <mergeCell ref="B11:F11"/>
    <mergeCell ref="B12:F12"/>
    <mergeCell ref="AK12:AO12"/>
  </mergeCells>
  <pageMargins left="0.7" right="0.7" top="0.75" bottom="0.75" header="0.3" footer="0.3"/>
  <pageSetup paperSize="17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Normal="100" workbookViewId="0">
      <pane ySplit="10" topLeftCell="A11" activePane="bottomLeft" state="frozen"/>
      <selection activeCell="A7" sqref="A7"/>
      <selection pane="bottomLeft" activeCell="A7" sqref="A7"/>
    </sheetView>
  </sheetViews>
  <sheetFormatPr defaultColWidth="9" defaultRowHeight="12.75"/>
  <cols>
    <col min="1" max="1" width="23.85546875" style="251" bestFit="1" customWidth="1"/>
    <col min="2" max="2" width="10" style="251" bestFit="1" customWidth="1"/>
    <col min="3" max="3" width="9" style="251"/>
    <col min="4" max="4" width="23.85546875" style="251" bestFit="1" customWidth="1"/>
    <col min="5" max="5" width="12" style="251" customWidth="1"/>
    <col min="6" max="6" width="14.28515625" style="251" bestFit="1" customWidth="1"/>
    <col min="7" max="7" width="10.85546875" style="251" bestFit="1" customWidth="1"/>
    <col min="8" max="8" width="7.7109375" style="251" customWidth="1"/>
    <col min="9" max="9" width="23.85546875" style="251" bestFit="1" customWidth="1"/>
    <col min="10" max="10" width="12" style="251" customWidth="1"/>
    <col min="11" max="11" width="14.28515625" style="251" bestFit="1" customWidth="1"/>
    <col min="12" max="12" width="10.85546875" style="251" bestFit="1" customWidth="1"/>
    <col min="13" max="16384" width="9" style="251"/>
  </cols>
  <sheetData>
    <row r="1" spans="1:12" ht="15">
      <c r="A1" s="298" t="s">
        <v>171</v>
      </c>
    </row>
    <row r="2" spans="1:12" ht="15">
      <c r="A2" s="298" t="s">
        <v>172</v>
      </c>
    </row>
    <row r="3" spans="1:12" ht="15">
      <c r="A3" s="298" t="s">
        <v>173</v>
      </c>
    </row>
    <row r="4" spans="1:12" ht="15">
      <c r="A4" s="298" t="s">
        <v>174</v>
      </c>
    </row>
    <row r="5" spans="1:12" ht="15">
      <c r="A5" s="298" t="s">
        <v>175</v>
      </c>
    </row>
    <row r="6" spans="1:12" ht="15">
      <c r="A6" s="298" t="s">
        <v>180</v>
      </c>
    </row>
    <row r="9" spans="1:12" ht="18.75">
      <c r="A9" s="315" t="s">
        <v>155</v>
      </c>
      <c r="B9" s="316"/>
      <c r="D9" s="317" t="s">
        <v>141</v>
      </c>
      <c r="E9" s="318"/>
      <c r="F9" s="318"/>
      <c r="G9" s="319"/>
      <c r="I9" s="317" t="s">
        <v>156</v>
      </c>
      <c r="J9" s="318"/>
      <c r="K9" s="318"/>
      <c r="L9" s="319"/>
    </row>
    <row r="10" spans="1:12" s="248" customFormat="1">
      <c r="A10" s="259" t="s">
        <v>7</v>
      </c>
      <c r="B10" s="256" t="s">
        <v>41</v>
      </c>
      <c r="D10" s="262" t="s">
        <v>7</v>
      </c>
      <c r="E10" s="263" t="s">
        <v>142</v>
      </c>
      <c r="F10" s="264" t="s">
        <v>143</v>
      </c>
      <c r="G10" s="265"/>
      <c r="I10" s="262" t="s">
        <v>7</v>
      </c>
      <c r="J10" s="263" t="s">
        <v>142</v>
      </c>
      <c r="K10" s="264" t="s">
        <v>143</v>
      </c>
      <c r="L10" s="265"/>
    </row>
    <row r="11" spans="1:12">
      <c r="A11" s="257" t="s">
        <v>42</v>
      </c>
      <c r="B11" s="246">
        <v>379314.62360971246</v>
      </c>
      <c r="D11" s="249" t="s">
        <v>42</v>
      </c>
      <c r="E11" s="236" t="s">
        <v>137</v>
      </c>
      <c r="F11" s="227">
        <v>0</v>
      </c>
      <c r="G11" s="265"/>
      <c r="I11" s="249" t="s">
        <v>42</v>
      </c>
      <c r="J11" s="236" t="s">
        <v>137</v>
      </c>
      <c r="K11" s="227">
        <f>B11</f>
        <v>379314.62360971246</v>
      </c>
      <c r="L11" s="265"/>
    </row>
    <row r="12" spans="1:12">
      <c r="A12" s="257" t="s">
        <v>43</v>
      </c>
      <c r="B12" s="246">
        <v>428489.9905049231</v>
      </c>
      <c r="D12" s="266" t="s">
        <v>43</v>
      </c>
      <c r="E12" s="260" t="s">
        <v>137</v>
      </c>
      <c r="F12" s="227">
        <v>0</v>
      </c>
      <c r="G12" s="265"/>
      <c r="I12" s="266" t="s">
        <v>43</v>
      </c>
      <c r="J12" s="260" t="s">
        <v>137</v>
      </c>
      <c r="K12" s="227">
        <f t="shared" ref="K12:K64" si="0">B12</f>
        <v>428489.9905049231</v>
      </c>
      <c r="L12" s="265"/>
    </row>
    <row r="13" spans="1:12">
      <c r="A13" s="257" t="s">
        <v>44</v>
      </c>
      <c r="B13" s="246">
        <v>390468.35957233381</v>
      </c>
      <c r="D13" s="266" t="s">
        <v>44</v>
      </c>
      <c r="E13" s="260" t="s">
        <v>137</v>
      </c>
      <c r="F13" s="227">
        <v>0</v>
      </c>
      <c r="G13" s="265"/>
      <c r="I13" s="266" t="s">
        <v>44</v>
      </c>
      <c r="J13" s="260" t="s">
        <v>137</v>
      </c>
      <c r="K13" s="227">
        <f t="shared" si="0"/>
        <v>390468.35957233381</v>
      </c>
      <c r="L13" s="265"/>
    </row>
    <row r="14" spans="1:12">
      <c r="A14" s="257" t="s">
        <v>45</v>
      </c>
      <c r="B14" s="246">
        <v>379314.62360971246</v>
      </c>
      <c r="D14" s="249" t="s">
        <v>45</v>
      </c>
      <c r="E14" s="236" t="s">
        <v>137</v>
      </c>
      <c r="F14" s="227">
        <v>0</v>
      </c>
      <c r="G14" s="265"/>
      <c r="I14" s="249" t="s">
        <v>45</v>
      </c>
      <c r="J14" s="236" t="s">
        <v>137</v>
      </c>
      <c r="K14" s="227">
        <f t="shared" si="0"/>
        <v>379314.62360971246</v>
      </c>
      <c r="L14" s="265"/>
    </row>
    <row r="15" spans="1:12">
      <c r="A15" s="258" t="s">
        <v>46</v>
      </c>
      <c r="B15" s="246">
        <v>145559.89250907136</v>
      </c>
      <c r="D15" s="245" t="s">
        <v>46</v>
      </c>
      <c r="E15" s="247" t="s">
        <v>135</v>
      </c>
      <c r="F15" s="254">
        <f t="shared" ref="F15:F63" si="1">B15</f>
        <v>145559.89250907136</v>
      </c>
      <c r="G15" s="265"/>
      <c r="I15" s="245" t="s">
        <v>46</v>
      </c>
      <c r="J15" s="247" t="s">
        <v>135</v>
      </c>
      <c r="K15" s="250">
        <f t="shared" si="0"/>
        <v>145559.89250907136</v>
      </c>
      <c r="L15" s="265"/>
    </row>
    <row r="16" spans="1:12">
      <c r="A16" s="257" t="s">
        <v>47</v>
      </c>
      <c r="B16" s="246">
        <v>1640136.2512886636</v>
      </c>
      <c r="D16" s="249" t="s">
        <v>47</v>
      </c>
      <c r="E16" s="236" t="s">
        <v>137</v>
      </c>
      <c r="F16" s="254">
        <f t="shared" si="1"/>
        <v>1640136.2512886636</v>
      </c>
      <c r="G16" s="265"/>
      <c r="I16" s="249" t="s">
        <v>47</v>
      </c>
      <c r="J16" s="236" t="s">
        <v>137</v>
      </c>
      <c r="K16" s="250">
        <f t="shared" si="0"/>
        <v>1640136.2512886636</v>
      </c>
      <c r="L16" s="265"/>
    </row>
    <row r="17" spans="1:12">
      <c r="A17" s="257" t="s">
        <v>48</v>
      </c>
      <c r="B17" s="246">
        <v>40331.115960630334</v>
      </c>
      <c r="D17" s="249" t="s">
        <v>48</v>
      </c>
      <c r="E17" s="236" t="s">
        <v>137</v>
      </c>
      <c r="F17" s="254">
        <f t="shared" si="1"/>
        <v>40331.115960630334</v>
      </c>
      <c r="G17" s="265"/>
      <c r="I17" s="249" t="s">
        <v>48</v>
      </c>
      <c r="J17" s="236" t="s">
        <v>137</v>
      </c>
      <c r="K17" s="250">
        <f t="shared" si="0"/>
        <v>40331.115960630334</v>
      </c>
      <c r="L17" s="265"/>
    </row>
    <row r="18" spans="1:12">
      <c r="A18" s="257" t="s">
        <v>49</v>
      </c>
      <c r="B18" s="246">
        <v>160873.89822369313</v>
      </c>
      <c r="D18" s="249" t="s">
        <v>49</v>
      </c>
      <c r="E18" s="236" t="s">
        <v>137</v>
      </c>
      <c r="F18" s="254">
        <f t="shared" si="1"/>
        <v>160873.89822369313</v>
      </c>
      <c r="G18" s="265"/>
      <c r="I18" s="249" t="s">
        <v>49</v>
      </c>
      <c r="J18" s="236" t="s">
        <v>137</v>
      </c>
      <c r="K18" s="250">
        <f t="shared" si="0"/>
        <v>160873.89822369313</v>
      </c>
      <c r="L18" s="265"/>
    </row>
    <row r="19" spans="1:12">
      <c r="A19" s="257" t="s">
        <v>50</v>
      </c>
      <c r="B19" s="246">
        <v>160703.31962311477</v>
      </c>
      <c r="D19" s="249" t="s">
        <v>50</v>
      </c>
      <c r="E19" s="236" t="s">
        <v>137</v>
      </c>
      <c r="F19" s="254">
        <f t="shared" si="1"/>
        <v>160703.31962311477</v>
      </c>
      <c r="G19" s="265"/>
      <c r="I19" s="249" t="s">
        <v>50</v>
      </c>
      <c r="J19" s="236" t="s">
        <v>137</v>
      </c>
      <c r="K19" s="250">
        <f t="shared" si="0"/>
        <v>160703.31962311477</v>
      </c>
      <c r="L19" s="265"/>
    </row>
    <row r="20" spans="1:12">
      <c r="A20" s="257" t="s">
        <v>51</v>
      </c>
      <c r="B20" s="246">
        <v>223319.66236826987</v>
      </c>
      <c r="D20" s="249" t="s">
        <v>51</v>
      </c>
      <c r="E20" s="236" t="s">
        <v>137</v>
      </c>
      <c r="F20" s="293">
        <v>0</v>
      </c>
      <c r="G20" s="265"/>
      <c r="I20" s="249" t="s">
        <v>51</v>
      </c>
      <c r="J20" s="236" t="s">
        <v>137</v>
      </c>
      <c r="K20" s="227">
        <f t="shared" si="0"/>
        <v>223319.66236826987</v>
      </c>
      <c r="L20" s="265"/>
    </row>
    <row r="21" spans="1:12">
      <c r="A21" s="257" t="s">
        <v>52</v>
      </c>
      <c r="B21" s="246">
        <v>867714.48038896732</v>
      </c>
      <c r="D21" s="249" t="s">
        <v>52</v>
      </c>
      <c r="E21" s="236" t="s">
        <v>137</v>
      </c>
      <c r="F21" s="254">
        <f t="shared" si="1"/>
        <v>867714.48038896732</v>
      </c>
      <c r="G21" s="265"/>
      <c r="I21" s="249" t="s">
        <v>52</v>
      </c>
      <c r="J21" s="236" t="s">
        <v>137</v>
      </c>
      <c r="K21" s="250">
        <f t="shared" si="0"/>
        <v>867714.48038896732</v>
      </c>
      <c r="L21" s="265"/>
    </row>
    <row r="22" spans="1:12">
      <c r="A22" s="257" t="s">
        <v>53</v>
      </c>
      <c r="B22" s="246">
        <v>41960.390317229263</v>
      </c>
      <c r="D22" s="249" t="s">
        <v>53</v>
      </c>
      <c r="E22" s="236" t="s">
        <v>137</v>
      </c>
      <c r="F22" s="254">
        <f t="shared" si="1"/>
        <v>41960.390317229263</v>
      </c>
      <c r="G22" s="265"/>
      <c r="I22" s="249" t="s">
        <v>53</v>
      </c>
      <c r="J22" s="236" t="s">
        <v>137</v>
      </c>
      <c r="K22" s="250">
        <f t="shared" si="0"/>
        <v>41960.390317229263</v>
      </c>
      <c r="L22" s="265"/>
    </row>
    <row r="23" spans="1:12">
      <c r="A23" s="257" t="s">
        <v>54</v>
      </c>
      <c r="B23" s="246">
        <v>401111.80302401009</v>
      </c>
      <c r="D23" s="249" t="s">
        <v>54</v>
      </c>
      <c r="E23" s="236" t="s">
        <v>137</v>
      </c>
      <c r="F23" s="254">
        <f t="shared" si="1"/>
        <v>401111.80302401009</v>
      </c>
      <c r="G23" s="265"/>
      <c r="I23" s="249" t="s">
        <v>54</v>
      </c>
      <c r="J23" s="236" t="s">
        <v>137</v>
      </c>
      <c r="K23" s="250">
        <f t="shared" si="0"/>
        <v>401111.80302401009</v>
      </c>
      <c r="L23" s="265"/>
    </row>
    <row r="24" spans="1:12">
      <c r="A24" s="257" t="s">
        <v>55</v>
      </c>
      <c r="B24" s="246">
        <v>68497.757387421851</v>
      </c>
      <c r="D24" s="249" t="s">
        <v>55</v>
      </c>
      <c r="E24" s="236" t="s">
        <v>137</v>
      </c>
      <c r="F24" s="254">
        <f t="shared" si="1"/>
        <v>68497.757387421851</v>
      </c>
      <c r="G24" s="265"/>
      <c r="I24" s="249" t="s">
        <v>55</v>
      </c>
      <c r="J24" s="236" t="s">
        <v>137</v>
      </c>
      <c r="K24" s="250">
        <f t="shared" si="0"/>
        <v>68497.757387421851</v>
      </c>
      <c r="L24" s="265"/>
    </row>
    <row r="25" spans="1:12">
      <c r="A25" s="257" t="s">
        <v>56</v>
      </c>
      <c r="B25" s="246">
        <v>91109.642095461371</v>
      </c>
      <c r="D25" s="249" t="s">
        <v>56</v>
      </c>
      <c r="E25" s="236" t="s">
        <v>137</v>
      </c>
      <c r="F25" s="293">
        <v>0</v>
      </c>
      <c r="G25" s="265"/>
      <c r="I25" s="249" t="s">
        <v>56</v>
      </c>
      <c r="J25" s="236" t="s">
        <v>137</v>
      </c>
      <c r="K25" s="227">
        <f t="shared" si="0"/>
        <v>91109.642095461371</v>
      </c>
      <c r="L25" s="265"/>
    </row>
    <row r="26" spans="1:12">
      <c r="A26" s="257" t="s">
        <v>57</v>
      </c>
      <c r="B26" s="246">
        <v>2011162.4034384238</v>
      </c>
      <c r="D26" s="249" t="s">
        <v>57</v>
      </c>
      <c r="E26" s="236" t="s">
        <v>136</v>
      </c>
      <c r="F26" s="254">
        <f t="shared" si="1"/>
        <v>2011162.4034384238</v>
      </c>
      <c r="G26" s="265"/>
      <c r="I26" s="249" t="s">
        <v>57</v>
      </c>
      <c r="J26" s="236" t="s">
        <v>136</v>
      </c>
      <c r="K26" s="250">
        <f t="shared" si="0"/>
        <v>2011162.4034384238</v>
      </c>
      <c r="L26" s="265"/>
    </row>
    <row r="27" spans="1:12">
      <c r="A27" s="257" t="s">
        <v>58</v>
      </c>
      <c r="B27" s="246">
        <v>379314.62360971246</v>
      </c>
      <c r="D27" s="249" t="s">
        <v>58</v>
      </c>
      <c r="E27" s="236" t="s">
        <v>137</v>
      </c>
      <c r="F27" s="293">
        <v>0</v>
      </c>
      <c r="G27" s="265"/>
      <c r="I27" s="249" t="s">
        <v>58</v>
      </c>
      <c r="J27" s="236" t="s">
        <v>137</v>
      </c>
      <c r="K27" s="227">
        <f t="shared" si="0"/>
        <v>379314.62360971246</v>
      </c>
      <c r="L27" s="265"/>
    </row>
    <row r="28" spans="1:12">
      <c r="A28" s="257" t="s">
        <v>59</v>
      </c>
      <c r="B28" s="246">
        <v>285008.8597274709</v>
      </c>
      <c r="D28" s="249" t="s">
        <v>59</v>
      </c>
      <c r="E28" s="236" t="s">
        <v>136</v>
      </c>
      <c r="F28" s="254">
        <f t="shared" si="1"/>
        <v>285008.8597274709</v>
      </c>
      <c r="G28" s="265"/>
      <c r="I28" s="249" t="s">
        <v>59</v>
      </c>
      <c r="J28" s="236" t="s">
        <v>136</v>
      </c>
      <c r="K28" s="250">
        <f t="shared" si="0"/>
        <v>285008.8597274709</v>
      </c>
      <c r="L28" s="265"/>
    </row>
    <row r="29" spans="1:12">
      <c r="A29" s="257" t="s">
        <v>60</v>
      </c>
      <c r="B29" s="246">
        <v>290597.26874173497</v>
      </c>
      <c r="D29" s="249" t="s">
        <v>60</v>
      </c>
      <c r="E29" s="236" t="s">
        <v>136</v>
      </c>
      <c r="F29" s="254">
        <f t="shared" si="1"/>
        <v>290597.26874173497</v>
      </c>
      <c r="G29" s="265"/>
      <c r="I29" s="249" t="s">
        <v>60</v>
      </c>
      <c r="J29" s="236" t="s">
        <v>136</v>
      </c>
      <c r="K29" s="250">
        <f t="shared" si="0"/>
        <v>290597.26874173497</v>
      </c>
      <c r="L29" s="265"/>
    </row>
    <row r="30" spans="1:12">
      <c r="A30" s="257" t="s">
        <v>61</v>
      </c>
      <c r="B30" s="246">
        <v>434610.31813624478</v>
      </c>
      <c r="D30" s="249" t="s">
        <v>61</v>
      </c>
      <c r="E30" s="236" t="s">
        <v>137</v>
      </c>
      <c r="F30" s="254">
        <f t="shared" si="1"/>
        <v>434610.31813624478</v>
      </c>
      <c r="G30" s="265"/>
      <c r="I30" s="249" t="s">
        <v>61</v>
      </c>
      <c r="J30" s="236" t="s">
        <v>137</v>
      </c>
      <c r="K30" s="250">
        <f t="shared" si="0"/>
        <v>434610.31813624478</v>
      </c>
      <c r="L30" s="265"/>
    </row>
    <row r="31" spans="1:12">
      <c r="A31" s="257" t="s">
        <v>62</v>
      </c>
      <c r="B31" s="246">
        <v>2235831.8023587377</v>
      </c>
      <c r="D31" s="249" t="s">
        <v>62</v>
      </c>
      <c r="E31" s="236" t="s">
        <v>136</v>
      </c>
      <c r="F31" s="254">
        <f t="shared" si="1"/>
        <v>2235831.8023587377</v>
      </c>
      <c r="G31" s="265"/>
      <c r="I31" s="249" t="s">
        <v>62</v>
      </c>
      <c r="J31" s="236" t="s">
        <v>136</v>
      </c>
      <c r="K31" s="250">
        <f t="shared" si="0"/>
        <v>2235831.8023587377</v>
      </c>
      <c r="L31" s="265"/>
    </row>
    <row r="32" spans="1:12">
      <c r="A32" s="257" t="s">
        <v>63</v>
      </c>
      <c r="B32" s="246">
        <v>585209.35657864879</v>
      </c>
      <c r="D32" s="249" t="s">
        <v>63</v>
      </c>
      <c r="E32" s="236" t="s">
        <v>135</v>
      </c>
      <c r="F32" s="254">
        <f t="shared" si="1"/>
        <v>585209.35657864879</v>
      </c>
      <c r="G32" s="265"/>
      <c r="I32" s="249" t="s">
        <v>63</v>
      </c>
      <c r="J32" s="236" t="s">
        <v>135</v>
      </c>
      <c r="K32" s="250">
        <f t="shared" si="0"/>
        <v>585209.35657864879</v>
      </c>
      <c r="L32" s="265"/>
    </row>
    <row r="33" spans="1:12">
      <c r="A33" s="257" t="s">
        <v>64</v>
      </c>
      <c r="B33" s="246">
        <v>291932.18431613775</v>
      </c>
      <c r="D33" s="249" t="s">
        <v>64</v>
      </c>
      <c r="E33" s="236" t="s">
        <v>136</v>
      </c>
      <c r="F33" s="254">
        <f t="shared" si="1"/>
        <v>291932.18431613775</v>
      </c>
      <c r="G33" s="265"/>
      <c r="I33" s="249" t="s">
        <v>64</v>
      </c>
      <c r="J33" s="236" t="s">
        <v>136</v>
      </c>
      <c r="K33" s="250">
        <f t="shared" si="0"/>
        <v>291932.18431613775</v>
      </c>
      <c r="L33" s="265"/>
    </row>
    <row r="34" spans="1:12">
      <c r="A34" s="257" t="s">
        <v>65</v>
      </c>
      <c r="B34" s="246">
        <v>297770.82800246048</v>
      </c>
      <c r="D34" s="249" t="s">
        <v>65</v>
      </c>
      <c r="E34" s="236" t="s">
        <v>136</v>
      </c>
      <c r="F34" s="254">
        <f t="shared" si="1"/>
        <v>297770.82800246048</v>
      </c>
      <c r="G34" s="265"/>
      <c r="I34" s="249" t="s">
        <v>65</v>
      </c>
      <c r="J34" s="236" t="s">
        <v>136</v>
      </c>
      <c r="K34" s="250">
        <f t="shared" si="0"/>
        <v>297770.82800246048</v>
      </c>
      <c r="L34" s="265"/>
    </row>
    <row r="35" spans="1:12">
      <c r="A35" s="257" t="s">
        <v>66</v>
      </c>
      <c r="B35" s="246">
        <v>112662.13340904775</v>
      </c>
      <c r="D35" s="249" t="s">
        <v>66</v>
      </c>
      <c r="E35" s="236" t="s">
        <v>137</v>
      </c>
      <c r="F35" s="254">
        <f t="shared" si="1"/>
        <v>112662.13340904775</v>
      </c>
      <c r="G35" s="265"/>
      <c r="I35" s="249" t="s">
        <v>66</v>
      </c>
      <c r="J35" s="236" t="s">
        <v>137</v>
      </c>
      <c r="K35" s="250">
        <f t="shared" si="0"/>
        <v>112662.13340904775</v>
      </c>
      <c r="L35" s="265"/>
    </row>
    <row r="36" spans="1:12">
      <c r="A36" s="257" t="s">
        <v>67</v>
      </c>
      <c r="B36" s="246">
        <v>112488.50320861935</v>
      </c>
      <c r="D36" s="249" t="s">
        <v>67</v>
      </c>
      <c r="E36" s="236" t="s">
        <v>137</v>
      </c>
      <c r="F36" s="254">
        <f t="shared" si="1"/>
        <v>112488.50320861935</v>
      </c>
      <c r="G36" s="265"/>
      <c r="I36" s="249" t="s">
        <v>67</v>
      </c>
      <c r="J36" s="236" t="s">
        <v>137</v>
      </c>
      <c r="K36" s="250">
        <f t="shared" si="0"/>
        <v>112488.50320861935</v>
      </c>
      <c r="L36" s="265"/>
    </row>
    <row r="37" spans="1:12">
      <c r="A37" s="257" t="s">
        <v>68</v>
      </c>
      <c r="B37" s="246">
        <v>433530.92936176964</v>
      </c>
      <c r="D37" s="249" t="s">
        <v>68</v>
      </c>
      <c r="E37" s="236" t="s">
        <v>137</v>
      </c>
      <c r="F37" s="254">
        <f t="shared" si="1"/>
        <v>433530.92936176964</v>
      </c>
      <c r="G37" s="265"/>
      <c r="I37" s="249" t="s">
        <v>68</v>
      </c>
      <c r="J37" s="236" t="s">
        <v>137</v>
      </c>
      <c r="K37" s="250">
        <f t="shared" si="0"/>
        <v>433530.92936176964</v>
      </c>
      <c r="L37" s="265"/>
    </row>
    <row r="38" spans="1:12">
      <c r="A38" s="257" t="s">
        <v>69</v>
      </c>
      <c r="B38" s="246">
        <v>137180.31088842737</v>
      </c>
      <c r="D38" s="249" t="s">
        <v>69</v>
      </c>
      <c r="E38" s="236" t="s">
        <v>137</v>
      </c>
      <c r="F38" s="293">
        <v>0</v>
      </c>
      <c r="G38" s="265"/>
      <c r="I38" s="249" t="s">
        <v>69</v>
      </c>
      <c r="J38" s="236" t="s">
        <v>137</v>
      </c>
      <c r="K38" s="227">
        <f t="shared" si="0"/>
        <v>137180.31088842737</v>
      </c>
      <c r="L38" s="265"/>
    </row>
    <row r="39" spans="1:12">
      <c r="A39" s="257" t="s">
        <v>70</v>
      </c>
      <c r="B39" s="246">
        <v>175406.33887915878</v>
      </c>
      <c r="D39" s="249" t="s">
        <v>70</v>
      </c>
      <c r="E39" s="236" t="s">
        <v>137</v>
      </c>
      <c r="F39" s="293">
        <v>0</v>
      </c>
      <c r="G39" s="265"/>
      <c r="I39" s="249" t="s">
        <v>70</v>
      </c>
      <c r="J39" s="236" t="s">
        <v>137</v>
      </c>
      <c r="K39" s="227">
        <f t="shared" si="0"/>
        <v>175406.33887915878</v>
      </c>
      <c r="L39" s="265"/>
    </row>
    <row r="40" spans="1:12">
      <c r="A40" s="257" t="s">
        <v>71</v>
      </c>
      <c r="B40" s="246">
        <v>312440.60985073459</v>
      </c>
      <c r="D40" s="249" t="s">
        <v>71</v>
      </c>
      <c r="E40" s="236" t="s">
        <v>137</v>
      </c>
      <c r="F40" s="293">
        <v>0</v>
      </c>
      <c r="G40" s="265"/>
      <c r="I40" s="249" t="s">
        <v>71</v>
      </c>
      <c r="J40" s="236" t="s">
        <v>137</v>
      </c>
      <c r="K40" s="227">
        <f t="shared" si="0"/>
        <v>312440.60985073459</v>
      </c>
      <c r="L40" s="265"/>
    </row>
    <row r="41" spans="1:12">
      <c r="A41" s="257" t="s">
        <v>72</v>
      </c>
      <c r="B41" s="246">
        <v>380085.49215206166</v>
      </c>
      <c r="D41" s="249" t="s">
        <v>72</v>
      </c>
      <c r="E41" s="236" t="s">
        <v>137</v>
      </c>
      <c r="F41" s="254">
        <f t="shared" si="1"/>
        <v>380085.49215206166</v>
      </c>
      <c r="G41" s="265"/>
      <c r="I41" s="249" t="s">
        <v>72</v>
      </c>
      <c r="J41" s="236" t="s">
        <v>137</v>
      </c>
      <c r="K41" s="250">
        <f t="shared" si="0"/>
        <v>380085.49215206166</v>
      </c>
      <c r="L41" s="265"/>
    </row>
    <row r="42" spans="1:12">
      <c r="A42" s="257" t="s">
        <v>73</v>
      </c>
      <c r="B42" s="246">
        <v>331277.01752110489</v>
      </c>
      <c r="D42" s="249" t="s">
        <v>73</v>
      </c>
      <c r="E42" s="236" t="s">
        <v>137</v>
      </c>
      <c r="F42" s="293">
        <v>0</v>
      </c>
      <c r="G42" s="265"/>
      <c r="I42" s="249" t="s">
        <v>73</v>
      </c>
      <c r="J42" s="236" t="s">
        <v>137</v>
      </c>
      <c r="K42" s="227">
        <f t="shared" si="0"/>
        <v>331277.01752110489</v>
      </c>
      <c r="L42" s="265"/>
    </row>
    <row r="43" spans="1:12">
      <c r="A43" s="257" t="s">
        <v>74</v>
      </c>
      <c r="B43" s="246">
        <v>310164.60649765376</v>
      </c>
      <c r="D43" s="249" t="s">
        <v>74</v>
      </c>
      <c r="E43" s="236" t="s">
        <v>137</v>
      </c>
      <c r="F43" s="293">
        <v>0</v>
      </c>
      <c r="G43" s="265"/>
      <c r="I43" s="249" t="s">
        <v>74</v>
      </c>
      <c r="J43" s="236" t="s">
        <v>137</v>
      </c>
      <c r="K43" s="227">
        <f t="shared" si="0"/>
        <v>310164.60649765376</v>
      </c>
      <c r="L43" s="265"/>
    </row>
    <row r="44" spans="1:12">
      <c r="A44" s="257" t="s">
        <v>75</v>
      </c>
      <c r="B44" s="246">
        <v>379874.29535644717</v>
      </c>
      <c r="D44" s="249" t="s">
        <v>75</v>
      </c>
      <c r="E44" s="236" t="s">
        <v>137</v>
      </c>
      <c r="F44" s="293">
        <v>0</v>
      </c>
      <c r="G44" s="265"/>
      <c r="I44" s="249" t="s">
        <v>75</v>
      </c>
      <c r="J44" s="236" t="s">
        <v>137</v>
      </c>
      <c r="K44" s="227">
        <f t="shared" si="0"/>
        <v>379874.29535644717</v>
      </c>
      <c r="L44" s="265"/>
    </row>
    <row r="45" spans="1:12">
      <c r="A45" s="257" t="s">
        <v>76</v>
      </c>
      <c r="B45" s="246">
        <v>401282.38567435968</v>
      </c>
      <c r="D45" s="249" t="s">
        <v>76</v>
      </c>
      <c r="E45" s="236" t="s">
        <v>137</v>
      </c>
      <c r="F45" s="254">
        <f t="shared" si="1"/>
        <v>401282.38567435968</v>
      </c>
      <c r="G45" s="265"/>
      <c r="I45" s="249" t="s">
        <v>76</v>
      </c>
      <c r="J45" s="236" t="s">
        <v>137</v>
      </c>
      <c r="K45" s="250">
        <f t="shared" si="0"/>
        <v>401282.38567435968</v>
      </c>
      <c r="L45" s="265"/>
    </row>
    <row r="46" spans="1:12">
      <c r="A46" s="257" t="s">
        <v>77</v>
      </c>
      <c r="B46" s="246">
        <v>344106.11545674573</v>
      </c>
      <c r="D46" s="249" t="s">
        <v>77</v>
      </c>
      <c r="E46" s="236" t="s">
        <v>137</v>
      </c>
      <c r="F46" s="254">
        <f t="shared" si="1"/>
        <v>344106.11545674573</v>
      </c>
      <c r="G46" s="265"/>
      <c r="I46" s="249" t="s">
        <v>77</v>
      </c>
      <c r="J46" s="236" t="s">
        <v>137</v>
      </c>
      <c r="K46" s="250">
        <f t="shared" si="0"/>
        <v>344106.11545674573</v>
      </c>
      <c r="L46" s="265"/>
    </row>
    <row r="47" spans="1:12">
      <c r="A47" s="257" t="s">
        <v>78</v>
      </c>
      <c r="B47" s="246">
        <v>274684.73550871626</v>
      </c>
      <c r="D47" s="249" t="s">
        <v>78</v>
      </c>
      <c r="E47" s="236" t="s">
        <v>137</v>
      </c>
      <c r="F47" s="254">
        <f t="shared" si="1"/>
        <v>274684.73550871626</v>
      </c>
      <c r="G47" s="265"/>
      <c r="I47" s="249" t="s">
        <v>78</v>
      </c>
      <c r="J47" s="236" t="s">
        <v>137</v>
      </c>
      <c r="K47" s="250">
        <f t="shared" si="0"/>
        <v>274684.73550871626</v>
      </c>
      <c r="L47" s="265"/>
    </row>
    <row r="48" spans="1:12">
      <c r="A48" s="257" t="s">
        <v>79</v>
      </c>
      <c r="B48" s="246">
        <v>1731119.5719833688</v>
      </c>
      <c r="D48" s="249" t="s">
        <v>144</v>
      </c>
      <c r="E48" s="236" t="s">
        <v>136</v>
      </c>
      <c r="F48" s="254">
        <f t="shared" si="1"/>
        <v>1731119.5719833688</v>
      </c>
      <c r="G48" s="265"/>
      <c r="I48" s="249" t="s">
        <v>144</v>
      </c>
      <c r="J48" s="236" t="s">
        <v>136</v>
      </c>
      <c r="K48" s="250">
        <f t="shared" si="0"/>
        <v>1731119.5719833688</v>
      </c>
      <c r="L48" s="265"/>
    </row>
    <row r="49" spans="1:12">
      <c r="A49" s="257" t="s">
        <v>80</v>
      </c>
      <c r="B49" s="246">
        <v>31592.369067741696</v>
      </c>
      <c r="D49" s="249" t="s">
        <v>145</v>
      </c>
      <c r="E49" s="236" t="s">
        <v>136</v>
      </c>
      <c r="F49" s="254">
        <f t="shared" si="1"/>
        <v>31592.369067741696</v>
      </c>
      <c r="G49" s="265"/>
      <c r="I49" s="249" t="s">
        <v>145</v>
      </c>
      <c r="J49" s="236" t="s">
        <v>136</v>
      </c>
      <c r="K49" s="250">
        <f t="shared" si="0"/>
        <v>31592.369067741696</v>
      </c>
      <c r="L49" s="265"/>
    </row>
    <row r="50" spans="1:12">
      <c r="A50" s="257" t="s">
        <v>81</v>
      </c>
      <c r="B50" s="246">
        <v>477858.66600152798</v>
      </c>
      <c r="D50" s="249" t="s">
        <v>146</v>
      </c>
      <c r="E50" s="236" t="s">
        <v>136</v>
      </c>
      <c r="F50" s="254">
        <f t="shared" si="1"/>
        <v>477858.66600152798</v>
      </c>
      <c r="G50" s="265"/>
      <c r="I50" s="249" t="s">
        <v>146</v>
      </c>
      <c r="J50" s="236" t="s">
        <v>136</v>
      </c>
      <c r="K50" s="250">
        <f t="shared" si="0"/>
        <v>477858.66600152798</v>
      </c>
      <c r="L50" s="265"/>
    </row>
    <row r="51" spans="1:12">
      <c r="A51" s="257" t="s">
        <v>82</v>
      </c>
      <c r="B51" s="246">
        <v>691528.22036370391</v>
      </c>
      <c r="D51" s="249" t="s">
        <v>147</v>
      </c>
      <c r="E51" s="236" t="s">
        <v>136</v>
      </c>
      <c r="F51" s="254">
        <f t="shared" si="1"/>
        <v>691528.22036370391</v>
      </c>
      <c r="G51" s="265"/>
      <c r="I51" s="249" t="s">
        <v>147</v>
      </c>
      <c r="J51" s="236" t="s">
        <v>136</v>
      </c>
      <c r="K51" s="250">
        <f t="shared" si="0"/>
        <v>691528.22036370391</v>
      </c>
      <c r="L51" s="265"/>
    </row>
    <row r="52" spans="1:12">
      <c r="A52" s="257" t="s">
        <v>83</v>
      </c>
      <c r="B52" s="246">
        <v>33519.735636157682</v>
      </c>
      <c r="D52" s="249" t="s">
        <v>148</v>
      </c>
      <c r="E52" s="236" t="s">
        <v>136</v>
      </c>
      <c r="F52" s="254">
        <f t="shared" si="1"/>
        <v>33519.735636157682</v>
      </c>
      <c r="G52" s="265"/>
      <c r="I52" s="249" t="s">
        <v>148</v>
      </c>
      <c r="J52" s="236" t="s">
        <v>136</v>
      </c>
      <c r="K52" s="250">
        <f t="shared" si="0"/>
        <v>33519.735636157682</v>
      </c>
      <c r="L52" s="265"/>
    </row>
    <row r="53" spans="1:12">
      <c r="A53" s="257" t="s">
        <v>84</v>
      </c>
      <c r="B53" s="246">
        <v>99089.836616756482</v>
      </c>
      <c r="D53" s="249" t="s">
        <v>149</v>
      </c>
      <c r="E53" s="236" t="s">
        <v>136</v>
      </c>
      <c r="F53" s="254">
        <f t="shared" si="1"/>
        <v>99089.836616756482</v>
      </c>
      <c r="G53" s="265"/>
      <c r="I53" s="249" t="s">
        <v>149</v>
      </c>
      <c r="J53" s="236" t="s">
        <v>136</v>
      </c>
      <c r="K53" s="250">
        <f t="shared" si="0"/>
        <v>99089.836616756482</v>
      </c>
      <c r="L53" s="265"/>
    </row>
    <row r="54" spans="1:12">
      <c r="A54" s="257" t="s">
        <v>85</v>
      </c>
      <c r="B54" s="246">
        <v>101071.6333490916</v>
      </c>
      <c r="D54" s="249" t="s">
        <v>150</v>
      </c>
      <c r="E54" s="236" t="s">
        <v>136</v>
      </c>
      <c r="F54" s="254">
        <f t="shared" si="1"/>
        <v>101071.6333490916</v>
      </c>
      <c r="G54" s="265"/>
      <c r="I54" s="249" t="s">
        <v>150</v>
      </c>
      <c r="J54" s="236" t="s">
        <v>136</v>
      </c>
      <c r="K54" s="250">
        <f t="shared" si="0"/>
        <v>101071.6333490916</v>
      </c>
      <c r="L54" s="265"/>
    </row>
    <row r="55" spans="1:12">
      <c r="A55" s="257" t="s">
        <v>86</v>
      </c>
      <c r="B55" s="246">
        <v>52518.521246781427</v>
      </c>
      <c r="D55" s="249" t="s">
        <v>86</v>
      </c>
      <c r="E55" s="236" t="s">
        <v>135</v>
      </c>
      <c r="F55" s="254">
        <f t="shared" si="1"/>
        <v>52518.521246781427</v>
      </c>
      <c r="G55" s="265"/>
      <c r="I55" s="249" t="s">
        <v>86</v>
      </c>
      <c r="J55" s="236" t="s">
        <v>135</v>
      </c>
      <c r="K55" s="250">
        <f t="shared" si="0"/>
        <v>52518.521246781427</v>
      </c>
      <c r="L55" s="265"/>
    </row>
    <row r="56" spans="1:12">
      <c r="A56" s="257" t="s">
        <v>87</v>
      </c>
      <c r="B56" s="246">
        <v>766433.58071264625</v>
      </c>
      <c r="D56" s="249" t="s">
        <v>87</v>
      </c>
      <c r="E56" s="236" t="s">
        <v>136</v>
      </c>
      <c r="F56" s="254">
        <f t="shared" si="1"/>
        <v>766433.58071264625</v>
      </c>
      <c r="G56" s="265"/>
      <c r="I56" s="249" t="s">
        <v>87</v>
      </c>
      <c r="J56" s="236" t="s">
        <v>136</v>
      </c>
      <c r="K56" s="250">
        <f t="shared" si="0"/>
        <v>766433.58071264625</v>
      </c>
      <c r="L56" s="265"/>
    </row>
    <row r="57" spans="1:12">
      <c r="A57" s="257" t="s">
        <v>88</v>
      </c>
      <c r="B57" s="246">
        <v>808471.60468666325</v>
      </c>
      <c r="D57" s="249" t="s">
        <v>88</v>
      </c>
      <c r="E57" s="236" t="s">
        <v>136</v>
      </c>
      <c r="F57" s="254">
        <f>B57</f>
        <v>808471.60468666325</v>
      </c>
      <c r="G57" s="265"/>
      <c r="I57" s="249" t="s">
        <v>88</v>
      </c>
      <c r="J57" s="236" t="s">
        <v>136</v>
      </c>
      <c r="K57" s="250">
        <f t="shared" si="0"/>
        <v>808471.60468666325</v>
      </c>
      <c r="L57" s="265"/>
    </row>
    <row r="58" spans="1:12">
      <c r="A58" s="257" t="s">
        <v>89</v>
      </c>
      <c r="B58" s="246">
        <v>1030899.8939651879</v>
      </c>
      <c r="D58" s="249" t="s">
        <v>89</v>
      </c>
      <c r="E58" s="236" t="s">
        <v>136</v>
      </c>
      <c r="F58" s="254">
        <f>B58</f>
        <v>1030899.8939651879</v>
      </c>
      <c r="G58" s="265"/>
      <c r="I58" s="249" t="s">
        <v>89</v>
      </c>
      <c r="J58" s="236" t="s">
        <v>136</v>
      </c>
      <c r="K58" s="250">
        <f t="shared" si="0"/>
        <v>1030899.8939651879</v>
      </c>
      <c r="L58" s="265"/>
    </row>
    <row r="59" spans="1:12">
      <c r="A59" s="257" t="s">
        <v>90</v>
      </c>
      <c r="B59" s="246">
        <v>632630.89821322041</v>
      </c>
      <c r="D59" s="249" t="s">
        <v>90</v>
      </c>
      <c r="E59" s="236" t="s">
        <v>137</v>
      </c>
      <c r="F59" s="254">
        <f t="shared" si="1"/>
        <v>632630.89821322041</v>
      </c>
      <c r="G59" s="265"/>
      <c r="I59" s="249" t="s">
        <v>90</v>
      </c>
      <c r="J59" s="236" t="s">
        <v>137</v>
      </c>
      <c r="K59" s="250">
        <f t="shared" si="0"/>
        <v>632630.89821322041</v>
      </c>
      <c r="L59" s="265"/>
    </row>
    <row r="60" spans="1:12">
      <c r="A60" s="257" t="s">
        <v>91</v>
      </c>
      <c r="B60" s="246">
        <v>995647.68620454671</v>
      </c>
      <c r="D60" s="249" t="s">
        <v>91</v>
      </c>
      <c r="E60" s="236" t="s">
        <v>137</v>
      </c>
      <c r="F60" s="254">
        <f t="shared" si="1"/>
        <v>995647.68620454671</v>
      </c>
      <c r="G60" s="265"/>
      <c r="I60" s="249" t="s">
        <v>91</v>
      </c>
      <c r="J60" s="236" t="s">
        <v>137</v>
      </c>
      <c r="K60" s="250">
        <f t="shared" si="0"/>
        <v>995647.68620454671</v>
      </c>
      <c r="L60" s="265"/>
    </row>
    <row r="61" spans="1:12">
      <c r="A61" s="257" t="s">
        <v>92</v>
      </c>
      <c r="B61" s="246">
        <v>394287.84220734675</v>
      </c>
      <c r="D61" s="249" t="s">
        <v>92</v>
      </c>
      <c r="E61" s="236" t="s">
        <v>137</v>
      </c>
      <c r="F61" s="254">
        <f t="shared" si="1"/>
        <v>394287.84220734675</v>
      </c>
      <c r="G61" s="265"/>
      <c r="I61" s="249" t="s">
        <v>92</v>
      </c>
      <c r="J61" s="236" t="s">
        <v>137</v>
      </c>
      <c r="K61" s="250">
        <f t="shared" si="0"/>
        <v>394287.84220734675</v>
      </c>
      <c r="L61" s="265"/>
    </row>
    <row r="62" spans="1:12">
      <c r="A62" s="257" t="s">
        <v>93</v>
      </c>
      <c r="B62" s="246">
        <v>395834.48874918529</v>
      </c>
      <c r="D62" s="249" t="s">
        <v>93</v>
      </c>
      <c r="E62" s="236" t="s">
        <v>137</v>
      </c>
      <c r="F62" s="254">
        <f t="shared" si="1"/>
        <v>395834.48874918529</v>
      </c>
      <c r="G62" s="265"/>
      <c r="I62" s="249" t="s">
        <v>93</v>
      </c>
      <c r="J62" s="236" t="s">
        <v>137</v>
      </c>
      <c r="K62" s="250">
        <f t="shared" si="0"/>
        <v>395834.48874918529</v>
      </c>
      <c r="L62" s="265"/>
    </row>
    <row r="63" spans="1:12">
      <c r="A63" s="257" t="s">
        <v>94</v>
      </c>
      <c r="B63" s="252">
        <v>384354.66911872663</v>
      </c>
      <c r="D63" s="249" t="s">
        <v>94</v>
      </c>
      <c r="E63" s="236" t="s">
        <v>137</v>
      </c>
      <c r="F63" s="254">
        <f t="shared" si="1"/>
        <v>384354.66911872663</v>
      </c>
      <c r="G63" s="265"/>
      <c r="I63" s="249" t="s">
        <v>94</v>
      </c>
      <c r="J63" s="236" t="s">
        <v>137</v>
      </c>
      <c r="K63" s="250">
        <f t="shared" si="0"/>
        <v>384354.66911872663</v>
      </c>
      <c r="L63" s="265"/>
    </row>
    <row r="64" spans="1:12">
      <c r="A64" s="236" t="s">
        <v>95</v>
      </c>
      <c r="B64" s="254">
        <v>1130062.5</v>
      </c>
      <c r="D64" s="249" t="s">
        <v>151</v>
      </c>
      <c r="E64" s="236" t="s">
        <v>136</v>
      </c>
      <c r="F64" s="293">
        <v>0</v>
      </c>
      <c r="G64" s="265"/>
      <c r="I64" s="249" t="s">
        <v>151</v>
      </c>
      <c r="J64" s="236" t="s">
        <v>136</v>
      </c>
      <c r="K64" s="227">
        <f t="shared" si="0"/>
        <v>1130062.5</v>
      </c>
      <c r="L64" s="265"/>
    </row>
    <row r="65" spans="1:12">
      <c r="D65" s="249"/>
      <c r="E65" s="236"/>
      <c r="F65" s="254"/>
      <c r="G65" s="265"/>
      <c r="I65" s="249"/>
      <c r="J65" s="236"/>
      <c r="K65" s="250"/>
      <c r="L65" s="265"/>
    </row>
    <row r="66" spans="1:12" ht="13.5" thickBot="1">
      <c r="B66" s="234">
        <f>SUM(B11:B65)</f>
        <v>25692448.647280276</v>
      </c>
      <c r="D66" s="267"/>
      <c r="E66" s="248"/>
      <c r="F66" s="234">
        <f>SUM(F11:F65)</f>
        <v>20644711.442916624</v>
      </c>
      <c r="G66" s="265"/>
      <c r="I66" s="267"/>
      <c r="J66" s="248"/>
      <c r="K66" s="234">
        <f>SUM(K11:K65)</f>
        <v>25692448.647280276</v>
      </c>
      <c r="L66" s="265"/>
    </row>
    <row r="67" spans="1:12" ht="13.5" thickTop="1">
      <c r="A67" s="271" t="s">
        <v>152</v>
      </c>
      <c r="B67" s="255">
        <f>B66-'Accrual - Step 3'!AO72</f>
        <v>0</v>
      </c>
      <c r="D67" s="267"/>
      <c r="E67" s="248"/>
      <c r="F67" s="237"/>
      <c r="G67" s="265"/>
      <c r="I67" s="267"/>
      <c r="J67" s="248"/>
      <c r="K67" s="237"/>
      <c r="L67" s="265"/>
    </row>
    <row r="68" spans="1:12" ht="24">
      <c r="D68" s="272"/>
      <c r="E68" s="276" t="s">
        <v>166</v>
      </c>
      <c r="F68" s="261" t="s">
        <v>153</v>
      </c>
      <c r="G68" s="273" t="s">
        <v>154</v>
      </c>
      <c r="H68" s="269"/>
      <c r="I68" s="267"/>
      <c r="J68" s="277" t="s">
        <v>153</v>
      </c>
      <c r="K68" s="261" t="s">
        <v>153</v>
      </c>
      <c r="L68" s="268" t="s">
        <v>154</v>
      </c>
    </row>
    <row r="69" spans="1:12">
      <c r="D69" s="244" t="s">
        <v>135</v>
      </c>
      <c r="E69" s="87">
        <v>783287.77033450163</v>
      </c>
      <c r="F69" s="87">
        <f>SUMIF($E$11:$E$64,D69,$F$11:$F$64)</f>
        <v>783287.77033450163</v>
      </c>
      <c r="G69" s="284">
        <f>F69-E69</f>
        <v>0</v>
      </c>
      <c r="H69" s="235"/>
      <c r="I69" s="232" t="s">
        <v>135</v>
      </c>
      <c r="J69" s="87">
        <v>783287.77033450163</v>
      </c>
      <c r="K69" s="87">
        <f>SUMIF($J$11:$J$64,I69,$K$11:$K$64)</f>
        <v>783287.77033450163</v>
      </c>
      <c r="L69" s="284">
        <f>K69-J69</f>
        <v>0</v>
      </c>
    </row>
    <row r="70" spans="1:12">
      <c r="D70" s="244" t="s">
        <v>136</v>
      </c>
      <c r="E70" s="87">
        <v>8646335.237638671</v>
      </c>
      <c r="F70" s="87">
        <f>SUMIF($E$11:$E$64,D70,$F$11:$F$64)</f>
        <v>11183888.45896781</v>
      </c>
      <c r="G70" s="284">
        <f t="shared" ref="G70:G72" si="2">F70-E70</f>
        <v>2537553.2213291395</v>
      </c>
      <c r="H70" s="235"/>
      <c r="I70" s="232" t="s">
        <v>136</v>
      </c>
      <c r="J70" s="87">
        <v>11183888.45896781</v>
      </c>
      <c r="K70" s="87">
        <f t="shared" ref="K70:K71" si="3">SUMIF($J$11:$J$64,I70,$K$11:$K$64)</f>
        <v>12313950.95896781</v>
      </c>
      <c r="L70" s="284">
        <f t="shared" ref="L70:L72" si="4">K70-J70</f>
        <v>1130062.5</v>
      </c>
    </row>
    <row r="71" spans="1:12">
      <c r="D71" s="244" t="s">
        <v>137</v>
      </c>
      <c r="E71" s="285">
        <v>6899817.7871528016</v>
      </c>
      <c r="F71" s="87">
        <f>SUMIF($E$11:$E$64,D71,$F$11:$F$64)</f>
        <v>8677535.2136143222</v>
      </c>
      <c r="G71" s="284">
        <f t="shared" si="2"/>
        <v>1777717.4264615206</v>
      </c>
      <c r="H71" s="235"/>
      <c r="I71" s="232" t="s">
        <v>137</v>
      </c>
      <c r="J71" s="87">
        <v>8677535.2136143222</v>
      </c>
      <c r="K71" s="87">
        <f t="shared" si="3"/>
        <v>12595209.917977972</v>
      </c>
      <c r="L71" s="284">
        <f t="shared" si="4"/>
        <v>3917674.7043636497</v>
      </c>
    </row>
    <row r="72" spans="1:12">
      <c r="D72" s="270"/>
      <c r="E72" s="100">
        <v>16329440.795125972</v>
      </c>
      <c r="F72" s="100">
        <f>SUM(F69:F71)</f>
        <v>20644711.442916632</v>
      </c>
      <c r="G72" s="286">
        <f t="shared" si="2"/>
        <v>4315270.6477906592</v>
      </c>
      <c r="H72" s="231"/>
      <c r="I72" s="229"/>
      <c r="J72" s="100">
        <v>20644711.442916632</v>
      </c>
      <c r="K72" s="100">
        <f>SUM(K69:K71)</f>
        <v>25692448.647280283</v>
      </c>
      <c r="L72" s="286">
        <f t="shared" si="4"/>
        <v>5047737.2043636516</v>
      </c>
    </row>
    <row r="73" spans="1:12">
      <c r="D73" s="236"/>
      <c r="I73" s="236"/>
      <c r="J73" s="248"/>
      <c r="K73" s="248"/>
      <c r="L73" s="248"/>
    </row>
    <row r="74" spans="1:12">
      <c r="D74" s="230" t="s">
        <v>152</v>
      </c>
      <c r="E74" s="226">
        <f>E72-'Breakdown - Step 2'!F72</f>
        <v>0</v>
      </c>
      <c r="I74" s="230" t="s">
        <v>152</v>
      </c>
      <c r="J74" s="225">
        <f>J72-F72</f>
        <v>0</v>
      </c>
    </row>
    <row r="76" spans="1:12">
      <c r="A76" s="278" t="s">
        <v>138</v>
      </c>
    </row>
    <row r="77" spans="1:12">
      <c r="A77" s="56" t="s">
        <v>107</v>
      </c>
      <c r="D77" s="207"/>
    </row>
    <row r="78" spans="1:12">
      <c r="A78" s="314" t="s">
        <v>167</v>
      </c>
      <c r="B78" s="314"/>
      <c r="C78" s="314"/>
      <c r="D78" s="314"/>
    </row>
    <row r="79" spans="1:12">
      <c r="A79" s="314"/>
      <c r="B79" s="314"/>
      <c r="C79" s="314"/>
      <c r="D79" s="314"/>
    </row>
  </sheetData>
  <autoFilter ref="D10:F63">
    <sortCondition ref="D1:D54"/>
  </autoFilter>
  <mergeCells count="5">
    <mergeCell ref="A9:B9"/>
    <mergeCell ref="D9:G9"/>
    <mergeCell ref="I9:L9"/>
    <mergeCell ref="A78:D78"/>
    <mergeCell ref="A79:D79"/>
  </mergeCells>
  <pageMargins left="0.7" right="0.7" top="0.75" bottom="0.75" header="0.3" footer="0.3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workbookViewId="0">
      <selection activeCell="D22" sqref="D22"/>
    </sheetView>
  </sheetViews>
  <sheetFormatPr defaultColWidth="8.85546875" defaultRowHeight="12.75"/>
  <cols>
    <col min="1" max="1" width="7.28515625" style="200" customWidth="1"/>
    <col min="2" max="2" width="2.28515625" style="195" customWidth="1"/>
    <col min="3" max="4" width="14.42578125" style="195" customWidth="1"/>
    <col min="5" max="5" width="2.28515625" style="195" customWidth="1"/>
    <col min="6" max="6" width="18" style="195" customWidth="1"/>
    <col min="7" max="7" width="14.42578125" style="195" customWidth="1"/>
    <col min="8" max="8" width="2.28515625" style="195" customWidth="1"/>
    <col min="9" max="10" width="14.42578125" style="195" customWidth="1"/>
    <col min="11" max="11" width="2.28515625" style="195" customWidth="1"/>
    <col min="12" max="13" width="14.42578125" style="195" customWidth="1"/>
    <col min="14" max="16384" width="8.85546875" style="168"/>
  </cols>
  <sheetData>
    <row r="1" spans="1:16">
      <c r="A1" s="165" t="s">
        <v>113</v>
      </c>
      <c r="B1" s="166"/>
      <c r="C1" s="167"/>
      <c r="D1" s="166"/>
      <c r="E1" s="166"/>
      <c r="F1" s="166"/>
      <c r="G1" s="166"/>
      <c r="H1" s="166"/>
      <c r="I1" s="166"/>
      <c r="J1" s="166"/>
      <c r="K1" s="166"/>
      <c r="L1" s="166"/>
      <c r="M1" s="166"/>
      <c r="O1" s="169"/>
      <c r="P1" s="170"/>
    </row>
    <row r="2" spans="1:16">
      <c r="A2" s="171" t="s">
        <v>114</v>
      </c>
      <c r="B2" s="166"/>
      <c r="C2" s="167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6">
      <c r="A3" s="172" t="s">
        <v>115</v>
      </c>
      <c r="B3" s="166"/>
      <c r="C3" s="167"/>
      <c r="D3" s="167"/>
      <c r="E3" s="166"/>
      <c r="F3" s="166"/>
      <c r="G3" s="166"/>
      <c r="H3" s="166"/>
      <c r="I3" s="166"/>
      <c r="J3" s="166"/>
      <c r="K3" s="166"/>
      <c r="L3" s="166"/>
      <c r="M3" s="166"/>
    </row>
    <row r="4" spans="1:16">
      <c r="A4" s="173" t="s">
        <v>116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6" ht="12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</row>
    <row r="6" spans="1:16">
      <c r="A6" s="176"/>
      <c r="B6" s="177"/>
      <c r="C6" s="320" t="s">
        <v>117</v>
      </c>
      <c r="D6" s="320"/>
      <c r="E6" s="177"/>
      <c r="F6" s="320" t="s">
        <v>118</v>
      </c>
      <c r="G6" s="320"/>
      <c r="H6" s="177"/>
      <c r="I6" s="320" t="s">
        <v>119</v>
      </c>
      <c r="J6" s="320"/>
      <c r="K6" s="177"/>
      <c r="L6" s="320" t="s">
        <v>120</v>
      </c>
      <c r="M6" s="320"/>
    </row>
    <row r="7" spans="1:16">
      <c r="A7" s="178"/>
      <c r="B7" s="167"/>
      <c r="C7" s="321" t="s">
        <v>121</v>
      </c>
      <c r="D7" s="321"/>
      <c r="E7" s="167"/>
      <c r="F7" s="321" t="s">
        <v>122</v>
      </c>
      <c r="G7" s="321"/>
      <c r="H7" s="167"/>
      <c r="I7" s="321" t="s">
        <v>123</v>
      </c>
      <c r="J7" s="321"/>
      <c r="K7" s="167"/>
      <c r="L7" s="321" t="s">
        <v>124</v>
      </c>
      <c r="M7" s="321"/>
    </row>
    <row r="8" spans="1:16">
      <c r="A8" s="178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</row>
    <row r="9" spans="1:16">
      <c r="A9" s="179" t="s">
        <v>125</v>
      </c>
      <c r="B9" s="167"/>
      <c r="C9" s="180" t="s">
        <v>126</v>
      </c>
      <c r="D9" s="181" t="s">
        <v>127</v>
      </c>
      <c r="E9" s="167"/>
      <c r="F9" s="180" t="s">
        <v>126</v>
      </c>
      <c r="G9" s="181" t="s">
        <v>127</v>
      </c>
      <c r="H9" s="167"/>
      <c r="I9" s="180" t="s">
        <v>126</v>
      </c>
      <c r="J9" s="181" t="s">
        <v>127</v>
      </c>
      <c r="K9" s="167"/>
      <c r="L9" s="180" t="s">
        <v>126</v>
      </c>
      <c r="M9" s="181" t="s">
        <v>127</v>
      </c>
    </row>
    <row r="10" spans="1:16">
      <c r="A10" s="182"/>
      <c r="B10" s="167"/>
      <c r="C10" s="183" t="s">
        <v>128</v>
      </c>
      <c r="D10" s="184" t="s">
        <v>129</v>
      </c>
      <c r="E10" s="167"/>
      <c r="F10" s="183" t="s">
        <v>128</v>
      </c>
      <c r="G10" s="184" t="s">
        <v>129</v>
      </c>
      <c r="H10" s="167"/>
      <c r="I10" s="183" t="s">
        <v>128</v>
      </c>
      <c r="J10" s="184" t="s">
        <v>129</v>
      </c>
      <c r="K10" s="167"/>
      <c r="L10" s="183" t="s">
        <v>128</v>
      </c>
      <c r="M10" s="184" t="s">
        <v>129</v>
      </c>
    </row>
    <row r="11" spans="1:16">
      <c r="A11" s="185" t="s">
        <v>130</v>
      </c>
      <c r="B11" s="186"/>
      <c r="C11" s="187" t="s">
        <v>131</v>
      </c>
      <c r="D11" s="188" t="s">
        <v>132</v>
      </c>
      <c r="E11" s="186"/>
      <c r="F11" s="187" t="s">
        <v>131</v>
      </c>
      <c r="G11" s="188" t="s">
        <v>132</v>
      </c>
      <c r="H11" s="186"/>
      <c r="I11" s="187" t="s">
        <v>131</v>
      </c>
      <c r="J11" s="188" t="s">
        <v>132</v>
      </c>
      <c r="K11" s="186"/>
      <c r="L11" s="187" t="s">
        <v>131</v>
      </c>
      <c r="M11" s="188" t="s">
        <v>132</v>
      </c>
    </row>
    <row r="12" spans="1:16">
      <c r="A12" s="189">
        <v>2015</v>
      </c>
      <c r="B12" s="167"/>
      <c r="C12" s="190">
        <v>2.8053977272727293E-2</v>
      </c>
      <c r="D12" s="191">
        <v>1</v>
      </c>
      <c r="E12" s="167"/>
      <c r="F12" s="190">
        <v>-6.8931357576257901E-2</v>
      </c>
      <c r="G12" s="191">
        <v>1</v>
      </c>
      <c r="H12" s="167"/>
      <c r="I12" s="190">
        <v>1.0012052183193232E-2</v>
      </c>
      <c r="J12" s="191">
        <v>1</v>
      </c>
      <c r="K12" s="167"/>
      <c r="L12" s="190">
        <v>-6.8853736704120316E-2</v>
      </c>
      <c r="M12" s="191">
        <v>1</v>
      </c>
    </row>
    <row r="13" spans="1:16">
      <c r="A13" s="189">
        <v>2016</v>
      </c>
      <c r="B13" s="167"/>
      <c r="C13" s="190">
        <v>2.5569838875407314E-2</v>
      </c>
      <c r="D13" s="192">
        <f t="shared" ref="D13:D72" si="0">D12*(1+C13)</f>
        <v>1.0255698388754073</v>
      </c>
      <c r="E13" s="167"/>
      <c r="F13" s="190">
        <v>-4.229268076428605E-2</v>
      </c>
      <c r="G13" s="192">
        <f t="shared" ref="G13:G72" si="1">G12*(1+F13)</f>
        <v>0.95770731923571395</v>
      </c>
      <c r="H13" s="167"/>
      <c r="I13" s="190">
        <v>1.3018725704747158E-2</v>
      </c>
      <c r="J13" s="192">
        <f t="shared" ref="J13:J72" si="2">J12*(1+I13)</f>
        <v>1.0130187257047472</v>
      </c>
      <c r="K13" s="167"/>
      <c r="L13" s="190">
        <v>-4.3242352613425128E-2</v>
      </c>
      <c r="M13" s="192">
        <f t="shared" ref="M13:M72" si="3">M12*(1+L13)</f>
        <v>0.95675764738657487</v>
      </c>
    </row>
    <row r="14" spans="1:16">
      <c r="A14" s="189">
        <v>2017</v>
      </c>
      <c r="B14" s="167"/>
      <c r="C14" s="190">
        <v>3.505732927255889E-2</v>
      </c>
      <c r="D14" s="192">
        <f t="shared" si="0"/>
        <v>1.0615235784088677</v>
      </c>
      <c r="E14" s="167"/>
      <c r="F14" s="190">
        <v>2.1662774306758337E-2</v>
      </c>
      <c r="G14" s="192">
        <f t="shared" si="1"/>
        <v>0.97845391674424775</v>
      </c>
      <c r="H14" s="167"/>
      <c r="I14" s="190">
        <v>2.0644677179221027E-2</v>
      </c>
      <c r="J14" s="192">
        <f t="shared" si="2"/>
        <v>1.0339321702734274</v>
      </c>
      <c r="K14" s="167"/>
      <c r="L14" s="190">
        <v>4.7112476902307243E-2</v>
      </c>
      <c r="M14" s="192">
        <f t="shared" si="3"/>
        <v>1.0018328699501806</v>
      </c>
    </row>
    <row r="15" spans="1:16">
      <c r="A15" s="189">
        <v>2018</v>
      </c>
      <c r="B15" s="167"/>
      <c r="C15" s="190">
        <v>3.8615059370633142E-2</v>
      </c>
      <c r="D15" s="192">
        <f t="shared" si="0"/>
        <v>1.102514374412453</v>
      </c>
      <c r="E15" s="167"/>
      <c r="F15" s="190">
        <v>2.9534884827297159E-2</v>
      </c>
      <c r="G15" s="192">
        <f t="shared" si="1"/>
        <v>1.007352440484107</v>
      </c>
      <c r="H15" s="167"/>
      <c r="I15" s="190">
        <v>2.1600574059488675E-2</v>
      </c>
      <c r="J15" s="192">
        <f t="shared" si="2"/>
        <v>1.0562656986899064</v>
      </c>
      <c r="K15" s="167"/>
      <c r="L15" s="190">
        <v>4.9965884532917393E-2</v>
      </c>
      <c r="M15" s="192">
        <f t="shared" si="3"/>
        <v>1.0518903354513927</v>
      </c>
    </row>
    <row r="16" spans="1:16">
      <c r="A16" s="189">
        <v>2019</v>
      </c>
      <c r="B16" s="167"/>
      <c r="C16" s="190">
        <v>3.9719128116119551E-2</v>
      </c>
      <c r="D16" s="192">
        <f t="shared" si="0"/>
        <v>1.1463052840996046</v>
      </c>
      <c r="E16" s="167"/>
      <c r="F16" s="190">
        <v>2.4640484122391504E-2</v>
      </c>
      <c r="G16" s="192">
        <f t="shared" si="1"/>
        <v>1.032174092299508</v>
      </c>
      <c r="H16" s="167"/>
      <c r="I16" s="190">
        <v>2.1781794419546863E-2</v>
      </c>
      <c r="J16" s="192">
        <f t="shared" si="2"/>
        <v>1.0792730609911889</v>
      </c>
      <c r="K16" s="167"/>
      <c r="L16" s="190">
        <v>2.9214525160091709E-2</v>
      </c>
      <c r="M16" s="192">
        <f t="shared" si="3"/>
        <v>1.0826208121220946</v>
      </c>
    </row>
    <row r="17" spans="1:13">
      <c r="A17" s="189">
        <v>2020</v>
      </c>
      <c r="B17" s="167"/>
      <c r="C17" s="190">
        <v>3.9650679007459999E-2</v>
      </c>
      <c r="D17" s="192">
        <f t="shared" si="0"/>
        <v>1.1917570669639932</v>
      </c>
      <c r="E17" s="167"/>
      <c r="F17" s="190">
        <v>2.0078812851625605E-2</v>
      </c>
      <c r="G17" s="192">
        <f t="shared" si="1"/>
        <v>1.0528989227290864</v>
      </c>
      <c r="H17" s="167"/>
      <c r="I17" s="190">
        <v>2.2057006782080668E-2</v>
      </c>
      <c r="J17" s="192">
        <f t="shared" si="2"/>
        <v>1.1030785942171886</v>
      </c>
      <c r="K17" s="167"/>
      <c r="L17" s="190">
        <v>1.7640151746713517E-2</v>
      </c>
      <c r="M17" s="192">
        <f t="shared" si="3"/>
        <v>1.1017184075320785</v>
      </c>
    </row>
    <row r="18" spans="1:13">
      <c r="A18" s="189">
        <v>2021</v>
      </c>
      <c r="B18" s="167"/>
      <c r="C18" s="190">
        <v>3.948183304422348E-2</v>
      </c>
      <c r="D18" s="192">
        <f t="shared" si="0"/>
        <v>1.2388098205111391</v>
      </c>
      <c r="E18" s="167"/>
      <c r="F18" s="190">
        <v>1.5887080893200345E-2</v>
      </c>
      <c r="G18" s="192">
        <f t="shared" si="1"/>
        <v>1.0696264130868469</v>
      </c>
      <c r="H18" s="167"/>
      <c r="I18" s="190">
        <v>2.2030215911103657E-2</v>
      </c>
      <c r="J18" s="192">
        <f t="shared" si="2"/>
        <v>1.1273796538147098</v>
      </c>
      <c r="K18" s="167"/>
      <c r="L18" s="190">
        <v>6.2564004332035239E-3</v>
      </c>
      <c r="M18" s="192">
        <f t="shared" si="3"/>
        <v>1.1086111990542304</v>
      </c>
    </row>
    <row r="19" spans="1:13">
      <c r="A19" s="189">
        <v>2022</v>
      </c>
      <c r="B19" s="167"/>
      <c r="C19" s="190">
        <v>3.9143095135570238E-2</v>
      </c>
      <c r="D19" s="192">
        <f t="shared" si="0"/>
        <v>1.2873006711702852</v>
      </c>
      <c r="E19" s="167"/>
      <c r="F19" s="190">
        <v>1.2998038799028278E-2</v>
      </c>
      <c r="G19" s="192">
        <f t="shared" si="1"/>
        <v>1.0835294587046151</v>
      </c>
      <c r="H19" s="167"/>
      <c r="I19" s="190">
        <v>2.1380016486720832E-2</v>
      </c>
      <c r="J19" s="192">
        <f t="shared" si="2"/>
        <v>1.1514830494000619</v>
      </c>
      <c r="K19" s="167"/>
      <c r="L19" s="190">
        <v>4.4972635808044892E-3</v>
      </c>
      <c r="M19" s="192">
        <f t="shared" si="3"/>
        <v>1.113596915825009</v>
      </c>
    </row>
    <row r="20" spans="1:13">
      <c r="A20" s="189">
        <v>2023</v>
      </c>
      <c r="B20" s="167"/>
      <c r="C20" s="190">
        <v>3.851472137184575E-2</v>
      </c>
      <c r="D20" s="192">
        <f t="shared" si="0"/>
        <v>1.3368806978421988</v>
      </c>
      <c r="E20" s="167"/>
      <c r="F20" s="190">
        <v>1.2706304533489199E-2</v>
      </c>
      <c r="G20" s="192">
        <f t="shared" si="1"/>
        <v>1.0972971139779226</v>
      </c>
      <c r="H20" s="167"/>
      <c r="I20" s="190">
        <v>2.0703467381364415E-2</v>
      </c>
      <c r="J20" s="192">
        <f t="shared" si="2"/>
        <v>1.1753227411535101</v>
      </c>
      <c r="K20" s="167"/>
      <c r="L20" s="190">
        <v>5.0946598863459425E-3</v>
      </c>
      <c r="M20" s="192">
        <f t="shared" si="3"/>
        <v>1.1192703133616213</v>
      </c>
    </row>
    <row r="21" spans="1:13">
      <c r="A21" s="189">
        <v>2024</v>
      </c>
      <c r="B21" s="167"/>
      <c r="C21" s="190">
        <v>3.7954049582127558E-2</v>
      </c>
      <c r="D21" s="192">
        <f t="shared" si="0"/>
        <v>1.387620734133491</v>
      </c>
      <c r="E21" s="167"/>
      <c r="F21" s="190">
        <v>1.2039400395875477E-2</v>
      </c>
      <c r="G21" s="192">
        <f t="shared" si="1"/>
        <v>1.1105079132863414</v>
      </c>
      <c r="H21" s="167"/>
      <c r="I21" s="190">
        <v>2.0328866463367179E-2</v>
      </c>
      <c r="J21" s="192">
        <f t="shared" si="2"/>
        <v>1.1992157202097784</v>
      </c>
      <c r="K21" s="167"/>
      <c r="L21" s="190">
        <v>4.89456781181552E-3</v>
      </c>
      <c r="M21" s="192">
        <f t="shared" si="3"/>
        <v>1.1247486578101218</v>
      </c>
    </row>
    <row r="22" spans="1:13">
      <c r="A22" s="189">
        <v>2025</v>
      </c>
      <c r="B22" s="167"/>
      <c r="C22" s="190">
        <v>3.7974254763895932E-2</v>
      </c>
      <c r="D22" s="192">
        <f t="shared" si="0"/>
        <v>1.4403145974071405</v>
      </c>
      <c r="E22" s="167"/>
      <c r="F22" s="190">
        <v>9.0538711260206295E-3</v>
      </c>
      <c r="G22" s="192">
        <f t="shared" si="1"/>
        <v>1.1205623088176619</v>
      </c>
      <c r="H22" s="167"/>
      <c r="I22" s="190">
        <v>2.039667275845658E-2</v>
      </c>
      <c r="J22" s="192">
        <f t="shared" si="2"/>
        <v>1.2236757308216941</v>
      </c>
      <c r="K22" s="167"/>
      <c r="L22" s="190">
        <v>7.1763601782732778E-3</v>
      </c>
      <c r="M22" s="192">
        <f t="shared" si="3"/>
        <v>1.1328202592885968</v>
      </c>
    </row>
    <row r="23" spans="1:13">
      <c r="A23" s="189">
        <v>2026</v>
      </c>
      <c r="B23" s="167"/>
      <c r="C23" s="190">
        <v>3.8004639547138064E-2</v>
      </c>
      <c r="D23" s="192">
        <f t="shared" si="0"/>
        <v>1.4950532345160801</v>
      </c>
      <c r="E23" s="167"/>
      <c r="F23" s="190">
        <v>6.7716985136088148E-3</v>
      </c>
      <c r="G23" s="192">
        <f t="shared" si="1"/>
        <v>1.1281504189386886</v>
      </c>
      <c r="H23" s="167"/>
      <c r="I23" s="190">
        <v>2.0592479968884358E-2</v>
      </c>
      <c r="J23" s="192">
        <f t="shared" si="2"/>
        <v>1.2488742487970499</v>
      </c>
      <c r="K23" s="167"/>
      <c r="L23" s="190">
        <v>8.667163228634589E-3</v>
      </c>
      <c r="M23" s="192">
        <f t="shared" si="3"/>
        <v>1.1426385973845552</v>
      </c>
    </row>
    <row r="24" spans="1:13">
      <c r="A24" s="189">
        <v>2027</v>
      </c>
      <c r="B24" s="167"/>
      <c r="C24" s="190">
        <v>3.8292040547352135E-2</v>
      </c>
      <c r="D24" s="192">
        <f t="shared" si="0"/>
        <v>1.5523018735926197</v>
      </c>
      <c r="E24" s="167"/>
      <c r="F24" s="190">
        <v>7.8969056875852761E-3</v>
      </c>
      <c r="G24" s="192">
        <f t="shared" si="1"/>
        <v>1.1370593163984573</v>
      </c>
      <c r="H24" s="167"/>
      <c r="I24" s="190">
        <v>2.0670041349929447E-2</v>
      </c>
      <c r="J24" s="192">
        <f t="shared" si="2"/>
        <v>1.2746885311605469</v>
      </c>
      <c r="K24" s="167"/>
      <c r="L24" s="190">
        <v>9.2545225383500185E-3</v>
      </c>
      <c r="M24" s="192">
        <f t="shared" si="3"/>
        <v>1.1532131720372392</v>
      </c>
    </row>
    <row r="25" spans="1:13">
      <c r="A25" s="189">
        <v>2028</v>
      </c>
      <c r="B25" s="167"/>
      <c r="C25" s="190">
        <v>3.8039210273697943E-2</v>
      </c>
      <c r="D25" s="192">
        <f t="shared" si="0"/>
        <v>1.6113502109704647</v>
      </c>
      <c r="E25" s="167"/>
      <c r="F25" s="190">
        <v>6.4020920869627407E-3</v>
      </c>
      <c r="G25" s="192">
        <f t="shared" si="1"/>
        <v>1.1443388748503791</v>
      </c>
      <c r="H25" s="167"/>
      <c r="I25" s="190">
        <v>2.0027594328709597E-2</v>
      </c>
      <c r="J25" s="192">
        <f t="shared" si="2"/>
        <v>1.3002174759580891</v>
      </c>
      <c r="K25" s="167"/>
      <c r="L25" s="190">
        <v>7.9823333335860003E-3</v>
      </c>
      <c r="M25" s="192">
        <f t="shared" si="3"/>
        <v>1.1624185039811226</v>
      </c>
    </row>
    <row r="26" spans="1:13">
      <c r="A26" s="189">
        <v>2029</v>
      </c>
      <c r="B26" s="167"/>
      <c r="C26" s="190">
        <v>3.791030078514579E-2</v>
      </c>
      <c r="D26" s="192">
        <f t="shared" si="0"/>
        <v>1.6724369821385632</v>
      </c>
      <c r="E26" s="167"/>
      <c r="F26" s="190">
        <v>6.3628769110828376E-3</v>
      </c>
      <c r="G26" s="192">
        <f t="shared" si="1"/>
        <v>1.151620162255619</v>
      </c>
      <c r="H26" s="167"/>
      <c r="I26" s="190">
        <v>2.0118459473395411E-2</v>
      </c>
      <c r="J26" s="192">
        <f t="shared" si="2"/>
        <v>1.3263758485547523</v>
      </c>
      <c r="K26" s="167"/>
      <c r="L26" s="190">
        <v>7.8767944434132708E-3</v>
      </c>
      <c r="M26" s="192">
        <f t="shared" si="3"/>
        <v>1.1715746355942018</v>
      </c>
    </row>
    <row r="27" spans="1:13">
      <c r="A27" s="189">
        <v>2030</v>
      </c>
      <c r="B27" s="167"/>
      <c r="C27" s="190">
        <v>3.7907845520473993E-2</v>
      </c>
      <c r="D27" s="192">
        <f t="shared" si="0"/>
        <v>1.7358354649001995</v>
      </c>
      <c r="E27" s="167"/>
      <c r="F27" s="190">
        <v>7.0151028429044082E-3</v>
      </c>
      <c r="G27" s="192">
        <f t="shared" si="1"/>
        <v>1.1596988961298045</v>
      </c>
      <c r="H27" s="167"/>
      <c r="I27" s="190">
        <v>2.0476775607043418E-2</v>
      </c>
      <c r="J27" s="192">
        <f t="shared" si="2"/>
        <v>1.3535357491762099</v>
      </c>
      <c r="K27" s="167"/>
      <c r="L27" s="190">
        <v>7.8747106578631598E-3</v>
      </c>
      <c r="M27" s="192">
        <f t="shared" si="3"/>
        <v>1.1808004468635975</v>
      </c>
    </row>
    <row r="28" spans="1:13">
      <c r="A28" s="189">
        <v>2031</v>
      </c>
      <c r="B28" s="167"/>
      <c r="C28" s="190">
        <v>3.8038208361959924E-2</v>
      </c>
      <c r="D28" s="192">
        <f t="shared" si="0"/>
        <v>1.8018635359961528</v>
      </c>
      <c r="E28" s="167"/>
      <c r="F28" s="190">
        <v>7.3990432781758653E-3</v>
      </c>
      <c r="G28" s="192">
        <f t="shared" si="1"/>
        <v>1.1682795584519217</v>
      </c>
      <c r="H28" s="167"/>
      <c r="I28" s="190">
        <v>2.0875983046444446E-2</v>
      </c>
      <c r="J28" s="192">
        <f t="shared" si="2"/>
        <v>1.381792138528769</v>
      </c>
      <c r="K28" s="167"/>
      <c r="L28" s="190">
        <v>8.1851196179332231E-3</v>
      </c>
      <c r="M28" s="192">
        <f t="shared" si="3"/>
        <v>1.190465439766085</v>
      </c>
    </row>
    <row r="29" spans="1:13">
      <c r="A29" s="189">
        <v>2032</v>
      </c>
      <c r="B29" s="167"/>
      <c r="C29" s="190">
        <v>3.8073119997515281E-2</v>
      </c>
      <c r="D29" s="192">
        <f t="shared" si="0"/>
        <v>1.8704661026212814</v>
      </c>
      <c r="E29" s="167"/>
      <c r="F29" s="190">
        <v>6.9069864920279223E-3</v>
      </c>
      <c r="G29" s="192">
        <f t="shared" si="1"/>
        <v>1.1763488495810615</v>
      </c>
      <c r="H29" s="167"/>
      <c r="I29" s="190">
        <v>2.1004474401971063E-2</v>
      </c>
      <c r="J29" s="192">
        <f t="shared" si="2"/>
        <v>1.4108159561313414</v>
      </c>
      <c r="K29" s="167"/>
      <c r="L29" s="190">
        <v>7.9299611531660208E-3</v>
      </c>
      <c r="M29" s="192">
        <f t="shared" si="3"/>
        <v>1.1999057844576166</v>
      </c>
    </row>
    <row r="30" spans="1:13">
      <c r="A30" s="189">
        <v>2033</v>
      </c>
      <c r="B30" s="167"/>
      <c r="C30" s="190">
        <v>3.8068309789766941E-2</v>
      </c>
      <c r="D30" s="192">
        <f t="shared" si="0"/>
        <v>1.9416715856671263</v>
      </c>
      <c r="E30" s="167"/>
      <c r="F30" s="190">
        <v>7.0409533466886387E-3</v>
      </c>
      <c r="G30" s="192">
        <f t="shared" si="1"/>
        <v>1.1846314669503926</v>
      </c>
      <c r="H30" s="167"/>
      <c r="I30" s="190">
        <v>2.1197675270713034E-2</v>
      </c>
      <c r="J30" s="192">
        <f t="shared" si="2"/>
        <v>1.4407219746361541</v>
      </c>
      <c r="K30" s="167"/>
      <c r="L30" s="190">
        <v>7.948017559070264E-3</v>
      </c>
      <c r="M30" s="192">
        <f t="shared" si="3"/>
        <v>1.2094426567017158</v>
      </c>
    </row>
    <row r="31" spans="1:13">
      <c r="A31" s="189">
        <v>2034</v>
      </c>
      <c r="B31" s="167"/>
      <c r="C31" s="190">
        <v>3.7981737113518266E-2</v>
      </c>
      <c r="D31" s="192">
        <f t="shared" si="0"/>
        <v>2.0154196453947231</v>
      </c>
      <c r="E31" s="167"/>
      <c r="F31" s="190">
        <v>7.3448083380223128E-3</v>
      </c>
      <c r="G31" s="192">
        <f t="shared" si="1"/>
        <v>1.1933323580263333</v>
      </c>
      <c r="H31" s="167"/>
      <c r="I31" s="190">
        <v>2.1256505045025742E-2</v>
      </c>
      <c r="J31" s="192">
        <f t="shared" si="2"/>
        <v>1.4713466885584869</v>
      </c>
      <c r="K31" s="167"/>
      <c r="L31" s="190">
        <v>7.8469360141220079E-3</v>
      </c>
      <c r="M31" s="192">
        <f t="shared" si="3"/>
        <v>1.2189330758416039</v>
      </c>
    </row>
    <row r="32" spans="1:13">
      <c r="A32" s="189">
        <v>2035</v>
      </c>
      <c r="B32" s="167"/>
      <c r="C32" s="190">
        <v>3.7980390142634546E-2</v>
      </c>
      <c r="D32" s="192">
        <f t="shared" si="0"/>
        <v>2.091966069827945</v>
      </c>
      <c r="E32" s="167"/>
      <c r="F32" s="190">
        <v>6.8791148583933204E-3</v>
      </c>
      <c r="G32" s="192">
        <f t="shared" si="1"/>
        <v>1.2015414283814339</v>
      </c>
      <c r="H32" s="167"/>
      <c r="I32" s="190">
        <v>2.1196976990021765E-2</v>
      </c>
      <c r="J32" s="192">
        <f t="shared" si="2"/>
        <v>1.502534790460206</v>
      </c>
      <c r="K32" s="167"/>
      <c r="L32" s="190">
        <v>7.4636506230876254E-3</v>
      </c>
      <c r="M32" s="192">
        <f t="shared" si="3"/>
        <v>1.2280307664526113</v>
      </c>
    </row>
    <row r="33" spans="1:13">
      <c r="A33" s="189">
        <v>2036</v>
      </c>
      <c r="B33" s="167"/>
      <c r="C33" s="190">
        <v>3.8003892207871814E-2</v>
      </c>
      <c r="D33" s="192">
        <f t="shared" si="0"/>
        <v>2.1714689228482116</v>
      </c>
      <c r="E33" s="167"/>
      <c r="F33" s="190">
        <v>7.5756083144518094E-3</v>
      </c>
      <c r="G33" s="192">
        <f t="shared" si="1"/>
        <v>1.2106438356164386</v>
      </c>
      <c r="H33" s="167"/>
      <c r="I33" s="190">
        <v>2.1301696588060803E-2</v>
      </c>
      <c r="J33" s="192">
        <f t="shared" si="2"/>
        <v>1.5345413306795948</v>
      </c>
      <c r="K33" s="167"/>
      <c r="L33" s="190">
        <v>7.5786818279621748E-3</v>
      </c>
      <c r="M33" s="192">
        <f t="shared" si="3"/>
        <v>1.2373376209065041</v>
      </c>
    </row>
    <row r="34" spans="1:13">
      <c r="A34" s="189">
        <v>2037</v>
      </c>
      <c r="B34" s="167"/>
      <c r="C34" s="190">
        <v>3.8090650948863436E-2</v>
      </c>
      <c r="D34" s="192">
        <f t="shared" si="0"/>
        <v>2.2541815876347271</v>
      </c>
      <c r="E34" s="167"/>
      <c r="F34" s="190">
        <v>7.0932877914575698E-3</v>
      </c>
      <c r="G34" s="192">
        <f t="shared" si="1"/>
        <v>1.21923128075542</v>
      </c>
      <c r="H34" s="167"/>
      <c r="I34" s="190">
        <v>2.1262674709465745E-2</v>
      </c>
      <c r="J34" s="192">
        <f t="shared" si="2"/>
        <v>1.5671697838220657</v>
      </c>
      <c r="K34" s="167"/>
      <c r="L34" s="190">
        <v>7.5806155685098631E-3</v>
      </c>
      <c r="M34" s="192">
        <f t="shared" si="3"/>
        <v>1.246717401739051</v>
      </c>
    </row>
    <row r="35" spans="1:13">
      <c r="A35" s="189">
        <v>2038</v>
      </c>
      <c r="B35" s="167"/>
      <c r="C35" s="190">
        <v>3.8124007598983933E-2</v>
      </c>
      <c r="D35" s="192">
        <f t="shared" si="0"/>
        <v>2.340120023611203</v>
      </c>
      <c r="E35" s="167"/>
      <c r="F35" s="190">
        <v>7.9699805833712833E-3</v>
      </c>
      <c r="G35" s="192">
        <f t="shared" si="1"/>
        <v>1.2289485303896797</v>
      </c>
      <c r="H35" s="167"/>
      <c r="I35" s="190">
        <v>2.1408922568878941E-2</v>
      </c>
      <c r="J35" s="192">
        <f t="shared" si="2"/>
        <v>1.600721200376199</v>
      </c>
      <c r="K35" s="167"/>
      <c r="L35" s="190">
        <v>7.8306794361429066E-3</v>
      </c>
      <c r="M35" s="192">
        <f t="shared" si="3"/>
        <v>1.2564800460595305</v>
      </c>
    </row>
    <row r="36" spans="1:13">
      <c r="A36" s="189">
        <v>2039</v>
      </c>
      <c r="B36" s="167"/>
      <c r="C36" s="190">
        <v>3.8182097942786264E-2</v>
      </c>
      <c r="D36" s="192">
        <f t="shared" si="0"/>
        <v>2.4294707155506012</v>
      </c>
      <c r="E36" s="167"/>
      <c r="F36" s="190">
        <v>7.8563154404367452E-3</v>
      </c>
      <c r="G36" s="192">
        <f t="shared" si="1"/>
        <v>1.2386035377044822</v>
      </c>
      <c r="H36" s="167"/>
      <c r="I36" s="190">
        <v>2.1489832956122834E-2</v>
      </c>
      <c r="J36" s="192">
        <f t="shared" si="2"/>
        <v>1.6351204315816079</v>
      </c>
      <c r="K36" s="167"/>
      <c r="L36" s="190">
        <v>7.912154138923766E-3</v>
      </c>
      <c r="M36" s="192">
        <f t="shared" si="3"/>
        <v>1.2664215098564355</v>
      </c>
    </row>
    <row r="37" spans="1:13">
      <c r="A37" s="189">
        <v>2040</v>
      </c>
      <c r="B37" s="167"/>
      <c r="C37" s="190">
        <v>3.8190738080107423E-2</v>
      </c>
      <c r="D37" s="192">
        <f t="shared" si="0"/>
        <v>2.5222539953214853</v>
      </c>
      <c r="E37" s="167"/>
      <c r="F37" s="190">
        <v>8.2288742905125556E-3</v>
      </c>
      <c r="G37" s="192">
        <f t="shared" si="1"/>
        <v>1.2487958505120365</v>
      </c>
      <c r="H37" s="167"/>
      <c r="I37" s="190">
        <v>2.1504569176055144E-2</v>
      </c>
      <c r="J37" s="192">
        <f t="shared" si="2"/>
        <v>1.6702829920137356</v>
      </c>
      <c r="K37" s="167"/>
      <c r="L37" s="190">
        <v>7.8812021771712537E-3</v>
      </c>
      <c r="M37" s="192">
        <f t="shared" si="3"/>
        <v>1.2764024338171325</v>
      </c>
    </row>
    <row r="38" spans="1:13">
      <c r="A38" s="189">
        <v>2041</v>
      </c>
      <c r="B38" s="167"/>
      <c r="C38" s="190">
        <v>3.8285550143615676E-2</v>
      </c>
      <c r="D38" s="192">
        <f t="shared" si="0"/>
        <v>2.618819877134301</v>
      </c>
      <c r="E38" s="167"/>
      <c r="F38" s="190">
        <v>8.5712040091605601E-3</v>
      </c>
      <c r="G38" s="192">
        <f t="shared" si="1"/>
        <v>1.2594995345125684</v>
      </c>
      <c r="H38" s="167"/>
      <c r="I38" s="190">
        <v>2.1697965164750421E-2</v>
      </c>
      <c r="J38" s="192">
        <f t="shared" si="2"/>
        <v>1.7065247341897247</v>
      </c>
      <c r="K38" s="167"/>
      <c r="L38" s="190">
        <v>8.0747222920096728E-3</v>
      </c>
      <c r="M38" s="192">
        <f t="shared" si="3"/>
        <v>1.2867090290030512</v>
      </c>
    </row>
    <row r="39" spans="1:13">
      <c r="A39" s="189">
        <v>2042</v>
      </c>
      <c r="B39" s="167"/>
      <c r="C39" s="190">
        <v>3.8254344528942275E-2</v>
      </c>
      <c r="D39" s="192">
        <f t="shared" si="0"/>
        <v>2.7190011149734388</v>
      </c>
      <c r="E39" s="167"/>
      <c r="F39" s="190">
        <v>8.7055395057560325E-3</v>
      </c>
      <c r="G39" s="192">
        <f t="shared" si="1"/>
        <v>1.2704641574677489</v>
      </c>
      <c r="H39" s="167"/>
      <c r="I39" s="190">
        <v>2.1841257725506713E-2</v>
      </c>
      <c r="J39" s="192">
        <f t="shared" si="2"/>
        <v>1.7437973807241143</v>
      </c>
      <c r="K39" s="167"/>
      <c r="L39" s="190">
        <v>8.0715725368165625E-3</v>
      </c>
      <c r="M39" s="192">
        <f t="shared" si="3"/>
        <v>1.2970947942644262</v>
      </c>
    </row>
    <row r="40" spans="1:13">
      <c r="A40" s="189">
        <v>2043</v>
      </c>
      <c r="B40" s="167"/>
      <c r="C40" s="190">
        <v>3.8209829506078874E-2</v>
      </c>
      <c r="D40" s="192">
        <f t="shared" si="0"/>
        <v>2.8228936840034122</v>
      </c>
      <c r="E40" s="167"/>
      <c r="F40" s="190">
        <v>8.9832946353982646E-3</v>
      </c>
      <c r="G40" s="192">
        <f t="shared" si="1"/>
        <v>1.2818771113179948</v>
      </c>
      <c r="H40" s="167"/>
      <c r="I40" s="190">
        <v>2.1932818980557656E-2</v>
      </c>
      <c r="J40" s="192">
        <f t="shared" si="2"/>
        <v>1.7820437730143068</v>
      </c>
      <c r="K40" s="167"/>
      <c r="L40" s="190">
        <v>8.1864912256719435E-3</v>
      </c>
      <c r="M40" s="192">
        <f t="shared" si="3"/>
        <v>1.3077134494165368</v>
      </c>
    </row>
    <row r="41" spans="1:13">
      <c r="A41" s="189">
        <v>2044</v>
      </c>
      <c r="B41" s="167"/>
      <c r="C41" s="190">
        <v>3.8194116911775877E-2</v>
      </c>
      <c r="D41" s="192">
        <f t="shared" si="0"/>
        <v>2.9307116153997521</v>
      </c>
      <c r="E41" s="167"/>
      <c r="F41" s="190">
        <v>9.090065875846598E-3</v>
      </c>
      <c r="G41" s="192">
        <f t="shared" si="1"/>
        <v>1.2935294587046153</v>
      </c>
      <c r="H41" s="167"/>
      <c r="I41" s="190">
        <v>2.2026789186235574E-2</v>
      </c>
      <c r="J41" s="192">
        <f t="shared" si="2"/>
        <v>1.8212964755231369</v>
      </c>
      <c r="K41" s="167"/>
      <c r="L41" s="190">
        <v>8.1457991577564837E-3</v>
      </c>
      <c r="M41" s="192">
        <f t="shared" si="3"/>
        <v>1.3183658205313808</v>
      </c>
    </row>
    <row r="42" spans="1:13" s="193" customFormat="1">
      <c r="A42" s="189">
        <v>2045</v>
      </c>
      <c r="B42" s="167"/>
      <c r="C42" s="190">
        <v>3.8187015828286208E-2</v>
      </c>
      <c r="D42" s="192">
        <f t="shared" si="0"/>
        <v>3.0426267462451646</v>
      </c>
      <c r="E42" s="167"/>
      <c r="F42" s="190">
        <v>8.9878232145266246E-3</v>
      </c>
      <c r="G42" s="192">
        <f t="shared" si="1"/>
        <v>1.3051554728022348</v>
      </c>
      <c r="H42" s="167"/>
      <c r="I42" s="190">
        <v>2.2019317463300547E-2</v>
      </c>
      <c r="J42" s="192">
        <f t="shared" si="2"/>
        <v>1.8614001808124712</v>
      </c>
      <c r="K42" s="167"/>
      <c r="L42" s="190">
        <v>7.9343985654278804E-3</v>
      </c>
      <c r="M42" s="192">
        <f t="shared" si="3"/>
        <v>1.3288262604065142</v>
      </c>
    </row>
    <row r="43" spans="1:13">
      <c r="A43" s="189">
        <v>2046</v>
      </c>
      <c r="B43" s="167"/>
      <c r="C43" s="190">
        <f>C42</f>
        <v>3.8187015828286208E-2</v>
      </c>
      <c r="D43" s="192">
        <f t="shared" si="0"/>
        <v>3.1588155819635957</v>
      </c>
      <c r="E43" s="167"/>
      <c r="F43" s="190">
        <f>F42</f>
        <v>8.9878232145266246E-3</v>
      </c>
      <c r="G43" s="192">
        <f t="shared" si="1"/>
        <v>1.3168859794592531</v>
      </c>
      <c r="H43" s="167"/>
      <c r="I43" s="190">
        <f>I42</f>
        <v>2.2019317463300547E-2</v>
      </c>
      <c r="J43" s="192">
        <f t="shared" si="2"/>
        <v>1.9023869423200259</v>
      </c>
      <c r="K43" s="167"/>
      <c r="L43" s="190">
        <f>L42</f>
        <v>7.9343985654278804E-3</v>
      </c>
      <c r="M43" s="192">
        <f t="shared" si="3"/>
        <v>1.3393696975807865</v>
      </c>
    </row>
    <row r="44" spans="1:13">
      <c r="A44" s="189">
        <v>2047</v>
      </c>
      <c r="B44" s="167"/>
      <c r="C44" s="190">
        <f t="shared" ref="C44:C72" si="4">C43</f>
        <v>3.8187015828286208E-2</v>
      </c>
      <c r="D44" s="192">
        <f t="shared" si="0"/>
        <v>3.2794413225906767</v>
      </c>
      <c r="E44" s="167"/>
      <c r="F44" s="190">
        <f t="shared" ref="F44:F72" si="5">F43</f>
        <v>8.9878232145266246E-3</v>
      </c>
      <c r="G44" s="192">
        <f t="shared" si="1"/>
        <v>1.3287219178363217</v>
      </c>
      <c r="H44" s="167"/>
      <c r="I44" s="190">
        <f t="shared" ref="I44:I72" si="6">I43</f>
        <v>2.2019317463300547E-2</v>
      </c>
      <c r="J44" s="192">
        <f t="shared" si="2"/>
        <v>1.9442762043410082</v>
      </c>
      <c r="K44" s="167"/>
      <c r="L44" s="190">
        <f t="shared" ref="L44:L72" si="7">L43</f>
        <v>7.9343985654278804E-3</v>
      </c>
      <c r="M44" s="192">
        <f t="shared" si="3"/>
        <v>1.3499967905878492</v>
      </c>
    </row>
    <row r="45" spans="1:13">
      <c r="A45" s="189">
        <v>2048</v>
      </c>
      <c r="B45" s="167"/>
      <c r="C45" s="190">
        <f t="shared" si="4"/>
        <v>3.8187015828286208E-2</v>
      </c>
      <c r="D45" s="192">
        <f t="shared" si="0"/>
        <v>3.4046734002843828</v>
      </c>
      <c r="E45" s="167"/>
      <c r="F45" s="190">
        <f t="shared" si="5"/>
        <v>8.9878232145266246E-3</v>
      </c>
      <c r="G45" s="192">
        <f t="shared" si="1"/>
        <v>1.3406642355351013</v>
      </c>
      <c r="H45" s="167"/>
      <c r="I45" s="190">
        <f t="shared" si="6"/>
        <v>2.2019317463300547E-2</v>
      </c>
      <c r="J45" s="192">
        <f t="shared" si="2"/>
        <v>1.9870878393207339</v>
      </c>
      <c r="K45" s="167"/>
      <c r="L45" s="190">
        <f t="shared" si="7"/>
        <v>7.9343985654278804E-3</v>
      </c>
      <c r="M45" s="192">
        <f t="shared" si="3"/>
        <v>1.3607082031864217</v>
      </c>
    </row>
    <row r="46" spans="1:13">
      <c r="A46" s="189">
        <v>2049</v>
      </c>
      <c r="B46" s="167"/>
      <c r="C46" s="190">
        <f t="shared" si="4"/>
        <v>3.8187015828286208E-2</v>
      </c>
      <c r="D46" s="192">
        <f t="shared" si="0"/>
        <v>3.5346877173111877</v>
      </c>
      <c r="E46" s="167"/>
      <c r="F46" s="190">
        <f t="shared" si="5"/>
        <v>8.9878232145266246E-3</v>
      </c>
      <c r="G46" s="192">
        <f t="shared" si="1"/>
        <v>1.3527138886741292</v>
      </c>
      <c r="H46" s="167"/>
      <c r="I46" s="190">
        <f t="shared" si="6"/>
        <v>2.2019317463300547E-2</v>
      </c>
      <c r="J46" s="192">
        <f t="shared" si="2"/>
        <v>2.0308421572822009</v>
      </c>
      <c r="K46" s="167"/>
      <c r="L46" s="190">
        <f t="shared" si="7"/>
        <v>7.9343985654278804E-3</v>
      </c>
      <c r="M46" s="192">
        <f t="shared" si="3"/>
        <v>1.37150460440175</v>
      </c>
    </row>
    <row r="47" spans="1:13">
      <c r="A47" s="189">
        <v>2050</v>
      </c>
      <c r="B47" s="167"/>
      <c r="C47" s="190">
        <f t="shared" si="4"/>
        <v>3.8187015828286208E-2</v>
      </c>
      <c r="D47" s="192">
        <f t="shared" si="0"/>
        <v>3.669666893120199</v>
      </c>
      <c r="E47" s="167"/>
      <c r="F47" s="190">
        <f t="shared" si="5"/>
        <v>8.9878232145266246E-3</v>
      </c>
      <c r="G47" s="192">
        <f t="shared" si="1"/>
        <v>1.3648718419653671</v>
      </c>
      <c r="H47" s="167"/>
      <c r="I47" s="190">
        <f t="shared" si="6"/>
        <v>2.2019317463300547E-2</v>
      </c>
      <c r="J47" s="192">
        <f t="shared" si="2"/>
        <v>2.0755599154612518</v>
      </c>
      <c r="K47" s="167"/>
      <c r="L47" s="190">
        <f t="shared" si="7"/>
        <v>7.9343985654278804E-3</v>
      </c>
      <c r="M47" s="192">
        <f t="shared" si="3"/>
        <v>1.3823866685673931</v>
      </c>
    </row>
    <row r="48" spans="1:13">
      <c r="A48" s="189">
        <v>2051</v>
      </c>
      <c r="B48" s="167"/>
      <c r="C48" s="190">
        <f t="shared" si="4"/>
        <v>3.8187015828286208E-2</v>
      </c>
      <c r="D48" s="192">
        <f t="shared" si="0"/>
        <v>3.8098005208523178</v>
      </c>
      <c r="E48" s="167"/>
      <c r="F48" s="190">
        <f t="shared" si="5"/>
        <v>8.9878232145266246E-3</v>
      </c>
      <c r="G48" s="192">
        <f t="shared" si="1"/>
        <v>1.3771390687914371</v>
      </c>
      <c r="H48" s="167"/>
      <c r="I48" s="190">
        <f t="shared" si="6"/>
        <v>2.2019317463300547E-2</v>
      </c>
      <c r="J48" s="192">
        <f t="shared" si="2"/>
        <v>2.1212623281538945</v>
      </c>
      <c r="K48" s="167"/>
      <c r="L48" s="190">
        <f t="shared" si="7"/>
        <v>7.9343985654278804E-3</v>
      </c>
      <c r="M48" s="192">
        <f t="shared" si="3"/>
        <v>1.3933550753673409</v>
      </c>
    </row>
    <row r="49" spans="1:13" s="194" customFormat="1">
      <c r="A49" s="189">
        <v>2052</v>
      </c>
      <c r="B49" s="167"/>
      <c r="C49" s="190">
        <f t="shared" si="4"/>
        <v>3.8187015828286208E-2</v>
      </c>
      <c r="D49" s="192">
        <f t="shared" si="0"/>
        <v>3.9552854336447183</v>
      </c>
      <c r="E49" s="167"/>
      <c r="F49" s="190">
        <f t="shared" si="5"/>
        <v>8.9878232145266246E-3</v>
      </c>
      <c r="G49" s="192">
        <f t="shared" si="1"/>
        <v>1.3895165512835523</v>
      </c>
      <c r="H49" s="167"/>
      <c r="I49" s="190">
        <f t="shared" si="6"/>
        <v>2.2019317463300547E-2</v>
      </c>
      <c r="J49" s="192">
        <f t="shared" si="2"/>
        <v>2.167971076780455</v>
      </c>
      <c r="K49" s="167"/>
      <c r="L49" s="190">
        <f t="shared" si="7"/>
        <v>7.9343985654278804E-3</v>
      </c>
      <c r="M49" s="192">
        <f t="shared" si="3"/>
        <v>1.4044105098784672</v>
      </c>
    </row>
    <row r="50" spans="1:13">
      <c r="A50" s="189">
        <v>2053</v>
      </c>
      <c r="B50" s="167"/>
      <c r="C50" s="190">
        <f t="shared" si="4"/>
        <v>3.8187015828286208E-2</v>
      </c>
      <c r="D50" s="192">
        <f t="shared" si="0"/>
        <v>4.1063259811046988</v>
      </c>
      <c r="E50" s="167"/>
      <c r="F50" s="190">
        <f t="shared" si="5"/>
        <v>8.9878232145266246E-3</v>
      </c>
      <c r="G50" s="192">
        <f t="shared" si="1"/>
        <v>1.4020052804001477</v>
      </c>
      <c r="H50" s="167"/>
      <c r="I50" s="190">
        <f t="shared" si="6"/>
        <v>2.2019317463300547E-2</v>
      </c>
      <c r="J50" s="192">
        <f t="shared" si="2"/>
        <v>2.2157083201713372</v>
      </c>
      <c r="K50" s="167"/>
      <c r="L50" s="190">
        <f t="shared" si="7"/>
        <v>7.9343985654278804E-3</v>
      </c>
      <c r="M50" s="192">
        <f t="shared" si="3"/>
        <v>1.4155536626133187</v>
      </c>
    </row>
    <row r="51" spans="1:13">
      <c r="A51" s="189">
        <v>2054</v>
      </c>
      <c r="B51" s="167"/>
      <c r="C51" s="190">
        <f t="shared" si="4"/>
        <v>3.8187015828286208E-2</v>
      </c>
      <c r="D51" s="192">
        <f t="shared" si="0"/>
        <v>4.2631343163412465</v>
      </c>
      <c r="E51" s="167"/>
      <c r="F51" s="190">
        <f t="shared" si="5"/>
        <v>8.9878232145266246E-3</v>
      </c>
      <c r="G51" s="192">
        <f t="shared" si="1"/>
        <v>1.4146062560062171</v>
      </c>
      <c r="H51" s="167"/>
      <c r="I51" s="190">
        <f t="shared" si="6"/>
        <v>2.2019317463300547E-2</v>
      </c>
      <c r="J51" s="192">
        <f t="shared" si="2"/>
        <v>2.2644967050792664</v>
      </c>
      <c r="K51" s="167"/>
      <c r="L51" s="190">
        <f t="shared" si="7"/>
        <v>7.9343985654278804E-3</v>
      </c>
      <c r="M51" s="192">
        <f t="shared" si="3"/>
        <v>1.4267852295632439</v>
      </c>
    </row>
    <row r="52" spans="1:13">
      <c r="A52" s="189">
        <v>2055</v>
      </c>
      <c r="B52" s="167"/>
      <c r="C52" s="190">
        <f t="shared" si="4"/>
        <v>3.8187015828286208E-2</v>
      </c>
      <c r="D52" s="192">
        <f t="shared" si="0"/>
        <v>4.4259306939574801</v>
      </c>
      <c r="E52" s="167"/>
      <c r="F52" s="190">
        <f t="shared" si="5"/>
        <v>8.9878232145266246E-3</v>
      </c>
      <c r="G52" s="192">
        <f t="shared" si="1"/>
        <v>1.4273204869533644</v>
      </c>
      <c r="H52" s="167"/>
      <c r="I52" s="190">
        <f t="shared" si="6"/>
        <v>2.2019317463300547E-2</v>
      </c>
      <c r="J52" s="192">
        <f t="shared" si="2"/>
        <v>2.3143593769230049</v>
      </c>
      <c r="K52" s="167"/>
      <c r="L52" s="190">
        <f t="shared" si="7"/>
        <v>7.9343985654278804E-3</v>
      </c>
      <c r="M52" s="192">
        <f t="shared" si="3"/>
        <v>1.4381059122418642</v>
      </c>
    </row>
    <row r="53" spans="1:13">
      <c r="A53" s="189">
        <v>2056</v>
      </c>
      <c r="B53" s="167"/>
      <c r="C53" s="190">
        <f t="shared" si="4"/>
        <v>3.8187015828286208E-2</v>
      </c>
      <c r="D53" s="192">
        <f t="shared" si="0"/>
        <v>4.5949437794225325</v>
      </c>
      <c r="E53" s="167"/>
      <c r="F53" s="190">
        <f t="shared" si="5"/>
        <v>8.9878232145266246E-3</v>
      </c>
      <c r="G53" s="192">
        <f t="shared" si="1"/>
        <v>1.4401489911605734</v>
      </c>
      <c r="H53" s="167"/>
      <c r="I53" s="190">
        <f t="shared" si="6"/>
        <v>2.2019317463300547E-2</v>
      </c>
      <c r="J53" s="192">
        <f t="shared" si="2"/>
        <v>2.365319990767639</v>
      </c>
      <c r="K53" s="167"/>
      <c r="L53" s="190">
        <f t="shared" si="7"/>
        <v>7.9343985654278804E-3</v>
      </c>
      <c r="M53" s="192">
        <f t="shared" si="3"/>
        <v>1.4495164177288895</v>
      </c>
    </row>
    <row r="54" spans="1:13">
      <c r="A54" s="189">
        <v>2057</v>
      </c>
      <c r="B54" s="167"/>
      <c r="C54" s="190">
        <f t="shared" si="4"/>
        <v>3.8187015828286208E-2</v>
      </c>
      <c r="D54" s="192">
        <f t="shared" si="0"/>
        <v>4.7704109702574264</v>
      </c>
      <c r="E54" s="167"/>
      <c r="F54" s="190">
        <f t="shared" si="5"/>
        <v>8.9878232145266246E-3</v>
      </c>
      <c r="G54" s="192">
        <f t="shared" si="1"/>
        <v>1.4530927956957034</v>
      </c>
      <c r="H54" s="167"/>
      <c r="I54" s="190">
        <f t="shared" si="6"/>
        <v>2.2019317463300547E-2</v>
      </c>
      <c r="J54" s="192">
        <f t="shared" si="2"/>
        <v>2.4174027225466426</v>
      </c>
      <c r="K54" s="167"/>
      <c r="L54" s="190">
        <f t="shared" si="7"/>
        <v>7.9343985654278804E-3</v>
      </c>
      <c r="M54" s="192">
        <f t="shared" si="3"/>
        <v>1.4610174587142817</v>
      </c>
    </row>
    <row r="55" spans="1:13">
      <c r="A55" s="189">
        <v>2058</v>
      </c>
      <c r="B55" s="167"/>
      <c r="C55" s="190">
        <f t="shared" si="4"/>
        <v>3.8187015828286208E-2</v>
      </c>
      <c r="D55" s="192">
        <f t="shared" si="0"/>
        <v>4.9525787294860768</v>
      </c>
      <c r="E55" s="167"/>
      <c r="F55" s="190">
        <f t="shared" si="5"/>
        <v>8.9878232145266246E-3</v>
      </c>
      <c r="G55" s="192">
        <f t="shared" si="1"/>
        <v>1.4661529368577186</v>
      </c>
      <c r="H55" s="167"/>
      <c r="I55" s="190">
        <f t="shared" si="6"/>
        <v>2.2019317463300547E-2</v>
      </c>
      <c r="J55" s="192">
        <f t="shared" si="2"/>
        <v>2.4706322805310443</v>
      </c>
      <c r="K55" s="167"/>
      <c r="L55" s="190">
        <f t="shared" si="7"/>
        <v>7.9343985654278804E-3</v>
      </c>
      <c r="M55" s="192">
        <f t="shared" si="3"/>
        <v>1.4726097535427694</v>
      </c>
    </row>
    <row r="56" spans="1:13">
      <c r="A56" s="189">
        <v>2059</v>
      </c>
      <c r="C56" s="190">
        <f t="shared" si="4"/>
        <v>3.8187015828286208E-2</v>
      </c>
      <c r="D56" s="192">
        <f t="shared" si="0"/>
        <v>5.1417029318197951</v>
      </c>
      <c r="F56" s="190">
        <f t="shared" si="5"/>
        <v>8.9878232145266246E-3</v>
      </c>
      <c r="G56" s="192">
        <f t="shared" si="1"/>
        <v>1.4793304602596549</v>
      </c>
      <c r="I56" s="190">
        <f t="shared" si="6"/>
        <v>2.2019317463300547E-2</v>
      </c>
      <c r="J56" s="192">
        <f t="shared" si="2"/>
        <v>2.5250339170511356</v>
      </c>
      <c r="L56" s="190">
        <f t="shared" si="7"/>
        <v>7.9343985654278804E-3</v>
      </c>
      <c r="M56" s="192">
        <f t="shared" si="3"/>
        <v>1.4842940262587141</v>
      </c>
    </row>
    <row r="57" spans="1:13">
      <c r="A57" s="189">
        <v>2060</v>
      </c>
      <c r="C57" s="190">
        <f t="shared" si="4"/>
        <v>3.8187015828286208E-2</v>
      </c>
      <c r="D57" s="192">
        <f t="shared" si="0"/>
        <v>5.3380492230615433</v>
      </c>
      <c r="F57" s="190">
        <f t="shared" si="5"/>
        <v>8.9878232145266246E-3</v>
      </c>
      <c r="G57" s="192">
        <f t="shared" si="1"/>
        <v>1.492626420912333</v>
      </c>
      <c r="I57" s="190">
        <f t="shared" si="6"/>
        <v>2.2019317463300547E-2</v>
      </c>
      <c r="J57" s="192">
        <f t="shared" si="2"/>
        <v>2.5806334404762858</v>
      </c>
      <c r="L57" s="190">
        <f t="shared" si="7"/>
        <v>7.9343985654278804E-3</v>
      </c>
      <c r="M57" s="192">
        <f t="shared" si="3"/>
        <v>1.4960710066513343</v>
      </c>
    </row>
    <row r="58" spans="1:13">
      <c r="A58" s="189">
        <v>2061</v>
      </c>
      <c r="B58" s="196"/>
      <c r="C58" s="190">
        <f t="shared" si="4"/>
        <v>3.8187015828286208E-2</v>
      </c>
      <c r="D58" s="192">
        <f t="shared" si="0"/>
        <v>5.5418933932347656</v>
      </c>
      <c r="E58" s="196"/>
      <c r="F58" s="190">
        <f t="shared" si="5"/>
        <v>8.9878232145266246E-3</v>
      </c>
      <c r="G58" s="192">
        <f t="shared" si="1"/>
        <v>1.5060418833088247</v>
      </c>
      <c r="H58" s="196"/>
      <c r="I58" s="190">
        <f t="shared" si="6"/>
        <v>2.2019317463300547E-2</v>
      </c>
      <c r="J58" s="192">
        <f t="shared" si="2"/>
        <v>2.6374572274585426</v>
      </c>
      <c r="K58" s="196"/>
      <c r="L58" s="190">
        <f t="shared" si="7"/>
        <v>7.9343985654278804E-3</v>
      </c>
      <c r="M58" s="192">
        <f t="shared" si="3"/>
        <v>1.5079414303002869</v>
      </c>
    </row>
    <row r="59" spans="1:13">
      <c r="A59" s="189">
        <v>2062</v>
      </c>
      <c r="C59" s="190">
        <f t="shared" si="4"/>
        <v>3.8187015828286208E-2</v>
      </c>
      <c r="D59" s="192">
        <f t="shared" si="0"/>
        <v>5.7535217639608964</v>
      </c>
      <c r="F59" s="190">
        <f t="shared" si="5"/>
        <v>8.9878232145266246E-3</v>
      </c>
      <c r="G59" s="192">
        <f t="shared" si="1"/>
        <v>1.5195779215096772</v>
      </c>
      <c r="I59" s="190">
        <f t="shared" si="6"/>
        <v>2.2019317463300547E-2</v>
      </c>
      <c r="J59" s="192">
        <f t="shared" si="2"/>
        <v>2.6955322354458287</v>
      </c>
      <c r="L59" s="190">
        <f t="shared" si="7"/>
        <v>7.9343985654278804E-3</v>
      </c>
      <c r="M59" s="192">
        <f t="shared" si="3"/>
        <v>1.5199060386216108</v>
      </c>
    </row>
    <row r="60" spans="1:13">
      <c r="A60" s="189">
        <v>2063</v>
      </c>
      <c r="C60" s="190">
        <f t="shared" si="4"/>
        <v>3.8187015828286208E-2</v>
      </c>
      <c r="D60" s="192">
        <f t="shared" si="0"/>
        <v>5.97323159062966</v>
      </c>
      <c r="F60" s="190">
        <f t="shared" si="5"/>
        <v>8.9878232145266246E-3</v>
      </c>
      <c r="G60" s="192">
        <f t="shared" si="1"/>
        <v>1.5332356192289041</v>
      </c>
      <c r="I60" s="190">
        <f t="shared" si="6"/>
        <v>2.2019317463300547E-2</v>
      </c>
      <c r="J60" s="192">
        <f t="shared" si="2"/>
        <v>2.7548860154706705</v>
      </c>
      <c r="L60" s="190">
        <f t="shared" si="7"/>
        <v>7.9343985654278804E-3</v>
      </c>
      <c r="M60" s="192">
        <f t="shared" si="3"/>
        <v>1.5319655789140352</v>
      </c>
    </row>
    <row r="61" spans="1:13">
      <c r="A61" s="189">
        <v>2064</v>
      </c>
      <c r="C61" s="190">
        <f t="shared" si="4"/>
        <v>3.8187015828286208E-2</v>
      </c>
      <c r="D61" s="192">
        <f t="shared" si="0"/>
        <v>6.2013314799270542</v>
      </c>
      <c r="F61" s="190">
        <f t="shared" si="5"/>
        <v>8.9878232145266246E-3</v>
      </c>
      <c r="G61" s="192">
        <f t="shared" si="1"/>
        <v>1.5470160699207487</v>
      </c>
      <c r="I61" s="190">
        <f t="shared" si="6"/>
        <v>2.2019317463300547E-2</v>
      </c>
      <c r="J61" s="192">
        <f t="shared" si="2"/>
        <v>2.8155467252205262</v>
      </c>
      <c r="L61" s="190">
        <f t="shared" si="7"/>
        <v>7.9343985654278804E-3</v>
      </c>
      <c r="M61" s="192">
        <f t="shared" si="3"/>
        <v>1.5441208044056556</v>
      </c>
    </row>
    <row r="62" spans="1:13">
      <c r="A62" s="189">
        <v>2065</v>
      </c>
      <c r="C62" s="190">
        <f t="shared" si="4"/>
        <v>3.8187015828286208E-2</v>
      </c>
      <c r="D62" s="192">
        <f t="shared" si="0"/>
        <v>6.4381418233074781</v>
      </c>
      <c r="F62" s="190">
        <f t="shared" si="5"/>
        <v>8.9878232145266246E-3</v>
      </c>
      <c r="G62" s="192">
        <f t="shared" si="1"/>
        <v>1.5609203768672282</v>
      </c>
      <c r="I62" s="190">
        <f t="shared" si="6"/>
        <v>2.2019317463300547E-2</v>
      </c>
      <c r="J62" s="192">
        <f t="shared" si="2"/>
        <v>2.877543142395913</v>
      </c>
      <c r="L62" s="190">
        <f t="shared" si="7"/>
        <v>7.9343985654278804E-3</v>
      </c>
      <c r="M62" s="192">
        <f t="shared" si="3"/>
        <v>1.5563724743009792</v>
      </c>
    </row>
    <row r="63" spans="1:13">
      <c r="A63" s="189">
        <v>2066</v>
      </c>
      <c r="C63" s="190">
        <f t="shared" si="4"/>
        <v>3.8187015828286208E-2</v>
      </c>
      <c r="D63" s="192">
        <f t="shared" si="0"/>
        <v>6.6839952470188724</v>
      </c>
      <c r="F63" s="190">
        <f t="shared" si="5"/>
        <v>8.9878232145266246E-3</v>
      </c>
      <c r="G63" s="192">
        <f t="shared" si="1"/>
        <v>1.5749496532664631</v>
      </c>
      <c r="I63" s="190">
        <f t="shared" si="6"/>
        <v>2.2019317463300547E-2</v>
      </c>
      <c r="J63" s="192">
        <f t="shared" si="2"/>
        <v>2.940904678362672</v>
      </c>
      <c r="L63" s="190">
        <f t="shared" si="7"/>
        <v>7.9343985654278804E-3</v>
      </c>
      <c r="M63" s="192">
        <f t="shared" si="3"/>
        <v>1.5687213538283444</v>
      </c>
    </row>
    <row r="64" spans="1:13">
      <c r="A64" s="189">
        <v>2067</v>
      </c>
      <c r="C64" s="190">
        <f t="shared" si="4"/>
        <v>3.8187015828286208E-2</v>
      </c>
      <c r="D64" s="192">
        <f t="shared" si="0"/>
        <v>6.9392370793129716</v>
      </c>
      <c r="F64" s="190">
        <f t="shared" si="5"/>
        <v>8.9878232145266246E-3</v>
      </c>
      <c r="G64" s="192">
        <f t="shared" si="1"/>
        <v>1.589105022321802</v>
      </c>
      <c r="I64" s="190">
        <f t="shared" si="6"/>
        <v>2.2019317463300547E-2</v>
      </c>
      <c r="J64" s="192">
        <f t="shared" si="2"/>
        <v>3.0056613921048454</v>
      </c>
      <c r="L64" s="190">
        <f t="shared" si="7"/>
        <v>7.9343985654278804E-3</v>
      </c>
      <c r="M64" s="192">
        <f t="shared" si="3"/>
        <v>1.5811682142877161</v>
      </c>
    </row>
    <row r="65" spans="1:13">
      <c r="A65" s="189">
        <v>2068</v>
      </c>
      <c r="C65" s="190">
        <f t="shared" si="4"/>
        <v>3.8187015828286208E-2</v>
      </c>
      <c r="D65" s="192">
        <f t="shared" si="0"/>
        <v>7.2042258354969269</v>
      </c>
      <c r="F65" s="190">
        <f t="shared" si="5"/>
        <v>8.9878232145266246E-3</v>
      </c>
      <c r="G65" s="192">
        <f t="shared" si="1"/>
        <v>1.6033876173317467</v>
      </c>
      <c r="I65" s="190">
        <f t="shared" si="6"/>
        <v>2.2019317463300547E-2</v>
      </c>
      <c r="J65" s="192">
        <f t="shared" si="2"/>
        <v>3.0718440044847877</v>
      </c>
      <c r="L65" s="190">
        <f t="shared" si="7"/>
        <v>7.9343985654278804E-3</v>
      </c>
      <c r="M65" s="192">
        <f t="shared" si="3"/>
        <v>1.5937138330988607</v>
      </c>
    </row>
    <row r="66" spans="1:13">
      <c r="A66" s="189">
        <v>2069</v>
      </c>
      <c r="C66" s="190">
        <f t="shared" si="4"/>
        <v>3.8187015828286208E-2</v>
      </c>
      <c r="D66" s="192">
        <f t="shared" si="0"/>
        <v>7.4793337215075963</v>
      </c>
      <c r="F66" s="190">
        <f t="shared" si="5"/>
        <v>8.9878232145266246E-3</v>
      </c>
      <c r="G66" s="192">
        <f t="shared" si="1"/>
        <v>1.6177985817806855</v>
      </c>
      <c r="I66" s="190">
        <f t="shared" si="6"/>
        <v>2.2019317463300547E-2</v>
      </c>
      <c r="J66" s="192">
        <f t="shared" si="2"/>
        <v>3.1394839128172745</v>
      </c>
      <c r="L66" s="190">
        <f t="shared" si="7"/>
        <v>7.9343985654278804E-3</v>
      </c>
      <c r="M66" s="192">
        <f t="shared" si="3"/>
        <v>1.606358993849903</v>
      </c>
    </row>
    <row r="67" spans="1:13">
      <c r="A67" s="189">
        <v>2070</v>
      </c>
      <c r="C67" s="190">
        <f t="shared" si="4"/>
        <v>3.8187015828286208E-2</v>
      </c>
      <c r="D67" s="192">
        <f t="shared" si="0"/>
        <v>7.7649471567158415</v>
      </c>
      <c r="F67" s="190">
        <f t="shared" si="5"/>
        <v>8.9878232145266246E-3</v>
      </c>
      <c r="G67" s="192">
        <f t="shared" si="1"/>
        <v>1.6323390694304423</v>
      </c>
      <c r="I67" s="190">
        <f t="shared" si="6"/>
        <v>2.2019317463300547E-2</v>
      </c>
      <c r="J67" s="192">
        <f t="shared" si="2"/>
        <v>3.2086132057645229</v>
      </c>
      <c r="L67" s="190">
        <f t="shared" si="7"/>
        <v>7.9343985654278804E-3</v>
      </c>
      <c r="M67" s="192">
        <f t="shared" si="3"/>
        <v>1.6191044863462678</v>
      </c>
    </row>
    <row r="68" spans="1:13">
      <c r="A68" s="189">
        <v>2071</v>
      </c>
      <c r="C68" s="190">
        <f t="shared" si="4"/>
        <v>3.8187015828286208E-2</v>
      </c>
      <c r="D68" s="192">
        <f t="shared" si="0"/>
        <v>8.0614673166951558</v>
      </c>
      <c r="F68" s="190">
        <f t="shared" si="5"/>
        <v>8.9878232145266246E-3</v>
      </c>
      <c r="G68" s="192">
        <f t="shared" si="1"/>
        <v>1.647010244412648</v>
      </c>
      <c r="I68" s="190">
        <f t="shared" si="6"/>
        <v>2.2019317463300547E-2</v>
      </c>
      <c r="J68" s="192">
        <f t="shared" si="2"/>
        <v>3.2792646785591906</v>
      </c>
      <c r="L68" s="190">
        <f t="shared" si="7"/>
        <v>7.9343985654278804E-3</v>
      </c>
      <c r="M68" s="192">
        <f t="shared" si="3"/>
        <v>1.6319511066600114</v>
      </c>
    </row>
    <row r="69" spans="1:13">
      <c r="A69" s="189">
        <v>2072</v>
      </c>
      <c r="C69" s="190">
        <f t="shared" si="4"/>
        <v>3.8187015828286208E-2</v>
      </c>
      <c r="D69" s="192">
        <f t="shared" si="0"/>
        <v>8.3693106967170063</v>
      </c>
      <c r="F69" s="190">
        <f t="shared" si="5"/>
        <v>8.9878232145266246E-3</v>
      </c>
      <c r="G69" s="192">
        <f t="shared" si="1"/>
        <v>1.6618132813219431</v>
      </c>
      <c r="I69" s="190">
        <f t="shared" si="6"/>
        <v>2.2019317463300547E-2</v>
      </c>
      <c r="J69" s="192">
        <f t="shared" si="2"/>
        <v>3.3514718485625736</v>
      </c>
      <c r="L69" s="190">
        <f t="shared" si="7"/>
        <v>7.9343985654278804E-3</v>
      </c>
      <c r="M69" s="192">
        <f t="shared" si="3"/>
        <v>1.6448996571795431</v>
      </c>
    </row>
    <row r="70" spans="1:13">
      <c r="A70" s="189">
        <v>2073</v>
      </c>
      <c r="C70" s="190">
        <f t="shared" si="4"/>
        <v>3.8187015828286208E-2</v>
      </c>
      <c r="D70" s="192">
        <f t="shared" si="0"/>
        <v>8.6889096967643837</v>
      </c>
      <c r="F70" s="190">
        <f t="shared" si="5"/>
        <v>8.9878232145266246E-3</v>
      </c>
      <c r="G70" s="192">
        <f t="shared" si="1"/>
        <v>1.6767493653100172</v>
      </c>
      <c r="I70" s="190">
        <f t="shared" si="6"/>
        <v>2.2019317463300547E-2</v>
      </c>
      <c r="J70" s="192">
        <f t="shared" si="2"/>
        <v>3.4252689711653876</v>
      </c>
      <c r="L70" s="190">
        <f t="shared" si="7"/>
        <v>7.9343985654278804E-3</v>
      </c>
      <c r="M70" s="192">
        <f t="shared" si="3"/>
        <v>1.6579509466597413</v>
      </c>
    </row>
    <row r="71" spans="1:13">
      <c r="A71" s="189">
        <v>2074</v>
      </c>
      <c r="C71" s="190">
        <f t="shared" si="4"/>
        <v>3.8187015828286208E-2</v>
      </c>
      <c r="D71" s="192">
        <f t="shared" si="0"/>
        <v>9.020713228885274</v>
      </c>
      <c r="F71" s="190">
        <f t="shared" si="5"/>
        <v>8.9878232145266246E-3</v>
      </c>
      <c r="G71" s="192">
        <f t="shared" si="1"/>
        <v>1.6918196921804933</v>
      </c>
      <c r="I71" s="190">
        <f t="shared" si="6"/>
        <v>2.2019317463300547E-2</v>
      </c>
      <c r="J71" s="192">
        <f t="shared" si="2"/>
        <v>3.5006910560386713</v>
      </c>
      <c r="L71" s="190">
        <f t="shared" si="7"/>
        <v>7.9343985654278804E-3</v>
      </c>
      <c r="M71" s="192">
        <f t="shared" si="3"/>
        <v>1.6711057902724682</v>
      </c>
    </row>
    <row r="72" spans="1:13">
      <c r="A72" s="197">
        <v>2075</v>
      </c>
      <c r="C72" s="198">
        <f t="shared" si="4"/>
        <v>3.8187015828286208E-2</v>
      </c>
      <c r="D72" s="199">
        <f t="shared" si="0"/>
        <v>9.3651873477391465</v>
      </c>
      <c r="F72" s="198">
        <f t="shared" si="5"/>
        <v>8.9878232145266246E-3</v>
      </c>
      <c r="G72" s="199">
        <f t="shared" si="1"/>
        <v>1.7070254684846664</v>
      </c>
      <c r="I72" s="198">
        <f t="shared" si="6"/>
        <v>2.2019317463300547E-2</v>
      </c>
      <c r="J72" s="199">
        <f t="shared" si="2"/>
        <v>3.5777738837425237</v>
      </c>
      <c r="L72" s="198">
        <f t="shared" si="7"/>
        <v>7.9343985654278804E-3</v>
      </c>
      <c r="M72" s="199">
        <f t="shared" si="3"/>
        <v>1.6843650096574843</v>
      </c>
    </row>
  </sheetData>
  <mergeCells count="8">
    <mergeCell ref="C6:D6"/>
    <mergeCell ref="F6:G6"/>
    <mergeCell ref="I6:J6"/>
    <mergeCell ref="L6:M6"/>
    <mergeCell ref="C7:D7"/>
    <mergeCell ref="F7:G7"/>
    <mergeCell ref="I7:J7"/>
    <mergeCell ref="L7:M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Step 1</vt:lpstr>
      <vt:lpstr>Accrual - Step 2</vt:lpstr>
      <vt:lpstr>Breakdown - Step 2</vt:lpstr>
      <vt:lpstr>Accrual - Step 3</vt:lpstr>
      <vt:lpstr>Breakdown - Step 3 &amp; 4</vt:lpstr>
      <vt:lpstr>GI Factors</vt:lpstr>
      <vt:lpstr>'Accrual - Step 2'!Print_Area</vt:lpstr>
      <vt:lpstr>'Accrual - Step 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